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Idarat\Reboisement ND_Haut-Valormey (01)\Dossier d_instruction\"/>
    </mc:Choice>
  </mc:AlternateContent>
  <xr:revisionPtr revIDLastSave="0" documentId="13_ncr:1_{68A4730A-B4A7-4CB9-9881-68A0F4DACBF2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D192" i="2" s="1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EI198" i="2" l="1" a="1"/>
  <c r="EI198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J45" i="2" l="1"/>
  <c r="FJ40" i="2"/>
  <c r="FJ156" i="2"/>
  <c r="FJ17" i="2"/>
  <c r="FJ15" i="2"/>
  <c r="FJ28" i="2"/>
  <c r="FJ63" i="2"/>
  <c r="FJ172" i="2"/>
  <c r="FJ200" i="2"/>
  <c r="FJ16" i="2"/>
  <c r="FJ9" i="2"/>
  <c r="FJ131" i="2"/>
  <c r="FJ35" i="2"/>
  <c r="FJ143" i="2"/>
  <c r="FJ126" i="2"/>
  <c r="FJ102" i="2"/>
  <c r="FJ53" i="2"/>
  <c r="FJ88" i="2"/>
  <c r="FJ111" i="2"/>
  <c r="FJ108" i="2"/>
  <c r="FJ158" i="2"/>
  <c r="FJ65" i="2"/>
  <c r="FJ155" i="2"/>
  <c r="FJ166" i="2"/>
  <c r="FJ37" i="2"/>
  <c r="FJ18" i="2"/>
  <c r="FJ93" i="2"/>
  <c r="FJ66" i="2"/>
  <c r="FJ11" i="2"/>
  <c r="FJ135" i="2"/>
  <c r="FJ25" i="2"/>
  <c r="FJ154" i="2"/>
  <c r="FJ186" i="2"/>
  <c r="FJ7" i="2"/>
  <c r="FJ31" i="2"/>
  <c r="FJ124" i="2"/>
  <c r="FJ104" i="2"/>
  <c r="FJ121" i="2"/>
  <c r="FJ132" i="2"/>
  <c r="FJ96" i="2"/>
  <c r="FJ139" i="2"/>
  <c r="FJ62" i="2"/>
  <c r="FJ8" i="2"/>
  <c r="FJ22" i="2"/>
  <c r="FJ137" i="2"/>
  <c r="FJ177" i="2"/>
  <c r="FJ61" i="2"/>
  <c r="FJ141" i="2"/>
  <c r="FJ188" i="2"/>
  <c r="FJ69" i="2"/>
  <c r="FJ128" i="2"/>
  <c r="FJ179" i="2"/>
  <c r="FJ105" i="2"/>
  <c r="FJ190" i="2"/>
  <c r="FJ110" i="2"/>
  <c r="FJ113" i="2"/>
  <c r="FJ67" i="2"/>
  <c r="FJ89" i="2"/>
  <c r="FJ55" i="2"/>
  <c r="FJ78" i="2"/>
  <c r="FJ57" i="2"/>
  <c r="FJ153" i="2"/>
  <c r="FJ92" i="2"/>
  <c r="FJ87" i="2"/>
  <c r="FJ94" i="2"/>
  <c r="FJ123" i="2"/>
  <c r="FJ130" i="2"/>
  <c r="FJ21" i="2"/>
  <c r="FJ83" i="2"/>
  <c r="FJ117" i="2"/>
  <c r="FJ73" i="2"/>
  <c r="FJ26" i="2"/>
  <c r="FJ86" i="2"/>
  <c r="FJ149" i="2"/>
  <c r="FJ189" i="2"/>
  <c r="FJ185" i="2"/>
  <c r="FJ107" i="2"/>
  <c r="FJ163" i="2"/>
  <c r="FJ99" i="2"/>
  <c r="FJ44" i="2"/>
  <c r="FJ138" i="2"/>
  <c r="FJ173" i="2"/>
  <c r="FJ125" i="2"/>
  <c r="FJ191" i="2"/>
  <c r="FJ178" i="2"/>
  <c r="FJ6" i="2"/>
  <c r="FJ148" i="2"/>
  <c r="FJ174" i="2"/>
  <c r="FJ194" i="2"/>
  <c r="FJ3" i="2"/>
  <c r="C13" i="4" s="1"/>
  <c r="E13" i="4" s="1"/>
  <c r="F13" i="4" s="1"/>
  <c r="G13" i="4" s="1"/>
  <c r="L13" i="4" s="1"/>
  <c r="FJ95" i="2"/>
  <c r="FJ33" i="2"/>
  <c r="FJ20" i="2"/>
  <c r="FJ203" i="2"/>
  <c r="FJ167" i="2"/>
  <c r="FJ81" i="2"/>
  <c r="FJ160" i="2"/>
  <c r="FJ136" i="2"/>
  <c r="FJ41" i="2"/>
  <c r="FJ75" i="2"/>
  <c r="FJ180" i="2"/>
  <c r="FJ46" i="2"/>
  <c r="FJ74" i="2"/>
  <c r="FJ146" i="2"/>
  <c r="FJ182" i="2"/>
  <c r="FJ32" i="2"/>
  <c r="FJ168" i="2"/>
  <c r="FJ201" i="2"/>
  <c r="FJ43" i="2"/>
  <c r="FJ112" i="2"/>
  <c r="FJ119" i="2"/>
  <c r="FJ42" i="2"/>
  <c r="FJ202" i="2"/>
  <c r="FJ85" i="2"/>
  <c r="FJ91" i="2"/>
  <c r="FJ133" i="2"/>
  <c r="FJ103" i="2"/>
  <c r="FJ14" i="2"/>
  <c r="FJ10" i="2"/>
  <c r="FJ159" i="2"/>
  <c r="FJ80" i="2"/>
  <c r="FJ52" i="2"/>
  <c r="FJ27" i="2"/>
  <c r="FJ49" i="2"/>
  <c r="FJ56" i="2"/>
  <c r="FJ140" i="2"/>
  <c r="FJ12" i="2"/>
  <c r="FJ58" i="2"/>
  <c r="FJ70" i="2"/>
  <c r="FJ157" i="2"/>
  <c r="FJ64" i="2"/>
  <c r="FJ150" i="2"/>
  <c r="FJ116" i="2"/>
  <c r="FJ162" i="2"/>
  <c r="FJ114" i="2"/>
  <c r="FJ145" i="2"/>
  <c r="FJ196" i="2"/>
  <c r="FJ134" i="2"/>
  <c r="FJ72" i="2"/>
  <c r="FJ151" i="2"/>
  <c r="FJ122" i="2"/>
  <c r="FJ115" i="2"/>
  <c r="FJ23" i="2"/>
  <c r="FJ36" i="2"/>
  <c r="FJ50" i="2"/>
  <c r="FJ198" i="2"/>
  <c r="FJ13" i="2"/>
  <c r="FJ79" i="2"/>
  <c r="FJ101" i="2"/>
  <c r="FJ54" i="2"/>
  <c r="FJ197" i="2"/>
  <c r="FJ97" i="2"/>
  <c r="FJ4" i="2"/>
  <c r="FJ193" i="2"/>
  <c r="FJ118" i="2"/>
  <c r="FJ187" i="2"/>
  <c r="FJ90" i="2"/>
  <c r="FJ5" i="2"/>
  <c r="FJ152" i="2"/>
  <c r="FJ169" i="2"/>
  <c r="FJ183" i="2"/>
  <c r="FJ84" i="2"/>
  <c r="FJ98" i="2"/>
  <c r="FJ19" i="2"/>
  <c r="FJ195" i="2"/>
  <c r="FJ60" i="2"/>
  <c r="FJ59" i="2"/>
  <c r="FJ144" i="2"/>
  <c r="FJ184" i="2"/>
  <c r="FJ76" i="2"/>
  <c r="FJ199" i="2"/>
  <c r="FJ34" i="2"/>
  <c r="FJ147" i="2"/>
  <c r="FJ39" i="2"/>
  <c r="FJ109" i="2"/>
  <c r="FJ30" i="2"/>
  <c r="FJ164" i="2"/>
  <c r="FJ181" i="2"/>
  <c r="FJ77" i="2"/>
  <c r="FJ176" i="2"/>
  <c r="FJ24" i="2"/>
  <c r="FJ192" i="2"/>
  <c r="FJ171" i="2"/>
  <c r="FJ127" i="2"/>
  <c r="FJ170" i="2"/>
  <c r="FJ68" i="2"/>
  <c r="FJ165" i="2"/>
  <c r="FJ29" i="2"/>
  <c r="FJ129" i="2"/>
  <c r="FJ48" i="2"/>
  <c r="FJ142" i="2"/>
  <c r="FJ38" i="2"/>
  <c r="FJ120" i="2"/>
  <c r="FJ161" i="2"/>
  <c r="FJ82" i="2"/>
  <c r="FJ47" i="2"/>
  <c r="FJ106" i="2"/>
  <c r="FJ175" i="2"/>
  <c r="FJ71" i="2"/>
  <c r="FJ51" i="2"/>
  <c r="FJ100" i="2"/>
  <c r="CY24" i="2"/>
  <c r="CY43" i="2"/>
  <c r="CY197" i="2"/>
  <c r="CY49" i="2"/>
  <c r="CY127" i="2"/>
  <c r="CY120" i="2"/>
  <c r="CY20" i="2"/>
  <c r="CY158" i="2"/>
  <c r="CY171" i="2"/>
  <c r="CY84" i="2"/>
  <c r="CY41" i="2"/>
  <c r="CY190" i="2"/>
  <c r="CY67" i="2"/>
  <c r="CY19" i="2"/>
  <c r="CY113" i="2"/>
  <c r="CY13" i="2"/>
  <c r="CY184" i="2"/>
  <c r="CY146" i="2"/>
  <c r="CY62" i="2"/>
  <c r="CY72" i="2"/>
  <c r="CY27" i="2"/>
  <c r="CY191" i="2"/>
  <c r="CY170" i="2"/>
  <c r="CY81" i="2"/>
  <c r="CY203" i="2"/>
  <c r="CY105" i="2"/>
  <c r="CY160" i="2"/>
  <c r="CY121" i="2"/>
  <c r="CY97" i="2"/>
  <c r="CY77" i="2"/>
  <c r="CY63" i="2"/>
  <c r="CY66" i="2"/>
  <c r="CY202" i="2"/>
  <c r="CY34" i="2"/>
  <c r="CY29" i="2"/>
  <c r="CY201" i="2"/>
  <c r="CY32" i="2"/>
  <c r="CY172" i="2"/>
  <c r="CY61" i="2"/>
  <c r="CY68" i="2"/>
  <c r="CY116" i="2"/>
  <c r="CY91" i="2"/>
  <c r="CY30" i="2"/>
  <c r="CY85" i="2"/>
  <c r="CY176" i="2"/>
  <c r="CY31" i="2"/>
  <c r="CY99" i="2"/>
  <c r="CY6" i="2"/>
  <c r="CY87" i="2"/>
  <c r="CY42" i="2"/>
  <c r="CY150" i="2"/>
  <c r="CY122" i="2"/>
  <c r="CY70" i="2"/>
  <c r="CY51" i="2"/>
  <c r="CY40" i="2"/>
  <c r="CY107" i="2"/>
  <c r="CY136" i="2"/>
  <c r="CY175" i="2"/>
  <c r="CY25" i="2"/>
  <c r="CY161" i="2"/>
  <c r="CY192" i="2"/>
  <c r="CY194" i="2"/>
  <c r="CY88" i="2"/>
  <c r="CY159" i="2"/>
  <c r="CY69" i="2"/>
  <c r="CY64" i="2"/>
  <c r="CY189" i="2"/>
  <c r="CY109" i="2"/>
  <c r="CY59" i="2"/>
  <c r="CY140" i="2"/>
  <c r="CY145" i="2"/>
  <c r="CY102" i="2"/>
  <c r="CY167" i="2"/>
  <c r="CY103" i="2"/>
  <c r="CY37" i="2"/>
  <c r="CY177" i="2"/>
  <c r="CY165" i="2"/>
  <c r="CY7" i="2"/>
  <c r="CY166" i="2"/>
  <c r="CY112" i="2"/>
  <c r="CY196" i="2"/>
  <c r="CY8" i="2"/>
  <c r="CY157" i="2"/>
  <c r="CY22" i="2"/>
  <c r="CY44" i="2"/>
  <c r="CY10" i="2"/>
  <c r="CY73" i="2"/>
  <c r="CY12" i="2"/>
  <c r="CY92" i="2"/>
  <c r="CY50" i="2"/>
  <c r="CY178" i="2"/>
  <c r="CY182" i="2"/>
  <c r="CY90" i="2"/>
  <c r="CY108" i="2"/>
  <c r="CY130" i="2"/>
  <c r="CY74" i="2"/>
  <c r="CY110" i="2"/>
  <c r="CY98" i="2"/>
  <c r="CY80" i="2"/>
  <c r="CY95" i="2"/>
  <c r="CY124" i="2"/>
  <c r="CY174" i="2"/>
  <c r="CY78" i="2"/>
  <c r="CY53" i="2"/>
  <c r="CY94" i="2"/>
  <c r="CY162" i="2"/>
  <c r="CY173" i="2"/>
  <c r="CY185" i="2"/>
  <c r="CY23" i="2"/>
  <c r="CY104" i="2"/>
  <c r="CY4" i="2"/>
  <c r="CY139" i="2"/>
  <c r="CY131" i="2"/>
  <c r="CY46" i="2"/>
  <c r="CY123" i="2"/>
  <c r="CY147" i="2"/>
  <c r="CY135" i="2"/>
  <c r="CY55" i="2"/>
  <c r="CY149" i="2"/>
  <c r="CY199" i="2"/>
  <c r="CY54" i="2"/>
  <c r="CY3" i="2"/>
  <c r="C10" i="4" s="1"/>
  <c r="E10" i="4" s="1"/>
  <c r="F10" i="4" s="1"/>
  <c r="G10" i="4" s="1"/>
  <c r="L10" i="4" s="1"/>
  <c r="CY36" i="2"/>
  <c r="CY14" i="2"/>
  <c r="CY47" i="2"/>
  <c r="CY76" i="2"/>
  <c r="CY28" i="2"/>
  <c r="CY5" i="2"/>
  <c r="CY186" i="2"/>
  <c r="CY181" i="2"/>
  <c r="CY133" i="2"/>
  <c r="CY18" i="2"/>
  <c r="CY152" i="2"/>
  <c r="CY115" i="2"/>
  <c r="CY137" i="2"/>
  <c r="CY33" i="2"/>
  <c r="CY117" i="2"/>
  <c r="CY143" i="2"/>
  <c r="CY148" i="2"/>
  <c r="CY17" i="2"/>
  <c r="CY9" i="2"/>
  <c r="CY15" i="2"/>
  <c r="CY75" i="2"/>
  <c r="CY168" i="2"/>
  <c r="CY114" i="2"/>
  <c r="CY125" i="2"/>
  <c r="CY151" i="2"/>
  <c r="CY86" i="2"/>
  <c r="CY164" i="2"/>
  <c r="CY141" i="2"/>
  <c r="CY126" i="2"/>
  <c r="CY35" i="2"/>
  <c r="CY169" i="2"/>
  <c r="CY154" i="2"/>
  <c r="CY180" i="2"/>
  <c r="CY200" i="2"/>
  <c r="CY187" i="2"/>
  <c r="CY163" i="2"/>
  <c r="CY128" i="2"/>
  <c r="CY101" i="2"/>
  <c r="CY188" i="2"/>
  <c r="CY111" i="2"/>
  <c r="CY119" i="2"/>
  <c r="CY153" i="2"/>
  <c r="CY38" i="2"/>
  <c r="CY39" i="2"/>
  <c r="CY45" i="2"/>
  <c r="CY132" i="2"/>
  <c r="CY144" i="2"/>
  <c r="CY155" i="2"/>
  <c r="CY16" i="2"/>
  <c r="CY193" i="2"/>
  <c r="CY96" i="2"/>
  <c r="CY65" i="2"/>
  <c r="CY100" i="2"/>
  <c r="CY142" i="2"/>
  <c r="CY89" i="2"/>
  <c r="CY56" i="2"/>
  <c r="CY52" i="2"/>
  <c r="CY138" i="2"/>
  <c r="CY129" i="2"/>
  <c r="CY156" i="2"/>
  <c r="CY57" i="2"/>
  <c r="CY93" i="2"/>
  <c r="CY58" i="2"/>
  <c r="CY11" i="2"/>
  <c r="CY134" i="2"/>
  <c r="CY26" i="2"/>
  <c r="CY82" i="2"/>
  <c r="CY21" i="2"/>
  <c r="CY106" i="2"/>
  <c r="CY195" i="2"/>
  <c r="CY48" i="2"/>
  <c r="CY79" i="2"/>
  <c r="CY179" i="2"/>
  <c r="CY71" i="2"/>
  <c r="CY118" i="2"/>
  <c r="CY60" i="2"/>
  <c r="CY83" i="2"/>
  <c r="CY183" i="2"/>
  <c r="CY19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<sst xmlns="http://schemas.openxmlformats.org/spreadsheetml/2006/main" count="1186" uniqueCount="327">
  <si>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</si>
  <si>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</si>
  <si>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</si>
  <si>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</si>
  <si>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</si>
  <si>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</si>
  <si>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</si>
  <si>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</si>
  <si>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</si>
  <si>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</si>
  <si>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</si>
  <si>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</si>
  <si>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</si>
  <si>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</si>
  <si>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</si>
  <si>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</si>
  <si>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</si>
  <si>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</si>
  <si>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</si>
  <si>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</si>
  <si>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</si>
  <si>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</si>
  <si>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</si>
  <si>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</si>
  <si>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</si>
  <si>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</si>
  <si>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</si>
  <si>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</si>
  <si>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</si>
  <si>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</si>
  <si>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</si>
  <si>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</si>
  <si>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</si>
  <si>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</si>
  <si>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</si>
  <si>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</si>
  <si>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</si>
  <si>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</si>
  <si>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</si>
  <si>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</si>
  <si>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</si>
  <si>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</si>
  <si>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</si>
  <si>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</si>
  <si>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</si>
  <si>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</si>
  <si>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</si>
  <si>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</si>
  <si>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</si>
  <si>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</si>
  <si>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</si>
  <si>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</si>
  <si>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</si>
  <si>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</si>
  <si>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</si>
  <si>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</si>
  <si>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</si>
  <si>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</si>
  <si>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</si>
  <si>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</si>
  <si>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</si>
  <si>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</si>
  <si>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</si>
  <si>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</si>
  <si>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</si>
  <si>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</si>
  <si>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</si>
  <si>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</si>
  <si>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</si>
  <si>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</si>
  <si>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</si>
  <si>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</si>
  <si>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</si>
  <si>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</si>
  <si>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</si>
  <si>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</si>
  <si>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</si>
  <si>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</si>
  <si>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</si>
  <si>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</si>
  <si>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</si>
  <si>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</si>
  <si>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</si>
  <si>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</si>
  <si>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</si>
  <si>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</si>
  <si>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</si>
  <si>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</si>
  <si>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</si>
  <si>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</si>
  <si>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</si>
  <si>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</si>
  <si>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</si>
  <si>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</si>
  <si>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</si>
  <si>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</si>
  <si>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</si>
  <si>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</si>
  <si>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</si>
  <si>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</si>
  <si>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</si>
  <si>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</si>
  <si>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</si>
  <si>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</si>
  <si>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</si>
  <si>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</si>
  <si>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</si>
  <si>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</si>
  <si>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</si>
  <si>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</si>
  <si>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</si>
  <si>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</si>
  <si>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</si>
  <si>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</si>
  <si>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</si>
  <si>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</si>
  <si>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</si>
  <si>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</si>
  <si>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</si>
  <si>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</si>
  <si>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</si>
  <si>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</si>
  <si>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</si>
  <si>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</si>
  <si>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</si>
  <si>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</si>
  <si>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</si>
  <si>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</si>
  <si>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</si>
  <si>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</si>
  <si>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</si>
  <si>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</si>
  <si>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</si>
  <si>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</si>
  <si>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</si>
  <si>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</si>
  <si>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</si>
  <si>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</si>
  <si>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</si>
  <si>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</si>
  <si>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</si>
  <si>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</si>
  <si>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</si>
  <si>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</si>
  <si>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</si>
  <si>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</si>
  <si>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</si>
  <si>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</si>
  <si>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</si>
  <si>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</si>
  <si>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</si>
  <si>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</si>
  <si>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</si>
  <si>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</si>
  <si>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</si>
  <si>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</si>
  <si>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</si>
  <si>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</si>
  <si>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</si>
  <si>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</si>
  <si>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</si>
  <si>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</si>
  <si>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</si>
  <si>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</si>
  <si>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</si>
  <si>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</si>
  <si>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</si>
  <si>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</si>
  <si>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</si>
  <si>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</si>
  <si>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</si>
  <si>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</si>
  <si>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</si>
  <si>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</si>
  <si>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</si>
  <si>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</si>
  <si>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</si>
  <si>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</si>
  <si>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</si>
  <si>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</si>
  <si>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</si>
  <si>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</si>
  <si>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</si>
  <si>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</si>
  <si>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</si>
  <si>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</si>
  <si>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</si>
  <si>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</si>
  <si>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</si>
  <si>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</si>
  <si>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</si>
  <si>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</si>
  <si>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</si>
  <si>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</si>
  <si>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</si>
  <si>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</si>
  <si>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</si>
  <si>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</si>
  <si>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</si>
  <si>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</si>
  <si>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</si>
  <si>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</si>
  <si>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</si>
  <si>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</si>
  <si>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</si>
  <si>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</si>
  <si>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</si>
  <si>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</si>
  <si>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</si>
  <si>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</si>
  <si>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</si>
  <si>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</si>
  <si>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</si>
  <si>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</si>
  <si>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</si>
  <si>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</si>
  <si>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</si>
  <si>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</si>
  <si>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</si>
  <si>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</si>
  <si>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</si>
  <si>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</si>
  <si>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</si>
  <si>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</si>
  <si>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</si>
  <si>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</si>
  <si>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</si>
  <si>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</si>
  <si>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</si>
  <si>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</si>
  <si>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</si>
  <si>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</si>
  <si>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</si>
  <si>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</si>
  <si>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</si>
  <si>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</si>
  <si>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</si>
  <si>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</si>
  <si>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</si>
  <si>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</si>
  <si>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</si>
  <si>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</si>
  <si>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</si>
  <si>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</si>
  <si>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</si>
  <si>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</si>
  <si>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</si>
  <si>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</si>
  <si>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</si>
  <si>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</si>
  <si>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</si>
  <si>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</si>
  <si>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</si>
  <si>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</si>
  <si>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</si>
  <si>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</si>
  <si>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</si>
  <si>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</si>
  <si>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</si>
  <si>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</si>
  <si>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</si>
  <si>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</si>
  <si>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</si>
  <si>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</si>
  <si>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</si>
  <si>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</si>
  <si>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</si>
  <si>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</si>
  <si>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</si>
  <si>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</si>
  <si>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</si>
  <si>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</si>
  <si>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</si>
  <si>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</si>
  <si>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</si>
  <si>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</si>
  <si>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</si>
  <si>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</si>
  <si>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</si>
  <si>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</si>
  <si>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</si>
  <si>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</si>
  <si>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</si>
  <si>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</si>
  <si>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</si>
  <si>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</si>
  <si>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</si>
  <si>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</si>
  <si>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</si>
  <si>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</si>
  <si>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</si>
  <si>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</si>
  <si>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</si>
  <si>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</si>
  <si>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</si>
  <si>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</si>
  <si>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</si>
  <si>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</si>
  <si>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</si>
  <si>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</si>
  <si>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</si>
  <si>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</si>
  <si>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</si>
  <si>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</si>
  <si>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</si>
  <si>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</si>
  <si>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</si>
  <si>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</si>
  <si>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</si>
  <si>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</si>
  <si>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</si>
  <si>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</si>
  <si>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</si>
  <si>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</si>
  <si>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</si>
  <si>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</si>
  <si>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</si>
  <si>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</si>
  <si>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</si>
  <si>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</si>
  <si>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</si>
  <si>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</si>
  <si>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</si>
  <si>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</si>
  <si>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équivalence pour la sapin de Bornmüller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</si>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</sst>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413.06888274647389</c:v>
                </c:pt>
                <c:pt idx="62">
                  <c:v>413.06888274647389</c:v>
                </c:pt>
                <c:pt idx="63">
                  <c:v>413.06888274647389</c:v>
                </c:pt>
                <c:pt idx="64">
                  <c:v>413.06888274647389</c:v>
                </c:pt>
                <c:pt idx="65">
                  <c:v>413.06888274647389</c:v>
                </c:pt>
                <c:pt idx="66">
                  <c:v>413.06888274647389</c:v>
                </c:pt>
                <c:pt idx="67">
                  <c:v>413.06888274647389</c:v>
                </c:pt>
                <c:pt idx="68">
                  <c:v>413.06888274647389</c:v>
                </c:pt>
                <c:pt idx="69">
                  <c:v>413.06888274647389</c:v>
                </c:pt>
                <c:pt idx="70">
                  <c:v>413.06888274647389</c:v>
                </c:pt>
                <c:pt idx="71">
                  <c:v>413.06888274647389</c:v>
                </c:pt>
                <c:pt idx="72">
                  <c:v>413.06888274647389</c:v>
                </c:pt>
                <c:pt idx="73">
                  <c:v>413.06888274647389</c:v>
                </c:pt>
                <c:pt idx="74">
                  <c:v>413.06888274647389</c:v>
                </c:pt>
                <c:pt idx="75">
                  <c:v>413.06888274647389</c:v>
                </c:pt>
                <c:pt idx="76">
                  <c:v>413.06888274647389</c:v>
                </c:pt>
                <c:pt idx="77">
                  <c:v>413.06888274647389</c:v>
                </c:pt>
                <c:pt idx="78">
                  <c:v>413.06888274647389</c:v>
                </c:pt>
                <c:pt idx="79">
                  <c:v>413.06888274647389</c:v>
                </c:pt>
                <c:pt idx="80">
                  <c:v>413.06888274647389</c:v>
                </c:pt>
                <c:pt idx="81">
                  <c:v>413.06888274647389</c:v>
                </c:pt>
                <c:pt idx="82">
                  <c:v>413.06888274647389</c:v>
                </c:pt>
                <c:pt idx="83">
                  <c:v>413.06888274647389</c:v>
                </c:pt>
                <c:pt idx="84">
                  <c:v>413.06888274647389</c:v>
                </c:pt>
                <c:pt idx="85">
                  <c:v>413.06888274647389</c:v>
                </c:pt>
                <c:pt idx="86">
                  <c:v>413.06888274647389</c:v>
                </c:pt>
                <c:pt idx="87">
                  <c:v>413.06888274647389</c:v>
                </c:pt>
                <c:pt idx="88">
                  <c:v>413.06888274647389</c:v>
                </c:pt>
                <c:pt idx="89">
                  <c:v>413.06888274647389</c:v>
                </c:pt>
                <c:pt idx="90">
                  <c:v>413.06888274647389</c:v>
                </c:pt>
                <c:pt idx="91">
                  <c:v>413.06888274647389</c:v>
                </c:pt>
                <c:pt idx="92">
                  <c:v>413.06888274647389</c:v>
                </c:pt>
                <c:pt idx="93">
                  <c:v>413.06888274647389</c:v>
                </c:pt>
                <c:pt idx="94">
                  <c:v>413.06888274647389</c:v>
                </c:pt>
                <c:pt idx="95">
                  <c:v>413.06888274647389</c:v>
                </c:pt>
                <c:pt idx="96">
                  <c:v>413.06888274647389</c:v>
                </c:pt>
                <c:pt idx="97">
                  <c:v>413.06888274647389</c:v>
                </c:pt>
                <c:pt idx="98">
                  <c:v>413.06888274647389</c:v>
                </c:pt>
                <c:pt idx="99">
                  <c:v>413.06888274647389</c:v>
                </c:pt>
                <c:pt idx="100">
                  <c:v>413.06888274647389</c:v>
                </c:pt>
                <c:pt idx="101">
                  <c:v>413.06888274647389</c:v>
                </c:pt>
                <c:pt idx="102">
                  <c:v>413.06888274647389</c:v>
                </c:pt>
                <c:pt idx="103">
                  <c:v>413.06888274647389</c:v>
                </c:pt>
                <c:pt idx="104">
                  <c:v>413.06888274647389</c:v>
                </c:pt>
                <c:pt idx="105">
                  <c:v>413.06888274647389</c:v>
                </c:pt>
                <c:pt idx="106">
                  <c:v>413.06888274647389</c:v>
                </c:pt>
                <c:pt idx="107">
                  <c:v>413.06888274647389</c:v>
                </c:pt>
                <c:pt idx="108">
                  <c:v>413.06888274647389</c:v>
                </c:pt>
                <c:pt idx="109">
                  <c:v>413.06888274647389</c:v>
                </c:pt>
                <c:pt idx="110">
                  <c:v>413.06888274647389</c:v>
                </c:pt>
                <c:pt idx="111">
                  <c:v>413.06888274647389</c:v>
                </c:pt>
                <c:pt idx="112">
                  <c:v>413.06888274647389</c:v>
                </c:pt>
                <c:pt idx="113">
                  <c:v>413.06888274647389</c:v>
                </c:pt>
                <c:pt idx="114">
                  <c:v>413.06888274647389</c:v>
                </c:pt>
                <c:pt idx="115">
                  <c:v>413.06888274647389</c:v>
                </c:pt>
                <c:pt idx="116">
                  <c:v>413.06888274647389</c:v>
                </c:pt>
                <c:pt idx="117">
                  <c:v>413.06888274647389</c:v>
                </c:pt>
                <c:pt idx="118">
                  <c:v>413.06888274647389</c:v>
                </c:pt>
                <c:pt idx="119">
                  <c:v>413.06888274647389</c:v>
                </c:pt>
                <c:pt idx="120">
                  <c:v>413.06888274647389</c:v>
                </c:pt>
                <c:pt idx="121">
                  <c:v>413.06888274647389</c:v>
                </c:pt>
                <c:pt idx="122">
                  <c:v>413.06888274647389</c:v>
                </c:pt>
                <c:pt idx="123">
                  <c:v>413.06888274647389</c:v>
                </c:pt>
                <c:pt idx="124">
                  <c:v>413.06888274647389</c:v>
                </c:pt>
                <c:pt idx="125">
                  <c:v>413.06888274647389</c:v>
                </c:pt>
                <c:pt idx="126">
                  <c:v>413.06888274647389</c:v>
                </c:pt>
                <c:pt idx="127">
                  <c:v>413.06888274647389</c:v>
                </c:pt>
                <c:pt idx="128">
                  <c:v>413.06888274647389</c:v>
                </c:pt>
                <c:pt idx="129">
                  <c:v>413.06888274647389</c:v>
                </c:pt>
                <c:pt idx="130">
                  <c:v>413.06888274647389</c:v>
                </c:pt>
                <c:pt idx="131">
                  <c:v>413.06888274647389</c:v>
                </c:pt>
                <c:pt idx="132">
                  <c:v>413.06888274647389</c:v>
                </c:pt>
                <c:pt idx="133">
                  <c:v>413.06888274647389</c:v>
                </c:pt>
                <c:pt idx="134">
                  <c:v>413.06888274647389</c:v>
                </c:pt>
                <c:pt idx="135">
                  <c:v>413.06888274647389</c:v>
                </c:pt>
                <c:pt idx="136">
                  <c:v>413.06888274647389</c:v>
                </c:pt>
                <c:pt idx="137">
                  <c:v>413.06888274647389</c:v>
                </c:pt>
                <c:pt idx="138">
                  <c:v>413.06888274647389</c:v>
                </c:pt>
                <c:pt idx="139">
                  <c:v>413.06888274647389</c:v>
                </c:pt>
                <c:pt idx="140">
                  <c:v>413.06888274647389</c:v>
                </c:pt>
                <c:pt idx="141">
                  <c:v>413.06888274647389</c:v>
                </c:pt>
                <c:pt idx="142">
                  <c:v>413.06888274647389</c:v>
                </c:pt>
                <c:pt idx="143">
                  <c:v>413.06888274647389</c:v>
                </c:pt>
                <c:pt idx="144">
                  <c:v>413.06888274647389</c:v>
                </c:pt>
                <c:pt idx="145">
                  <c:v>413.06888274647389</c:v>
                </c:pt>
                <c:pt idx="146">
                  <c:v>413.06888274647389</c:v>
                </c:pt>
                <c:pt idx="147">
                  <c:v>413.06888274647389</c:v>
                </c:pt>
                <c:pt idx="148">
                  <c:v>413.06888274647389</c:v>
                </c:pt>
                <c:pt idx="149">
                  <c:v>413.06888274647389</c:v>
                </c:pt>
                <c:pt idx="150">
                  <c:v>413.06888274647389</c:v>
                </c:pt>
                <c:pt idx="151">
                  <c:v>413.06888274647389</c:v>
                </c:pt>
                <c:pt idx="152">
                  <c:v>413.06888274647389</c:v>
                </c:pt>
                <c:pt idx="153">
                  <c:v>413.06888274647389</c:v>
                </c:pt>
                <c:pt idx="154">
                  <c:v>413.06888274647389</c:v>
                </c:pt>
                <c:pt idx="155">
                  <c:v>413.06888274647389</c:v>
                </c:pt>
                <c:pt idx="156">
                  <c:v>413.06888274647389</c:v>
                </c:pt>
                <c:pt idx="157">
                  <c:v>413.06888274647389</c:v>
                </c:pt>
                <c:pt idx="158">
                  <c:v>413.06888274647389</c:v>
                </c:pt>
                <c:pt idx="159">
                  <c:v>413.06888274647389</c:v>
                </c:pt>
                <c:pt idx="160">
                  <c:v>413.06888274647389</c:v>
                </c:pt>
                <c:pt idx="161">
                  <c:v>413.06888274647389</c:v>
                </c:pt>
                <c:pt idx="162">
                  <c:v>413.06888274647389</c:v>
                </c:pt>
                <c:pt idx="163">
                  <c:v>413.06888274647389</c:v>
                </c:pt>
                <c:pt idx="164">
                  <c:v>413.06888274647389</c:v>
                </c:pt>
                <c:pt idx="165">
                  <c:v>413.06888274647389</c:v>
                </c:pt>
                <c:pt idx="166">
                  <c:v>413.06888274647389</c:v>
                </c:pt>
                <c:pt idx="167">
                  <c:v>413.06888274647389</c:v>
                </c:pt>
                <c:pt idx="168">
                  <c:v>413.06888274647389</c:v>
                </c:pt>
                <c:pt idx="169">
                  <c:v>413.06888274647389</c:v>
                </c:pt>
                <c:pt idx="170">
                  <c:v>413.06888274647389</c:v>
                </c:pt>
                <c:pt idx="171">
                  <c:v>413.06888274647389</c:v>
                </c:pt>
                <c:pt idx="172">
                  <c:v>413.06888274647389</c:v>
                </c:pt>
                <c:pt idx="173">
                  <c:v>413.06888274647389</c:v>
                </c:pt>
                <c:pt idx="174">
                  <c:v>413.06888274647389</c:v>
                </c:pt>
                <c:pt idx="175">
                  <c:v>413.06888274647389</c:v>
                </c:pt>
                <c:pt idx="176">
                  <c:v>413.06888274647389</c:v>
                </c:pt>
                <c:pt idx="177">
                  <c:v>413.06888274647389</c:v>
                </c:pt>
                <c:pt idx="178">
                  <c:v>413.06888274647389</c:v>
                </c:pt>
                <c:pt idx="179">
                  <c:v>413.06888274647389</c:v>
                </c:pt>
                <c:pt idx="180">
                  <c:v>413.06888274647389</c:v>
                </c:pt>
                <c:pt idx="181">
                  <c:v>413.06888274647389</c:v>
                </c:pt>
                <c:pt idx="182">
                  <c:v>413.06888274647389</c:v>
                </c:pt>
                <c:pt idx="183">
                  <c:v>413.06888274647389</c:v>
                </c:pt>
                <c:pt idx="184">
                  <c:v>413.06888274647389</c:v>
                </c:pt>
                <c:pt idx="185">
                  <c:v>413.06888274647389</c:v>
                </c:pt>
                <c:pt idx="186">
                  <c:v>413.06888274647389</c:v>
                </c:pt>
                <c:pt idx="187">
                  <c:v>413.06888274647389</c:v>
                </c:pt>
                <c:pt idx="188">
                  <c:v>413.06888274647389</c:v>
                </c:pt>
                <c:pt idx="189">
                  <c:v>413.06888274647389</c:v>
                </c:pt>
                <c:pt idx="190">
                  <c:v>413.06888274647389</c:v>
                </c:pt>
                <c:pt idx="191">
                  <c:v>413.06888274647389</c:v>
                </c:pt>
                <c:pt idx="192">
                  <c:v>413.06888274647389</c:v>
                </c:pt>
                <c:pt idx="193">
                  <c:v>413.06888274647389</c:v>
                </c:pt>
                <c:pt idx="194">
                  <c:v>413.06888274647389</c:v>
                </c:pt>
                <c:pt idx="195">
                  <c:v>413.06888274647389</c:v>
                </c:pt>
                <c:pt idx="196">
                  <c:v>413.06888274647389</c:v>
                </c:pt>
                <c:pt idx="197">
                  <c:v>413.06888274647389</c:v>
                </c:pt>
                <c:pt idx="198">
                  <c:v>413.06888274647389</c:v>
                </c:pt>
                <c:pt idx="199">
                  <c:v>413.06888274647389</c:v>
                </c:pt>
                <c:pt idx="200">
                  <c:v>413.06888274647389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1.4344280819141779</c:v>
                </c:pt>
                <c:pt idx="2">
                  <c:v>1.6355091689140229</c:v>
                </c:pt>
                <c:pt idx="3">
                  <c:v>1.8648817015699324</c:v>
                </c:pt>
                <c:pt idx="4">
                  <c:v>2.1265400133851382</c:v>
                </c:pt>
                <c:pt idx="5">
                  <c:v>2.4250442176310982</c:v>
                </c:pt>
                <c:pt idx="6">
                  <c:v>2.7656005914155077</c:v>
                </c:pt>
                <c:pt idx="7">
                  <c:v>3.1541534126760209</c:v>
                </c:pt>
                <c:pt idx="8">
                  <c:v>3.5974898861315681</c:v>
                </c:pt>
                <c:pt idx="9">
                  <c:v>4.103360028485727</c:v>
                </c:pt>
                <c:pt idx="10">
                  <c:v>4.680613651056202</c:v>
                </c:pt>
                <c:pt idx="11">
                  <c:v>5.3393568843348698</c:v>
                </c:pt>
                <c:pt idx="12">
                  <c:v>6.0911310392938658</c:v>
                </c:pt>
                <c:pt idx="13">
                  <c:v>6.9491170008715599</c:v>
                </c:pt>
                <c:pt idx="14">
                  <c:v>7.9283688072362857</c:v>
                </c:pt>
                <c:pt idx="15">
                  <c:v>9.0460805924169438</c:v>
                </c:pt>
                <c:pt idx="16">
                  <c:v>10.321891669183653</c:v>
                </c:pt>
                <c:pt idx="17">
                  <c:v>11.778235214500031</c:v>
                </c:pt>
                <c:pt idx="18">
                  <c:v>13.440736803856948</c:v>
                </c:pt>
                <c:pt idx="19">
                  <c:v>15.338669937530115</c:v>
                </c:pt>
                <c:pt idx="20">
                  <c:v>17.505476727523256</c:v>
                </c:pt>
                <c:pt idx="21">
                  <c:v>19.979363087251084</c:v>
                </c:pt>
                <c:pt idx="22">
                  <c:v>22.803979108150372</c:v>
                </c:pt>
                <c:pt idx="23">
                  <c:v>26.02919684272177</c:v>
                </c:pt>
                <c:pt idx="24">
                  <c:v>29.711999469852586</c:v>
                </c:pt>
                <c:pt idx="25">
                  <c:v>33.917497827525146</c:v>
                </c:pt>
                <c:pt idx="26">
                  <c:v>38.720092596655661</c:v>
                </c:pt>
                <c:pt idx="27">
                  <c:v>44.204803049580441</c:v>
                </c:pt>
                <c:pt idx="28">
                  <c:v>50.468786285389541</c:v>
                </c:pt>
                <c:pt idx="29">
                  <c:v>57.623074316583931</c:v>
                </c:pt>
                <c:pt idx="30">
                  <c:v>65.794560309985513</c:v>
                </c:pt>
                <c:pt idx="31">
                  <c:v>76.775292721062002</c:v>
                </c:pt>
                <c:pt idx="32">
                  <c:v>87.716014444634197</c:v>
                </c:pt>
                <c:pt idx="33">
                  <c:v>98.622432719524099</c:v>
                </c:pt>
                <c:pt idx="34">
                  <c:v>109.49888355950738</c:v>
                </c:pt>
                <c:pt idx="35">
                  <c:v>120.34876812192131</c:v>
                </c:pt>
                <c:pt idx="36">
                  <c:v>131.17482242221828</c:v>
                </c:pt>
                <c:pt idx="37">
                  <c:v>141.97929286777506</c:v>
                </c:pt>
                <c:pt idx="38">
                  <c:v>152.76405532631367</c:v>
                </c:pt>
                <c:pt idx="39">
                  <c:v>163.53069868590001</c:v>
                </c:pt>
                <c:pt idx="40">
                  <c:v>174.28058518787529</c:v>
                </c:pt>
                <c:pt idx="41">
                  <c:v>194.0798609444719</c:v>
                </c:pt>
                <c:pt idx="42">
                  <c:v>213.83216878256576</c:v>
                </c:pt>
                <c:pt idx="43">
                  <c:v>233.54245825001723</c:v>
                </c:pt>
                <c:pt idx="44">
                  <c:v>253.21477432652094</c:v>
                </c:pt>
                <c:pt idx="45">
                  <c:v>272.85248172470892</c:v>
                </c:pt>
                <c:pt idx="46">
                  <c:v>294.42705219356748</c:v>
                </c:pt>
                <c:pt idx="47">
                  <c:v>315.96635527297798</c:v>
                </c:pt>
                <c:pt idx="48">
                  <c:v>337.47313203641119</c:v>
                </c:pt>
                <c:pt idx="49">
                  <c:v>358.94974571924672</c:v>
                </c:pt>
                <c:pt idx="50">
                  <c:v>380.39825376278503</c:v>
                </c:pt>
                <c:pt idx="51">
                  <c:v>292.40275915640774</c:v>
                </c:pt>
                <c:pt idx="52">
                  <c:v>310.59600215845148</c:v>
                </c:pt>
                <c:pt idx="53">
                  <c:v>328.76559884684156</c:v>
                </c:pt>
                <c:pt idx="54">
                  <c:v>346.91303955940174</c:v>
                </c:pt>
                <c:pt idx="55">
                  <c:v>365.03964600673652</c:v>
                </c:pt>
                <c:pt idx="56">
                  <c:v>382.98265211502331</c:v>
                </c:pt>
                <c:pt idx="57">
                  <c:v>400.9073895006116</c:v>
                </c:pt>
                <c:pt idx="58">
                  <c:v>418.81478958199324</c:v>
                </c:pt>
                <c:pt idx="59">
                  <c:v>436.70569765935602</c:v>
                </c:pt>
                <c:pt idx="60">
                  <c:v>454.58088415158949</c:v>
                </c:pt>
                <c:pt idx="61">
                  <c:v>322.01150119475648</c:v>
                </c:pt>
                <c:pt idx="62">
                  <c:v>336.42298422921061</c:v>
                </c:pt>
                <c:pt idx="63">
                  <c:v>350.82087666414037</c:v>
                </c:pt>
                <c:pt idx="64">
                  <c:v>365.20581481631871</c:v>
                </c:pt>
                <c:pt idx="65">
                  <c:v>379.57838078316422</c:v>
                </c:pt>
                <c:pt idx="66">
                  <c:v>393.48443004014899</c:v>
                </c:pt>
                <c:pt idx="67">
                  <c:v>407.37982725351054</c:v>
                </c:pt>
                <c:pt idx="68">
                  <c:v>421.26498691080747</c:v>
                </c:pt>
                <c:pt idx="69">
                  <c:v>435.14029394901644</c:v>
                </c:pt>
                <c:pt idx="70">
                  <c:v>449.00610675617844</c:v>
                </c:pt>
                <c:pt idx="71">
                  <c:v>342.7351227238035</c:v>
                </c:pt>
                <c:pt idx="72">
                  <c:v>353.79372471184843</c:v>
                </c:pt>
                <c:pt idx="73">
                  <c:v>364.84475455625176</c:v>
                </c:pt>
                <c:pt idx="74">
                  <c:v>375.88847401940546</c:v>
                </c:pt>
                <c:pt idx="75">
                  <c:v>386.92512822224899</c:v>
                </c:pt>
                <c:pt idx="76">
                  <c:v>397.28126532752214</c:v>
                </c:pt>
                <c:pt idx="77">
                  <c:v>407.63155624448046</c:v>
                </c:pt>
                <c:pt idx="78">
                  <c:v>417.97617038772773</c:v>
                </c:pt>
                <c:pt idx="79">
                  <c:v>428.31526809948838</c:v>
                </c:pt>
                <c:pt idx="80">
                  <c:v>438.64900134741634</c:v>
                </c:pt>
                <c:pt idx="81">
                  <c:v>358.60701942185278</c:v>
                </c:pt>
                <c:pt idx="82">
                  <c:v>368.00376807787165</c:v>
                </c:pt>
                <c:pt idx="83">
                  <c:v>377.39528079099114</c:v>
                </c:pt>
                <c:pt idx="84">
                  <c:v>386.78170629658524</c:v>
                </c:pt>
                <c:pt idx="85">
                  <c:v>396.16318551840595</c:v>
                </c:pt>
                <c:pt idx="86">
                  <c:v>405.27786106774806</c:v>
                </c:pt>
                <c:pt idx="87">
                  <c:v>414.38810604251643</c:v>
                </c:pt>
                <c:pt idx="88">
                  <c:v>423.49403162599475</c:v>
                </c:pt>
                <c:pt idx="89">
                  <c:v>432.59574382807028</c:v>
                </c:pt>
                <c:pt idx="90">
                  <c:v>441.69334383209321</c:v>
                </c:pt>
                <c:pt idx="91">
                  <c:v>384.77572693281098</c:v>
                </c:pt>
                <c:pt idx="92">
                  <c:v>392.66515993020727</c:v>
                </c:pt>
                <c:pt idx="93">
                  <c:v>400.55115589789528</c:v>
                </c:pt>
                <c:pt idx="94">
                  <c:v>408.43379209100596</c:v>
                </c:pt>
                <c:pt idx="95">
                  <c:v>416.31314253752311</c:v>
                </c:pt>
                <c:pt idx="96">
                  <c:v>424.34263815172062</c:v>
                </c:pt>
                <c:pt idx="97">
                  <c:v>432.36886474242448</c:v>
                </c:pt>
                <c:pt idx="98">
                  <c:v>440.39189158417389</c:v>
                </c:pt>
                <c:pt idx="99">
                  <c:v>448.41178522023984</c:v>
                </c:pt>
                <c:pt idx="100">
                  <c:v>456.42860961829865</c:v>
                </c:pt>
                <c:pt idx="101">
                  <c:v>262.59656775309378</c:v>
                </c:pt>
                <c:pt idx="102">
                  <c:v>267.75145184968522</c:v>
                </c:pt>
                <c:pt idx="103">
                  <c:v>272.90410054428196</c:v>
                </c:pt>
                <c:pt idx="104">
                  <c:v>278.0545620675307</c:v>
                </c:pt>
                <c:pt idx="105">
                  <c:v>283.20288271463795</c:v>
                </c:pt>
                <c:pt idx="106">
                  <c:v>288.01296387993006</c:v>
                </c:pt>
                <c:pt idx="107">
                  <c:v>292.8212485804716</c:v>
                </c:pt>
                <c:pt idx="108">
                  <c:v>297.62777052517959</c:v>
                </c:pt>
                <c:pt idx="109">
                  <c:v>302.43256224365859</c:v>
                </c:pt>
                <c:pt idx="110">
                  <c:v>307.23565514596925</c:v>
                </c:pt>
                <c:pt idx="111">
                  <c:v>166.28833072814422</c:v>
                </c:pt>
                <c:pt idx="112">
                  <c:v>169.40154124374121</c:v>
                </c:pt>
                <c:pt idx="113">
                  <c:v>172.51340351135983</c:v>
                </c:pt>
                <c:pt idx="114">
                  <c:v>175.62394535414447</c:v>
                </c:pt>
                <c:pt idx="115">
                  <c:v>178.7331935264591</c:v>
                </c:pt>
                <c:pt idx="116">
                  <c:v>182.13919066956439</c:v>
                </c:pt>
                <c:pt idx="117">
                  <c:v>185.54369756732456</c:v>
                </c:pt>
                <c:pt idx="118">
                  <c:v>188.94674549644523</c:v>
                </c:pt>
                <c:pt idx="119">
                  <c:v>192.34836451212311</c:v>
                </c:pt>
                <c:pt idx="120">
                  <c:v>195.74858351702343</c:v>
                </c:pt>
                <c:pt idx="121">
                  <c:v>3.0390245200182986</c:v>
                </c:pt>
                <c:pt idx="122">
                  <c:v>3.0390245200182986</c:v>
                </c:pt>
                <c:pt idx="123">
                  <c:v>3.0390245200182986</c:v>
                </c:pt>
                <c:pt idx="124">
                  <c:v>3.0390245200182986</c:v>
                </c:pt>
                <c:pt idx="125">
                  <c:v>3.0390245200182986</c:v>
                </c:pt>
                <c:pt idx="126">
                  <c:v>3.0390245200182986</c:v>
                </c:pt>
                <c:pt idx="127">
                  <c:v>3.0390245200182986</c:v>
                </c:pt>
                <c:pt idx="128">
                  <c:v>3.0390245200182986</c:v>
                </c:pt>
                <c:pt idx="129">
                  <c:v>3.0390245200182986</c:v>
                </c:pt>
                <c:pt idx="130">
                  <c:v>3.0390245200182986</c:v>
                </c:pt>
                <c:pt idx="131">
                  <c:v>3.0390245200182986</c:v>
                </c:pt>
                <c:pt idx="132">
                  <c:v>3.0390245200182986</c:v>
                </c:pt>
                <c:pt idx="133">
                  <c:v>3.0390245200182986</c:v>
                </c:pt>
                <c:pt idx="134">
                  <c:v>3.0390245200182986</c:v>
                </c:pt>
                <c:pt idx="135">
                  <c:v>3.0390245200182986</c:v>
                </c:pt>
                <c:pt idx="136">
                  <c:v>3.0390245200182986</c:v>
                </c:pt>
                <c:pt idx="137">
                  <c:v>3.0390245200182986</c:v>
                </c:pt>
                <c:pt idx="138">
                  <c:v>3.0390245200182986</c:v>
                </c:pt>
                <c:pt idx="139">
                  <c:v>3.0390245200182986</c:v>
                </c:pt>
                <c:pt idx="140">
                  <c:v>3.0390245200182986</c:v>
                </c:pt>
                <c:pt idx="141">
                  <c:v>3.0390245200182986</c:v>
                </c:pt>
                <c:pt idx="142">
                  <c:v>3.0390245200182986</c:v>
                </c:pt>
                <c:pt idx="143">
                  <c:v>3.0390245200182986</c:v>
                </c:pt>
                <c:pt idx="144">
                  <c:v>3.0390245200182986</c:v>
                </c:pt>
                <c:pt idx="145">
                  <c:v>3.0390245200182986</c:v>
                </c:pt>
                <c:pt idx="146">
                  <c:v>3.0390245200182986</c:v>
                </c:pt>
                <c:pt idx="147">
                  <c:v>3.0390245200182986</c:v>
                </c:pt>
                <c:pt idx="148">
                  <c:v>3.0390245200182986</c:v>
                </c:pt>
                <c:pt idx="149">
                  <c:v>3.0390245200182986</c:v>
                </c:pt>
                <c:pt idx="150">
                  <c:v>3.0390245200182986</c:v>
                </c:pt>
                <c:pt idx="151">
                  <c:v>3.0390245200182986</c:v>
                </c:pt>
                <c:pt idx="152">
                  <c:v>3.0390245200182986</c:v>
                </c:pt>
                <c:pt idx="153">
                  <c:v>3.0390245200182986</c:v>
                </c:pt>
                <c:pt idx="154">
                  <c:v>3.0390245200182986</c:v>
                </c:pt>
                <c:pt idx="155">
                  <c:v>3.0390245200182986</c:v>
                </c:pt>
                <c:pt idx="156">
                  <c:v>3.0390245200182986</c:v>
                </c:pt>
                <c:pt idx="157">
                  <c:v>3.0390245200182986</c:v>
                </c:pt>
                <c:pt idx="158">
                  <c:v>3.0390245200182986</c:v>
                </c:pt>
                <c:pt idx="159">
                  <c:v>3.0390245200182986</c:v>
                </c:pt>
                <c:pt idx="160">
                  <c:v>3.0390245200182986</c:v>
                </c:pt>
                <c:pt idx="161">
                  <c:v>3.0390245200182986</c:v>
                </c:pt>
                <c:pt idx="162">
                  <c:v>3.0390245200182986</c:v>
                </c:pt>
                <c:pt idx="163">
                  <c:v>3.0390245200182986</c:v>
                </c:pt>
                <c:pt idx="164">
                  <c:v>3.0390245200182986</c:v>
                </c:pt>
                <c:pt idx="165">
                  <c:v>3.0390245200182986</c:v>
                </c:pt>
                <c:pt idx="166">
                  <c:v>3.0390245200182986</c:v>
                </c:pt>
                <c:pt idx="167">
                  <c:v>3.0390245200182986</c:v>
                </c:pt>
                <c:pt idx="168">
                  <c:v>3.0390245200182986</c:v>
                </c:pt>
                <c:pt idx="169">
                  <c:v>3.0390245200182986</c:v>
                </c:pt>
                <c:pt idx="170">
                  <c:v>3.0390245200182986</c:v>
                </c:pt>
                <c:pt idx="171">
                  <c:v>3.0390245200182986</c:v>
                </c:pt>
                <c:pt idx="172">
                  <c:v>3.0390245200182986</c:v>
                </c:pt>
                <c:pt idx="173">
                  <c:v>3.0390245200182986</c:v>
                </c:pt>
                <c:pt idx="174">
                  <c:v>3.0390245200182986</c:v>
                </c:pt>
                <c:pt idx="175">
                  <c:v>3.0390245200182986</c:v>
                </c:pt>
                <c:pt idx="176">
                  <c:v>3.0390245200182986</c:v>
                </c:pt>
                <c:pt idx="177">
                  <c:v>3.0390245200182986</c:v>
                </c:pt>
                <c:pt idx="178">
                  <c:v>3.0390245200182986</c:v>
                </c:pt>
                <c:pt idx="179">
                  <c:v>3.0390245200182986</c:v>
                </c:pt>
                <c:pt idx="180">
                  <c:v>3.0390245200182986</c:v>
                </c:pt>
                <c:pt idx="181">
                  <c:v>3.0390245200182986</c:v>
                </c:pt>
                <c:pt idx="182">
                  <c:v>3.0390245200182986</c:v>
                </c:pt>
                <c:pt idx="183">
                  <c:v>3.0390245200182986</c:v>
                </c:pt>
                <c:pt idx="184">
                  <c:v>3.0390245200182986</c:v>
                </c:pt>
                <c:pt idx="185">
                  <c:v>3.0390245200182986</c:v>
                </c:pt>
                <c:pt idx="186">
                  <c:v>3.0390245200182986</c:v>
                </c:pt>
                <c:pt idx="187">
                  <c:v>3.0390245200182986</c:v>
                </c:pt>
                <c:pt idx="188">
                  <c:v>3.0390245200182986</c:v>
                </c:pt>
                <c:pt idx="189">
                  <c:v>3.0390245200182986</c:v>
                </c:pt>
                <c:pt idx="190">
                  <c:v>3.0390245200182986</c:v>
                </c:pt>
                <c:pt idx="191">
                  <c:v>3.0390245200182986</c:v>
                </c:pt>
                <c:pt idx="192">
                  <c:v>3.0390245200182986</c:v>
                </c:pt>
                <c:pt idx="193">
                  <c:v>3.0390245200182986</c:v>
                </c:pt>
                <c:pt idx="194">
                  <c:v>3.0390245200182986</c:v>
                </c:pt>
                <c:pt idx="195">
                  <c:v>3.0390245200182986</c:v>
                </c:pt>
                <c:pt idx="196">
                  <c:v>3.0390245200182986</c:v>
                </c:pt>
                <c:pt idx="197">
                  <c:v>3.0390245200182986</c:v>
                </c:pt>
                <c:pt idx="198">
                  <c:v>3.0390245200182986</c:v>
                </c:pt>
                <c:pt idx="199">
                  <c:v>3.0390245200182986</c:v>
                </c:pt>
                <c:pt idx="200">
                  <c:v>3.0390245200182986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2.9770808019652861</c:v>
                </c:pt>
                <c:pt idx="2">
                  <c:v>3.4373570828837412</c:v>
                </c:pt>
                <c:pt idx="3">
                  <c:v>3.969049858374099</c:v>
                </c:pt>
                <c:pt idx="4">
                  <c:v>4.5832774415311199</c:v>
                </c:pt>
                <c:pt idx="5">
                  <c:v>5.2928945238442866</c:v>
                </c:pt>
                <c:pt idx="6">
                  <c:v>6.1127641432222219</c:v>
                </c:pt>
                <c:pt idx="7">
                  <c:v>7.0600723652324042</c:v>
                </c:pt>
                <c:pt idx="8">
                  <c:v>8.1546924023997711</c:v>
                </c:pt>
                <c:pt idx="9">
                  <c:v>9.4196059575779945</c:v>
                </c:pt>
                <c:pt idx="10">
                  <c:v>10.881390806373746</c:v>
                </c:pt>
                <c:pt idx="11">
                  <c:v>12.570785056949093</c:v>
                </c:pt>
                <c:pt idx="12">
                  <c:v>14.523340174050759</c:v>
                </c:pt>
                <c:pt idx="13">
                  <c:v>16.780176763506326</c:v>
                </c:pt>
                <c:pt idx="14">
                  <c:v>19.388859325040851</c:v>
                </c:pt>
                <c:pt idx="15">
                  <c:v>22.404408743024366</c:v>
                </c:pt>
                <c:pt idx="16">
                  <c:v>25.890474252192604</c:v>
                </c:pt>
                <c:pt idx="17">
                  <c:v>29.920690052842847</c:v>
                </c:pt>
                <c:pt idx="18">
                  <c:v>34.580245732070885</c:v>
                </c:pt>
                <c:pt idx="19">
                  <c:v>39.967704260711201</c:v>
                </c:pt>
                <c:pt idx="20">
                  <c:v>46.197106679935416</c:v>
                </c:pt>
                <c:pt idx="21">
                  <c:v>53.400408783039701</c:v>
                </c:pt>
                <c:pt idx="22">
                  <c:v>61.730302271356322</c:v>
                </c:pt>
                <c:pt idx="23">
                  <c:v>71.36348117439654</c:v>
                </c:pt>
                <c:pt idx="24">
                  <c:v>82.504423954015564</c:v>
                </c:pt>
                <c:pt idx="25">
                  <c:v>95.389772870081046</c:v>
                </c:pt>
                <c:pt idx="26">
                  <c:v>110.29340511365326</c:v>
                </c:pt>
                <c:pt idx="27">
                  <c:v>127.53230519451735</c:v>
                </c:pt>
                <c:pt idx="28">
                  <c:v>147.47336542931785</c:v>
                </c:pt>
                <c:pt idx="29">
                  <c:v>170.54126149274177</c:v>
                </c:pt>
                <c:pt idx="30">
                  <c:v>197.22757330560339</c:v>
                </c:pt>
                <c:pt idx="31">
                  <c:v>215.07335192392463</c:v>
                </c:pt>
                <c:pt idx="32">
                  <c:v>232.88505323292625</c:v>
                </c:pt>
                <c:pt idx="33">
                  <c:v>250.66565041388108</c:v>
                </c:pt>
                <c:pt idx="34">
                  <c:v>268.41766015521176</c:v>
                </c:pt>
                <c:pt idx="35">
                  <c:v>286.14323894610345</c:v>
                </c:pt>
                <c:pt idx="36">
                  <c:v>303.84425422496753</c:v>
                </c:pt>
                <c:pt idx="37">
                  <c:v>321.52233806145614</c:v>
                </c:pt>
                <c:pt idx="38">
                  <c:v>339.17892840411287</c:v>
                </c:pt>
                <c:pt idx="39">
                  <c:v>356.81530128431109</c:v>
                </c:pt>
                <c:pt idx="40">
                  <c:v>374.43259631735282</c:v>
                </c:pt>
                <c:pt idx="41">
                  <c:v>392.03183715189334</c:v>
                </c:pt>
                <c:pt idx="42">
                  <c:v>409.61394805479932</c:v>
                </c:pt>
                <c:pt idx="43">
                  <c:v>427.17976749960877</c:v>
                </c:pt>
                <c:pt idx="44">
                  <c:v>444.73005940335389</c:v>
                </c:pt>
                <c:pt idx="45">
                  <c:v>304.8613887163238</c:v>
                </c:pt>
                <c:pt idx="46">
                  <c:v>325.03382843049724</c:v>
                </c:pt>
                <c:pt idx="47">
                  <c:v>345.17861331979901</c:v>
                </c:pt>
                <c:pt idx="48">
                  <c:v>365.29758358379837</c:v>
                </c:pt>
                <c:pt idx="49">
                  <c:v>385.39236023794496</c:v>
                </c:pt>
                <c:pt idx="50">
                  <c:v>405.46438152379852</c:v>
                </c:pt>
                <c:pt idx="51">
                  <c:v>425.51493173134185</c:v>
                </c:pt>
                <c:pt idx="52">
                  <c:v>344.93350024615029</c:v>
                </c:pt>
                <c:pt idx="53">
                  <c:v>364.02330227549265</c:v>
                </c:pt>
                <c:pt idx="54">
                  <c:v>383.09123870909769</c:v>
                </c:pt>
                <c:pt idx="55">
                  <c:v>402.13855049725061</c:v>
                </c:pt>
                <c:pt idx="56">
                  <c:v>421.16635148896142</c:v>
                </c:pt>
                <c:pt idx="57">
                  <c:v>440.17564672228195</c:v>
                </c:pt>
                <c:pt idx="58">
                  <c:v>459.1673473904425</c:v>
                </c:pt>
                <c:pt idx="59">
                  <c:v>478.14228320317687</c:v>
                </c:pt>
                <c:pt idx="60">
                  <c:v>390.09935870742078</c:v>
                </c:pt>
                <c:pt idx="61">
                  <c:v>407.56468328064005</c:v>
                </c:pt>
                <c:pt idx="62">
                  <c:v>425.01384318267583</c:v>
                </c:pt>
                <c:pt idx="63">
                  <c:v>442.44759519916147</c:v>
                </c:pt>
                <c:pt idx="64">
                  <c:v>459.86663163555068</c:v>
                </c:pt>
                <c:pt idx="65">
                  <c:v>477.2715880956182</c:v>
                </c:pt>
                <c:pt idx="66">
                  <c:v>494.66305006643915</c:v>
                </c:pt>
                <c:pt idx="67">
                  <c:v>512.04155852933104</c:v>
                </c:pt>
                <c:pt idx="68">
                  <c:v>441.46778086992737</c:v>
                </c:pt>
                <c:pt idx="69">
                  <c:v>458.26900271312144</c:v>
                </c:pt>
                <c:pt idx="70">
                  <c:v>475.05707529404305</c:v>
                </c:pt>
                <c:pt idx="71">
                  <c:v>491.8325285089154</c:v>
                </c:pt>
                <c:pt idx="72">
                  <c:v>508.59585317521964</c:v>
                </c:pt>
                <c:pt idx="73">
                  <c:v>525.347505133239</c:v>
                </c:pt>
                <c:pt idx="74">
                  <c:v>542.08790879742207</c:v>
                </c:pt>
                <c:pt idx="75">
                  <c:v>558.81746024641325</c:v>
                </c:pt>
                <c:pt idx="76">
                  <c:v>490.29030699982837</c:v>
                </c:pt>
                <c:pt idx="77">
                  <c:v>506.61932966296098</c:v>
                </c:pt>
                <c:pt idx="78">
                  <c:v>522.93722899864167</c:v>
                </c:pt>
                <c:pt idx="79">
                  <c:v>539.24440080661736</c:v>
                </c:pt>
                <c:pt idx="80">
                  <c:v>555.54121500849214</c:v>
                </c:pt>
                <c:pt idx="81">
                  <c:v>571.82801806482496</c:v>
                </c:pt>
                <c:pt idx="82">
                  <c:v>588.10513510265389</c:v>
                </c:pt>
                <c:pt idx="83">
                  <c:v>604.37287179535929</c:v>
                </c:pt>
                <c:pt idx="84">
                  <c:v>620.631516029713</c:v>
                </c:pt>
                <c:pt idx="85">
                  <c:v>539.85911119256582</c:v>
                </c:pt>
                <c:pt idx="86">
                  <c:v>555.21975930074007</c:v>
                </c:pt>
                <c:pt idx="87">
                  <c:v>570.57150759330045</c:v>
                </c:pt>
                <c:pt idx="88">
                  <c:v>585.9146291341425</c:v>
                </c:pt>
                <c:pt idx="89">
                  <c:v>601.24938152751258</c:v>
                </c:pt>
                <c:pt idx="90">
                  <c:v>616.57600817337777</c:v>
                </c:pt>
                <c:pt idx="91">
                  <c:v>631.8947393915513</c:v>
                </c:pt>
                <c:pt idx="92">
                  <c:v>647.20579343120664</c:v>
                </c:pt>
                <c:pt idx="93">
                  <c:v>662.50937737995605</c:v>
                </c:pt>
                <c:pt idx="94">
                  <c:v>595.65026224157634</c:v>
                </c:pt>
                <c:pt idx="95">
                  <c:v>611.24812567027914</c:v>
                </c:pt>
                <c:pt idx="96">
                  <c:v>626.83773333141039</c:v>
                </c:pt>
                <c:pt idx="97">
                  <c:v>642.41931934019169</c:v>
                </c:pt>
                <c:pt idx="98">
                  <c:v>657.99310553666646</c:v>
                </c:pt>
                <c:pt idx="99">
                  <c:v>673.55930241059502</c:v>
                </c:pt>
                <c:pt idx="100">
                  <c:v>689.11810993646702</c:v>
                </c:pt>
                <c:pt idx="101">
                  <c:v>704.66971832923673</c:v>
                </c:pt>
                <c:pt idx="102">
                  <c:v>720.21430872992516</c:v>
                </c:pt>
                <c:pt idx="103">
                  <c:v>735.75205382900401</c:v>
                </c:pt>
                <c:pt idx="104">
                  <c:v>642.67784187940549</c:v>
                </c:pt>
                <c:pt idx="105">
                  <c:v>657.38448118736198</c:v>
                </c:pt>
                <c:pt idx="106">
                  <c:v>672.08434579224274</c:v>
                </c:pt>
                <c:pt idx="107">
                  <c:v>686.77760465090466</c:v>
                </c:pt>
                <c:pt idx="108">
                  <c:v>701.46441890614233</c:v>
                </c:pt>
                <c:pt idx="109">
                  <c:v>716.14494240749411</c:v>
                </c:pt>
                <c:pt idx="110">
                  <c:v>730.81932218715531</c:v>
                </c:pt>
                <c:pt idx="111">
                  <c:v>745.48769889571065</c:v>
                </c:pt>
                <c:pt idx="112">
                  <c:v>760.15020720181485</c:v>
                </c:pt>
                <c:pt idx="113">
                  <c:v>774.80697615946156</c:v>
                </c:pt>
                <c:pt idx="114">
                  <c:v>704.37543183679225</c:v>
                </c:pt>
                <c:pt idx="115">
                  <c:v>720.19512476410307</c:v>
                </c:pt>
                <c:pt idx="116">
                  <c:v>736.00772777854388</c:v>
                </c:pt>
                <c:pt idx="117">
                  <c:v>751.81341453296864</c:v>
                </c:pt>
                <c:pt idx="118">
                  <c:v>767.61235078968275</c:v>
                </c:pt>
                <c:pt idx="119">
                  <c:v>783.40469493732542</c:v>
                </c:pt>
                <c:pt idx="120">
                  <c:v>799.19059846394703</c:v>
                </c:pt>
                <c:pt idx="121">
                  <c:v>814.97020639080176</c:v>
                </c:pt>
                <c:pt idx="122">
                  <c:v>830.74365767083043</c:v>
                </c:pt>
                <c:pt idx="123">
                  <c:v>846.51108555533563</c:v>
                </c:pt>
                <c:pt idx="124">
                  <c:v>862.27261793194805</c:v>
                </c:pt>
                <c:pt idx="125">
                  <c:v>878.02837763662262</c:v>
                </c:pt>
                <c:pt idx="126">
                  <c:v>762.32548796712365</c:v>
                </c:pt>
                <c:pt idx="127">
                  <c:v>777.38933134776391</c:v>
                </c:pt>
                <c:pt idx="128">
                  <c:v>792.44726461706807</c:v>
                </c:pt>
                <c:pt idx="129">
                  <c:v>807.49941580205348</c:v>
                </c:pt>
                <c:pt idx="130">
                  <c:v>822.5459077719438</c:v>
                </c:pt>
                <c:pt idx="131">
                  <c:v>837.58685853844179</c:v>
                </c:pt>
                <c:pt idx="132">
                  <c:v>852.62238153333408</c:v>
                </c:pt>
                <c:pt idx="133">
                  <c:v>867.65258586551636</c:v>
                </c:pt>
                <c:pt idx="134">
                  <c:v>882.67757655930211</c:v>
                </c:pt>
                <c:pt idx="135">
                  <c:v>897.69745477567938</c:v>
                </c:pt>
                <c:pt idx="136">
                  <c:v>912.71231801800559</c:v>
                </c:pt>
                <c:pt idx="137">
                  <c:v>927.72226032347999</c:v>
                </c:pt>
                <c:pt idx="138">
                  <c:v>803.07936932009852</c:v>
                </c:pt>
                <c:pt idx="139">
                  <c:v>817.6207995679955</c:v>
                </c:pt>
                <c:pt idx="140">
                  <c:v>832.15702000141948</c:v>
                </c:pt>
                <c:pt idx="141">
                  <c:v>846.68813436649805</c:v>
                </c:pt>
                <c:pt idx="142">
                  <c:v>861.21424256129728</c:v>
                </c:pt>
                <c:pt idx="143">
                  <c:v>875.73544084237983</c:v>
                </c:pt>
                <c:pt idx="144">
                  <c:v>890.25182201696441</c:v>
                </c:pt>
                <c:pt idx="145">
                  <c:v>904.76347562191495</c:v>
                </c:pt>
                <c:pt idx="146">
                  <c:v>919.27048809066116</c:v>
                </c:pt>
                <c:pt idx="147">
                  <c:v>933.77294290904672</c:v>
                </c:pt>
                <c:pt idx="148">
                  <c:v>948.27092076100234</c:v>
                </c:pt>
                <c:pt idx="149">
                  <c:v>962.76449966485961</c:v>
                </c:pt>
                <c:pt idx="150">
                  <c:v>633.57483923230041</c:v>
                </c:pt>
                <c:pt idx="151">
                  <c:v>631.06356045419966</c:v>
                </c:pt>
                <c:pt idx="152">
                  <c:v>628.55207495763545</c:v>
                </c:pt>
                <c:pt idx="153">
                  <c:v>626.0403817991064</c:v>
                </c:pt>
                <c:pt idx="154">
                  <c:v>433.1374646234288</c:v>
                </c:pt>
                <c:pt idx="155">
                  <c:v>431.79632479690872</c:v>
                </c:pt>
                <c:pt idx="156">
                  <c:v>430.45509546534737</c:v>
                </c:pt>
                <c:pt idx="157">
                  <c:v>429.1137763099311</c:v>
                </c:pt>
                <c:pt idx="158">
                  <c:v>302.54678082036344</c:v>
                </c:pt>
                <c:pt idx="159">
                  <c:v>301.29277353626509</c:v>
                </c:pt>
                <c:pt idx="160">
                  <c:v>300.03865000732907</c:v>
                </c:pt>
                <c:pt idx="161">
                  <c:v>298.78440967759252</c:v>
                </c:pt>
                <c:pt idx="162">
                  <c:v>44.126735043514884</c:v>
                </c:pt>
                <c:pt idx="163">
                  <c:v>44.126735043514884</c:v>
                </c:pt>
                <c:pt idx="164">
                  <c:v>44.126735043514884</c:v>
                </c:pt>
                <c:pt idx="165">
                  <c:v>44.126735043514884</c:v>
                </c:pt>
                <c:pt idx="166">
                  <c:v>44.126735043514884</c:v>
                </c:pt>
                <c:pt idx="167">
                  <c:v>44.126735043514884</c:v>
                </c:pt>
                <c:pt idx="168">
                  <c:v>44.126735043514884</c:v>
                </c:pt>
                <c:pt idx="169">
                  <c:v>44.126735043514884</c:v>
                </c:pt>
                <c:pt idx="170">
                  <c:v>44.126735043514884</c:v>
                </c:pt>
                <c:pt idx="171">
                  <c:v>44.126735043514884</c:v>
                </c:pt>
                <c:pt idx="172">
                  <c:v>44.126735043514884</c:v>
                </c:pt>
                <c:pt idx="173">
                  <c:v>44.126735043514884</c:v>
                </c:pt>
                <c:pt idx="174">
                  <c:v>44.126735043514884</c:v>
                </c:pt>
                <c:pt idx="175">
                  <c:v>44.126735043514884</c:v>
                </c:pt>
                <c:pt idx="176">
                  <c:v>44.126735043514884</c:v>
                </c:pt>
                <c:pt idx="177">
                  <c:v>44.126735043514884</c:v>
                </c:pt>
                <c:pt idx="178">
                  <c:v>44.126735043514884</c:v>
                </c:pt>
                <c:pt idx="179">
                  <c:v>44.126735043514884</c:v>
                </c:pt>
                <c:pt idx="180">
                  <c:v>44.126735043514884</c:v>
                </c:pt>
                <c:pt idx="181">
                  <c:v>44.126735043514884</c:v>
                </c:pt>
                <c:pt idx="182">
                  <c:v>44.126735043514884</c:v>
                </c:pt>
                <c:pt idx="183">
                  <c:v>44.126735043514884</c:v>
                </c:pt>
                <c:pt idx="184">
                  <c:v>44.126735043514884</c:v>
                </c:pt>
                <c:pt idx="185">
                  <c:v>44.126735043514884</c:v>
                </c:pt>
                <c:pt idx="186">
                  <c:v>44.126735043514884</c:v>
                </c:pt>
                <c:pt idx="187">
                  <c:v>44.126735043514884</c:v>
                </c:pt>
                <c:pt idx="188">
                  <c:v>44.126735043514884</c:v>
                </c:pt>
                <c:pt idx="189">
                  <c:v>44.126735043514884</c:v>
                </c:pt>
                <c:pt idx="190">
                  <c:v>44.126735043514884</c:v>
                </c:pt>
                <c:pt idx="191">
                  <c:v>44.126735043514884</c:v>
                </c:pt>
                <c:pt idx="192">
                  <c:v>44.126735043514884</c:v>
                </c:pt>
                <c:pt idx="193">
                  <c:v>44.126735043514884</c:v>
                </c:pt>
                <c:pt idx="194">
                  <c:v>44.126735043514884</c:v>
                </c:pt>
                <c:pt idx="195">
                  <c:v>44.126735043514884</c:v>
                </c:pt>
                <c:pt idx="196">
                  <c:v>44.126735043514884</c:v>
                </c:pt>
                <c:pt idx="197">
                  <c:v>44.126735043514884</c:v>
                </c:pt>
                <c:pt idx="198">
                  <c:v>44.126735043514884</c:v>
                </c:pt>
                <c:pt idx="199">
                  <c:v>44.126735043514884</c:v>
                </c:pt>
                <c:pt idx="200">
                  <c:v>44.126735043514884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2.4666401082014167</c:v>
                </c:pt>
                <c:pt idx="2">
                  <c:v>3.0381314882331907</c:v>
                </c:pt>
                <c:pt idx="3">
                  <c:v>3.7425387547379589</c:v>
                </c:pt>
                <c:pt idx="4">
                  <c:v>4.6108866205564993</c:v>
                </c:pt>
                <c:pt idx="5">
                  <c:v>5.6814658439161425</c:v>
                </c:pt>
                <c:pt idx="6">
                  <c:v>7.0015402598355001</c:v>
                </c:pt>
                <c:pt idx="7">
                  <c:v>8.6294560017985713</c:v>
                </c:pt>
                <c:pt idx="8">
                  <c:v>10.637247922451207</c:v>
                </c:pt>
                <c:pt idx="9">
                  <c:v>13.113860719681108</c:v>
                </c:pt>
                <c:pt idx="10">
                  <c:v>16.169130110963568</c:v>
                </c:pt>
                <c:pt idx="11">
                  <c:v>19.938703843757168</c:v>
                </c:pt>
                <c:pt idx="12">
                  <c:v>24.590124954865942</c:v>
                </c:pt>
                <c:pt idx="13">
                  <c:v>30.330352443420622</c:v>
                </c:pt>
                <c:pt idx="14">
                  <c:v>37.415059810742861</c:v>
                </c:pt>
                <c:pt idx="15">
                  <c:v>46.160132730747058</c:v>
                </c:pt>
                <c:pt idx="16">
                  <c:v>53.54405050351091</c:v>
                </c:pt>
                <c:pt idx="17">
                  <c:v>64.237401599326333</c:v>
                </c:pt>
                <c:pt idx="18">
                  <c:v>74.884579282541907</c:v>
                </c:pt>
                <c:pt idx="19">
                  <c:v>85.493098570035002</c:v>
                </c:pt>
                <c:pt idx="20">
                  <c:v>96.068445646101623</c:v>
                </c:pt>
                <c:pt idx="21">
                  <c:v>80.193291161692272</c:v>
                </c:pt>
                <c:pt idx="22">
                  <c:v>91.886046933404771</c:v>
                </c:pt>
                <c:pt idx="23">
                  <c:v>103.54156486204137</c:v>
                </c:pt>
                <c:pt idx="24">
                  <c:v>115.16463575709987</c:v>
                </c:pt>
                <c:pt idx="25">
                  <c:v>126.75900095584753</c:v>
                </c:pt>
                <c:pt idx="26">
                  <c:v>109.79548104476635</c:v>
                </c:pt>
                <c:pt idx="27">
                  <c:v>122.38693696728227</c:v>
                </c:pt>
                <c:pt idx="28">
                  <c:v>134.94687887223327</c:v>
                </c:pt>
                <c:pt idx="29">
                  <c:v>147.47865650032585</c:v>
                </c:pt>
                <c:pt idx="30">
                  <c:v>159.98500255117719</c:v>
                </c:pt>
                <c:pt idx="31">
                  <c:v>172.46818680515318</c:v>
                </c:pt>
                <c:pt idx="32">
                  <c:v>145.8455722770706</c:v>
                </c:pt>
                <c:pt idx="33">
                  <c:v>158.35509810154883</c:v>
                </c:pt>
                <c:pt idx="34">
                  <c:v>170.84118818356569</c:v>
                </c:pt>
                <c:pt idx="35">
                  <c:v>183.30579794212579</c:v>
                </c:pt>
                <c:pt idx="36">
                  <c:v>195.75059478725078</c:v>
                </c:pt>
                <c:pt idx="37">
                  <c:v>208.1770165582291</c:v>
                </c:pt>
                <c:pt idx="38">
                  <c:v>181.29426170701831</c:v>
                </c:pt>
                <c:pt idx="39">
                  <c:v>193.35586166070036</c:v>
                </c:pt>
                <c:pt idx="40">
                  <c:v>205.39996580025527</c:v>
                </c:pt>
                <c:pt idx="41">
                  <c:v>217.42774522682785</c:v>
                </c:pt>
                <c:pt idx="42">
                  <c:v>229.44023077231554</c:v>
                </c:pt>
                <c:pt idx="43">
                  <c:v>241.43833642402683</c:v>
                </c:pt>
                <c:pt idx="44">
                  <c:v>253.42287784303949</c:v>
                </c:pt>
                <c:pt idx="45">
                  <c:v>218.29453038722804</c:v>
                </c:pt>
                <c:pt idx="46">
                  <c:v>229.47870877017669</c:v>
                </c:pt>
                <c:pt idx="47">
                  <c:v>240.65042415501102</c:v>
                </c:pt>
                <c:pt idx="48">
                  <c:v>251.81033701987701</c:v>
                </c:pt>
                <c:pt idx="49">
                  <c:v>262.95904447479376</c:v>
                </c:pt>
                <c:pt idx="50">
                  <c:v>274.09708882832632</c:v>
                </c:pt>
                <c:pt idx="51">
                  <c:v>285.22496468772198</c:v>
                </c:pt>
                <c:pt idx="52">
                  <c:v>296.34312489217251</c:v>
                </c:pt>
                <c:pt idx="53">
                  <c:v>254.90083618598587</c:v>
                </c:pt>
                <c:pt idx="54">
                  <c:v>264.97271847947843</c:v>
                </c:pt>
                <c:pt idx="55">
                  <c:v>275.03597044380331</c:v>
                </c:pt>
                <c:pt idx="56">
                  <c:v>285.09095259230469</c:v>
                </c:pt>
                <c:pt idx="57">
                  <c:v>295.1379979132588</c:v>
                </c:pt>
                <c:pt idx="58">
                  <c:v>305.17741485719807</c:v>
                </c:pt>
                <c:pt idx="59">
                  <c:v>315.20948991031895</c:v>
                </c:pt>
                <c:pt idx="60">
                  <c:v>325.23448982295054</c:v>
                </c:pt>
                <c:pt idx="61">
                  <c:v>284.19750250424892</c:v>
                </c:pt>
                <c:pt idx="62">
                  <c:v>293.48634915337936</c:v>
                </c:pt>
                <c:pt idx="63">
                  <c:v>302.76863483811127</c:v>
                </c:pt>
                <c:pt idx="64">
                  <c:v>312.04458921662859</c:v>
                </c:pt>
                <c:pt idx="65">
                  <c:v>321.31442716865104</c:v>
                </c:pt>
                <c:pt idx="66">
                  <c:v>330.57835015463405</c:v>
                </c:pt>
                <c:pt idx="67">
                  <c:v>339.83654741456093</c:v>
                </c:pt>
                <c:pt idx="68">
                  <c:v>349.08919702920366</c:v>
                </c:pt>
                <c:pt idx="69">
                  <c:v>358.3364668629327</c:v>
                </c:pt>
                <c:pt idx="70">
                  <c:v>358.3364668629327</c:v>
                </c:pt>
                <c:pt idx="71">
                  <c:v>358.3364668629327</c:v>
                </c:pt>
                <c:pt idx="72">
                  <c:v>358.3364668629327</c:v>
                </c:pt>
                <c:pt idx="73">
                  <c:v>358.3364668629327</c:v>
                </c:pt>
                <c:pt idx="74">
                  <c:v>358.3364668629327</c:v>
                </c:pt>
                <c:pt idx="75">
                  <c:v>358.3364668629327</c:v>
                </c:pt>
                <c:pt idx="76">
                  <c:v>358.3364668629327</c:v>
                </c:pt>
                <c:pt idx="77">
                  <c:v>358.3364668629327</c:v>
                </c:pt>
                <c:pt idx="78">
                  <c:v>358.3364668629327</c:v>
                </c:pt>
                <c:pt idx="79">
                  <c:v>358.3364668629327</c:v>
                </c:pt>
                <c:pt idx="80">
                  <c:v>358.3364668629327</c:v>
                </c:pt>
                <c:pt idx="81">
                  <c:v>358.3364668629327</c:v>
                </c:pt>
                <c:pt idx="82">
                  <c:v>358.3364668629327</c:v>
                </c:pt>
                <c:pt idx="83">
                  <c:v>358.3364668629327</c:v>
                </c:pt>
                <c:pt idx="84">
                  <c:v>358.3364668629327</c:v>
                </c:pt>
                <c:pt idx="85">
                  <c:v>358.3364668629327</c:v>
                </c:pt>
                <c:pt idx="86">
                  <c:v>358.3364668629327</c:v>
                </c:pt>
                <c:pt idx="87">
                  <c:v>358.3364668629327</c:v>
                </c:pt>
                <c:pt idx="88">
                  <c:v>358.3364668629327</c:v>
                </c:pt>
                <c:pt idx="89">
                  <c:v>358.3364668629327</c:v>
                </c:pt>
                <c:pt idx="90">
                  <c:v>358.3364668629327</c:v>
                </c:pt>
                <c:pt idx="91">
                  <c:v>358.3364668629327</c:v>
                </c:pt>
                <c:pt idx="92">
                  <c:v>358.3364668629327</c:v>
                </c:pt>
                <c:pt idx="93">
                  <c:v>358.3364668629327</c:v>
                </c:pt>
                <c:pt idx="94">
                  <c:v>358.3364668629327</c:v>
                </c:pt>
                <c:pt idx="95">
                  <c:v>358.3364668629327</c:v>
                </c:pt>
                <c:pt idx="96">
                  <c:v>358.3364668629327</c:v>
                </c:pt>
                <c:pt idx="97">
                  <c:v>358.3364668629327</c:v>
                </c:pt>
                <c:pt idx="98">
                  <c:v>358.3364668629327</c:v>
                </c:pt>
                <c:pt idx="99">
                  <c:v>358.3364668629327</c:v>
                </c:pt>
                <c:pt idx="100">
                  <c:v>358.3364668629327</c:v>
                </c:pt>
                <c:pt idx="101">
                  <c:v>358.3364668629327</c:v>
                </c:pt>
                <c:pt idx="102">
                  <c:v>358.3364668629327</c:v>
                </c:pt>
                <c:pt idx="103">
                  <c:v>358.3364668629327</c:v>
                </c:pt>
                <c:pt idx="104">
                  <c:v>358.3364668629327</c:v>
                </c:pt>
                <c:pt idx="105">
                  <c:v>358.3364668629327</c:v>
                </c:pt>
                <c:pt idx="106">
                  <c:v>358.3364668629327</c:v>
                </c:pt>
                <c:pt idx="107">
                  <c:v>358.3364668629327</c:v>
                </c:pt>
                <c:pt idx="108">
                  <c:v>358.3364668629327</c:v>
                </c:pt>
                <c:pt idx="109">
                  <c:v>358.3364668629327</c:v>
                </c:pt>
                <c:pt idx="110">
                  <c:v>358.3364668629327</c:v>
                </c:pt>
                <c:pt idx="111">
                  <c:v>358.3364668629327</c:v>
                </c:pt>
                <c:pt idx="112">
                  <c:v>358.3364668629327</c:v>
                </c:pt>
                <c:pt idx="113">
                  <c:v>358.3364668629327</c:v>
                </c:pt>
                <c:pt idx="114">
                  <c:v>358.3364668629327</c:v>
                </c:pt>
                <c:pt idx="115">
                  <c:v>358.3364668629327</c:v>
                </c:pt>
                <c:pt idx="116">
                  <c:v>358.3364668629327</c:v>
                </c:pt>
                <c:pt idx="117">
                  <c:v>358.3364668629327</c:v>
                </c:pt>
                <c:pt idx="118">
                  <c:v>358.3364668629327</c:v>
                </c:pt>
                <c:pt idx="119">
                  <c:v>358.3364668629327</c:v>
                </c:pt>
                <c:pt idx="120">
                  <c:v>358.3364668629327</c:v>
                </c:pt>
                <c:pt idx="121">
                  <c:v>358.3364668629327</c:v>
                </c:pt>
                <c:pt idx="122">
                  <c:v>358.3364668629327</c:v>
                </c:pt>
                <c:pt idx="123">
                  <c:v>358.3364668629327</c:v>
                </c:pt>
                <c:pt idx="124">
                  <c:v>358.3364668629327</c:v>
                </c:pt>
                <c:pt idx="125">
                  <c:v>358.3364668629327</c:v>
                </c:pt>
                <c:pt idx="126">
                  <c:v>358.3364668629327</c:v>
                </c:pt>
                <c:pt idx="127">
                  <c:v>358.3364668629327</c:v>
                </c:pt>
                <c:pt idx="128">
                  <c:v>358.3364668629327</c:v>
                </c:pt>
                <c:pt idx="129">
                  <c:v>358.3364668629327</c:v>
                </c:pt>
                <c:pt idx="130">
                  <c:v>358.3364668629327</c:v>
                </c:pt>
                <c:pt idx="131">
                  <c:v>358.3364668629327</c:v>
                </c:pt>
                <c:pt idx="132">
                  <c:v>358.3364668629327</c:v>
                </c:pt>
                <c:pt idx="133">
                  <c:v>358.3364668629327</c:v>
                </c:pt>
                <c:pt idx="134">
                  <c:v>358.3364668629327</c:v>
                </c:pt>
                <c:pt idx="135">
                  <c:v>358.3364668629327</c:v>
                </c:pt>
                <c:pt idx="136">
                  <c:v>358.3364668629327</c:v>
                </c:pt>
                <c:pt idx="137">
                  <c:v>358.3364668629327</c:v>
                </c:pt>
                <c:pt idx="138">
                  <c:v>358.3364668629327</c:v>
                </c:pt>
                <c:pt idx="139">
                  <c:v>358.3364668629327</c:v>
                </c:pt>
                <c:pt idx="140">
                  <c:v>358.3364668629327</c:v>
                </c:pt>
                <c:pt idx="141">
                  <c:v>358.3364668629327</c:v>
                </c:pt>
                <c:pt idx="142">
                  <c:v>358.3364668629327</c:v>
                </c:pt>
                <c:pt idx="143">
                  <c:v>358.3364668629327</c:v>
                </c:pt>
                <c:pt idx="144">
                  <c:v>358.3364668629327</c:v>
                </c:pt>
                <c:pt idx="145">
                  <c:v>358.3364668629327</c:v>
                </c:pt>
                <c:pt idx="146">
                  <c:v>358.3364668629327</c:v>
                </c:pt>
                <c:pt idx="147">
                  <c:v>358.3364668629327</c:v>
                </c:pt>
                <c:pt idx="148">
                  <c:v>358.3364668629327</c:v>
                </c:pt>
                <c:pt idx="149">
                  <c:v>358.3364668629327</c:v>
                </c:pt>
                <c:pt idx="150">
                  <c:v>358.3364668629327</c:v>
                </c:pt>
                <c:pt idx="151">
                  <c:v>358.3364668629327</c:v>
                </c:pt>
                <c:pt idx="152">
                  <c:v>358.3364668629327</c:v>
                </c:pt>
                <c:pt idx="153">
                  <c:v>358.3364668629327</c:v>
                </c:pt>
                <c:pt idx="154">
                  <c:v>358.3364668629327</c:v>
                </c:pt>
                <c:pt idx="155">
                  <c:v>358.3364668629327</c:v>
                </c:pt>
                <c:pt idx="156">
                  <c:v>358.3364668629327</c:v>
                </c:pt>
                <c:pt idx="157">
                  <c:v>358.3364668629327</c:v>
                </c:pt>
                <c:pt idx="158">
                  <c:v>358.3364668629327</c:v>
                </c:pt>
                <c:pt idx="159">
                  <c:v>358.3364668629327</c:v>
                </c:pt>
                <c:pt idx="160">
                  <c:v>358.3364668629327</c:v>
                </c:pt>
                <c:pt idx="161">
                  <c:v>358.3364668629327</c:v>
                </c:pt>
                <c:pt idx="162">
                  <c:v>358.3364668629327</c:v>
                </c:pt>
                <c:pt idx="163">
                  <c:v>358.3364668629327</c:v>
                </c:pt>
                <c:pt idx="164">
                  <c:v>358.3364668629327</c:v>
                </c:pt>
                <c:pt idx="165">
                  <c:v>358.3364668629327</c:v>
                </c:pt>
                <c:pt idx="166">
                  <c:v>358.3364668629327</c:v>
                </c:pt>
                <c:pt idx="167">
                  <c:v>358.3364668629327</c:v>
                </c:pt>
                <c:pt idx="168">
                  <c:v>358.3364668629327</c:v>
                </c:pt>
                <c:pt idx="169">
                  <c:v>358.3364668629327</c:v>
                </c:pt>
                <c:pt idx="170">
                  <c:v>358.3364668629327</c:v>
                </c:pt>
                <c:pt idx="171">
                  <c:v>358.3364668629327</c:v>
                </c:pt>
                <c:pt idx="172">
                  <c:v>358.3364668629327</c:v>
                </c:pt>
                <c:pt idx="173">
                  <c:v>358.3364668629327</c:v>
                </c:pt>
                <c:pt idx="174">
                  <c:v>358.3364668629327</c:v>
                </c:pt>
                <c:pt idx="175">
                  <c:v>358.3364668629327</c:v>
                </c:pt>
                <c:pt idx="176">
                  <c:v>358.3364668629327</c:v>
                </c:pt>
                <c:pt idx="177">
                  <c:v>358.3364668629327</c:v>
                </c:pt>
                <c:pt idx="178">
                  <c:v>358.3364668629327</c:v>
                </c:pt>
                <c:pt idx="179">
                  <c:v>358.3364668629327</c:v>
                </c:pt>
                <c:pt idx="180">
                  <c:v>358.3364668629327</c:v>
                </c:pt>
                <c:pt idx="181">
                  <c:v>358.3364668629327</c:v>
                </c:pt>
                <c:pt idx="182">
                  <c:v>358.3364668629327</c:v>
                </c:pt>
                <c:pt idx="183">
                  <c:v>358.3364668629327</c:v>
                </c:pt>
                <c:pt idx="184">
                  <c:v>358.3364668629327</c:v>
                </c:pt>
                <c:pt idx="185">
                  <c:v>358.3364668629327</c:v>
                </c:pt>
                <c:pt idx="186">
                  <c:v>358.3364668629327</c:v>
                </c:pt>
                <c:pt idx="187">
                  <c:v>358.3364668629327</c:v>
                </c:pt>
                <c:pt idx="188">
                  <c:v>358.3364668629327</c:v>
                </c:pt>
                <c:pt idx="189">
                  <c:v>358.3364668629327</c:v>
                </c:pt>
                <c:pt idx="190">
                  <c:v>358.3364668629327</c:v>
                </c:pt>
                <c:pt idx="191">
                  <c:v>358.3364668629327</c:v>
                </c:pt>
                <c:pt idx="192">
                  <c:v>358.3364668629327</c:v>
                </c:pt>
                <c:pt idx="193">
                  <c:v>358.3364668629327</c:v>
                </c:pt>
                <c:pt idx="194">
                  <c:v>358.3364668629327</c:v>
                </c:pt>
                <c:pt idx="195">
                  <c:v>358.3364668629327</c:v>
                </c:pt>
                <c:pt idx="196">
                  <c:v>358.3364668629327</c:v>
                </c:pt>
                <c:pt idx="197">
                  <c:v>358.3364668629327</c:v>
                </c:pt>
                <c:pt idx="198">
                  <c:v>358.3364668629327</c:v>
                </c:pt>
                <c:pt idx="199">
                  <c:v>358.3364668629327</c:v>
                </c:pt>
                <c:pt idx="200">
                  <c:v>358.3364668629327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2.8445538772345813</c:v>
                </c:pt>
                <c:pt idx="2">
                  <c:v>3.2842735356256001</c:v>
                </c:pt>
                <c:pt idx="3">
                  <c:v>3.7922102923155587</c:v>
                </c:pt>
                <c:pt idx="4">
                  <c:v>4.3789829346766238</c:v>
                </c:pt>
                <c:pt idx="5">
                  <c:v>5.0568684073246066</c:v>
                </c:pt>
                <c:pt idx="6">
                  <c:v>5.8400614981191969</c:v>
                </c:pt>
                <c:pt idx="7">
                  <c:v>6.744975304078622</c:v>
                </c:pt>
                <c:pt idx="8">
                  <c:v>7.7905888970382291</c:v>
                </c:pt>
                <c:pt idx="9">
                  <c:v>8.9988496218310328</c:v>
                </c:pt>
                <c:pt idx="10">
                  <c:v>10.39513863287511</c:v>
                </c:pt>
                <c:pt idx="11">
                  <c:v>12.008809633687948</c:v>
                </c:pt>
                <c:pt idx="12">
                  <c:v>13.873812357407417</c:v>
                </c:pt>
                <c:pt idx="13">
                  <c:v>16.029414148944227</c:v>
                </c:pt>
                <c:pt idx="14">
                  <c:v>18.521035120389836</c:v>
                </c:pt>
                <c:pt idx="15">
                  <c:v>21.401214796491121</c:v>
                </c:pt>
                <c:pt idx="16">
                  <c:v>24.730730999377005</c:v>
                </c:pt>
                <c:pt idx="17">
                  <c:v>28.579895002697388</c:v>
                </c:pt>
                <c:pt idx="18">
                  <c:v>33.030050786084658</c:v>
                </c:pt>
                <c:pt idx="19">
                  <c:v>38.1753106238532</c:v>
                </c:pt>
                <c:pt idx="20">
                  <c:v>44.124564342704808</c:v>
                </c:pt>
                <c:pt idx="21">
                  <c:v>51.003805492690397</c:v>
                </c:pt>
                <c:pt idx="22">
                  <c:v>58.958824522192934</c:v>
                </c:pt>
                <c:pt idx="23">
                  <c:v>68.158326980054113</c:v>
                </c:pt>
                <c:pt idx="24">
                  <c:v>78.79754395865875</c:v>
                </c:pt>
                <c:pt idx="25">
                  <c:v>91.102412640730066</c:v>
                </c:pt>
                <c:pt idx="26">
                  <c:v>105.33441715151315</c:v>
                </c:pt>
                <c:pt idx="27">
                  <c:v>121.79619421552813</c:v>
                </c:pt>
                <c:pt idx="28">
                  <c:v>140.83802468452009</c:v>
                </c:pt>
                <c:pt idx="29">
                  <c:v>162.86535120152465</c:v>
                </c:pt>
                <c:pt idx="30">
                  <c:v>188.3474845134881</c:v>
                </c:pt>
                <c:pt idx="31">
                  <c:v>205.38779799868885</c:v>
                </c:pt>
                <c:pt idx="32">
                  <c:v>222.39542769841435</c:v>
                </c:pt>
                <c:pt idx="33">
                  <c:v>239.37322521159771</c:v>
                </c:pt>
                <c:pt idx="34">
                  <c:v>256.32360431168985</c:v>
                </c:pt>
                <c:pt idx="35">
                  <c:v>273.24863330253601</c:v>
                </c:pt>
                <c:pt idx="36">
                  <c:v>290.15010325736512</c:v>
                </c:pt>
                <c:pt idx="37">
                  <c:v>307.02957950558391</c:v>
                </c:pt>
                <c:pt idx="38">
                  <c:v>323.88844119368798</c:v>
                </c:pt>
                <c:pt idx="39">
                  <c:v>340.72791217228371</c:v>
                </c:pt>
                <c:pt idx="40">
                  <c:v>357.54908545436979</c:v>
                </c:pt>
                <c:pt idx="41">
                  <c:v>374.35294282852414</c:v>
                </c:pt>
                <c:pt idx="42">
                  <c:v>391.14037076555655</c:v>
                </c:pt>
                <c:pt idx="43">
                  <c:v>407.91217345129581</c:v>
                </c:pt>
                <c:pt idx="44">
                  <c:v>424.66908356390559</c:v>
                </c:pt>
                <c:pt idx="45">
                  <c:v>291.12129128781174</c:v>
                </c:pt>
                <c:pt idx="46">
                  <c:v>310.38242711833601</c:v>
                </c:pt>
                <c:pt idx="47">
                  <c:v>329.6170390130946</c:v>
                </c:pt>
                <c:pt idx="48">
                  <c:v>348.82689192035224</c:v>
                </c:pt>
                <c:pt idx="49">
                  <c:v>368.01354056735317</c:v>
                </c:pt>
                <c:pt idx="50">
                  <c:v>387.17836438162664</c:v>
                </c:pt>
                <c:pt idx="51">
                  <c:v>406.3225951346688</c:v>
                </c:pt>
                <c:pt idx="52">
                  <c:v>329.38300121351375</c:v>
                </c:pt>
                <c:pt idx="53">
                  <c:v>347.61019480543092</c:v>
                </c:pt>
                <c:pt idx="54">
                  <c:v>365.81641695169589</c:v>
                </c:pt>
                <c:pt idx="55">
                  <c:v>384.00285785639812</c:v>
                </c:pt>
                <c:pt idx="56">
                  <c:v>402.17058581990551</c:v>
                </c:pt>
                <c:pt idx="57">
                  <c:v>420.32056478123673</c:v>
                </c:pt>
                <c:pt idx="58">
                  <c:v>438.45366867218513</c:v>
                </c:pt>
                <c:pt idx="59">
                  <c:v>456.57069327315395</c:v>
                </c:pt>
                <c:pt idx="60">
                  <c:v>372.50780485584801</c:v>
                </c:pt>
                <c:pt idx="61">
                  <c:v>389.18373312219364</c:v>
                </c:pt>
                <c:pt idx="62">
                  <c:v>405.84415773946051</c:v>
                </c:pt>
                <c:pt idx="63">
                  <c:v>422.48980454603742</c:v>
                </c:pt>
                <c:pt idx="64">
                  <c:v>439.12133753692211</c:v>
                </c:pt>
                <c:pt idx="65">
                  <c:v>455.73936632413648</c:v>
                </c:pt>
                <c:pt idx="66">
                  <c:v>472.34445245242495</c:v>
                </c:pt>
                <c:pt idx="67">
                  <c:v>488.93711478074925</c:v>
                </c:pt>
                <c:pt idx="68">
                  <c:v>421.55428513380929</c:v>
                </c:pt>
                <c:pt idx="69">
                  <c:v>437.59593896379943</c:v>
                </c:pt>
                <c:pt idx="70">
                  <c:v>453.62498124446711</c:v>
                </c:pt>
                <c:pt idx="71">
                  <c:v>469.64192020298191</c:v>
                </c:pt>
                <c:pt idx="72">
                  <c:v>485.64722658581985</c:v>
                </c:pt>
                <c:pt idx="73">
                  <c:v>501.64133759258158</c:v>
                </c:pt>
                <c:pt idx="74">
                  <c:v>517.62466028213032</c:v>
                </c:pt>
                <c:pt idx="75">
                  <c:v>533.59757453626105</c:v>
                </c:pt>
                <c:pt idx="76">
                  <c:v>468.16943357557466</c:v>
                </c:pt>
                <c:pt idx="77">
                  <c:v>483.76008185960126</c:v>
                </c:pt>
                <c:pt idx="78">
                  <c:v>499.3400616825474</c:v>
                </c:pt>
                <c:pt idx="79">
                  <c:v>514.90975265871532</c:v>
                </c:pt>
                <c:pt idx="80">
                  <c:v>530.46950958250136</c:v>
                </c:pt>
                <c:pt idx="81">
                  <c:v>546.01966474664687</c:v>
                </c:pt>
                <c:pt idx="82">
                  <c:v>561.56052998276721</c:v>
                </c:pt>
                <c:pt idx="83">
                  <c:v>577.09239846433638</c:v>
                </c:pt>
                <c:pt idx="84">
                  <c:v>592.61554630556918</c:v>
                </c:pt>
                <c:pt idx="85">
                  <c:v>515.49666229516231</c:v>
                </c:pt>
                <c:pt idx="86">
                  <c:v>530.16259280132942</c:v>
                </c:pt>
                <c:pt idx="87">
                  <c:v>544.81998743215593</c:v>
                </c:pt>
                <c:pt idx="88">
                  <c:v>559.46910808513201</c:v>
                </c:pt>
                <c:pt idx="89">
                  <c:v>574.11020183029041</c:v>
                </c:pt>
                <c:pt idx="90">
                  <c:v>588.7435021142403</c:v>
                </c:pt>
                <c:pt idx="91">
                  <c:v>603.36922983832358</c:v>
                </c:pt>
                <c:pt idx="92">
                  <c:v>617.98759432684778</c:v>
                </c:pt>
                <c:pt idx="93">
                  <c:v>632.59879419898868</c:v>
                </c:pt>
                <c:pt idx="94">
                  <c:v>568.76435960783181</c:v>
                </c:pt>
                <c:pt idx="95">
                  <c:v>583.65663949426005</c:v>
                </c:pt>
                <c:pt idx="96">
                  <c:v>598.54100121632507</c:v>
                </c:pt>
                <c:pt idx="97">
                  <c:v>613.41766931557186</c:v>
                </c:pt>
                <c:pt idx="98">
                  <c:v>628.28685656033622</c:v>
                </c:pt>
                <c:pt idx="99">
                  <c:v>643.14876483281807</c:v>
                </c:pt>
                <c:pt idx="100">
                  <c:v>658.00358592994769</c:v>
                </c:pt>
                <c:pt idx="101">
                  <c:v>672.85150228821669</c:v>
                </c:pt>
                <c:pt idx="102">
                  <c:v>687.69268764124399</c:v>
                </c:pt>
                <c:pt idx="103">
                  <c:v>702.52730761766759</c:v>
                </c:pt>
                <c:pt idx="104">
                  <c:v>613.6644958910191</c:v>
                </c:pt>
                <c:pt idx="105">
                  <c:v>627.70576859933465</c:v>
                </c:pt>
                <c:pt idx="106">
                  <c:v>641.74054364259405</c:v>
                </c:pt>
                <c:pt idx="107">
                  <c:v>655.76898306849887</c:v>
                </c:pt>
                <c:pt idx="108">
                  <c:v>669.79124143022921</c:v>
                </c:pt>
                <c:pt idx="109">
                  <c:v>683.80746628595273</c:v>
                </c:pt>
                <c:pt idx="110">
                  <c:v>697.81779865527506</c:v>
                </c:pt>
                <c:pt idx="111">
                  <c:v>711.8223734371544</c:v>
                </c:pt>
                <c:pt idx="112">
                  <c:v>725.82131979323913</c:v>
                </c:pt>
                <c:pt idx="113">
                  <c:v>739.81476150011622</c:v>
                </c:pt>
                <c:pt idx="114">
                  <c:v>672.57053220054661</c:v>
                </c:pt>
                <c:pt idx="115">
                  <c:v>687.67437178363434</c:v>
                </c:pt>
                <c:pt idx="116">
                  <c:v>702.77141138174932</c:v>
                </c:pt>
                <c:pt idx="117">
                  <c:v>717.86181754655763</c:v>
                </c:pt>
                <c:pt idx="118">
                  <c:v>732.94574926184384</c:v>
                </c:pt>
                <c:pt idx="119">
                  <c:v>748.02335843925869</c:v>
                </c:pt>
                <c:pt idx="120">
                  <c:v>763.09479037205017</c:v>
                </c:pt>
                <c:pt idx="121">
                  <c:v>778.1601841511166</c:v>
                </c:pt>
                <c:pt idx="122">
                  <c:v>793.21967304719374</c:v>
                </c:pt>
                <c:pt idx="123">
                  <c:v>808.27338486253745</c:v>
                </c:pt>
                <c:pt idx="124">
                  <c:v>823.32144225506772</c:v>
                </c:pt>
                <c:pt idx="125">
                  <c:v>838.36396303760739</c:v>
                </c:pt>
                <c:pt idx="126">
                  <c:v>727.89815457692521</c:v>
                </c:pt>
                <c:pt idx="127">
                  <c:v>742.28024345238327</c:v>
                </c:pt>
                <c:pt idx="128">
                  <c:v>756.65666389876333</c:v>
                </c:pt>
                <c:pt idx="129">
                  <c:v>771.02753870767265</c:v>
                </c:pt>
                <c:pt idx="130">
                  <c:v>785.39298572384166</c:v>
                </c:pt>
                <c:pt idx="131">
                  <c:v>799.75311813311953</c:v>
                </c:pt>
                <c:pt idx="132">
                  <c:v>814.10804472872496</c:v>
                </c:pt>
                <c:pt idx="133">
                  <c:v>828.45787015776239</c:v>
                </c:pt>
                <c:pt idx="134">
                  <c:v>842.80269514978465</c:v>
                </c:pt>
                <c:pt idx="135">
                  <c:v>857.14261672900227</c:v>
                </c:pt>
                <c:pt idx="136">
                  <c:v>871.47772841156655</c:v>
                </c:pt>
                <c:pt idx="137">
                  <c:v>885.8081203892126</c:v>
                </c:pt>
                <c:pt idx="138">
                  <c:v>766.80755081928362</c:v>
                </c:pt>
                <c:pt idx="139">
                  <c:v>780.69080393883121</c:v>
                </c:pt>
                <c:pt idx="140">
                  <c:v>794.56906028891501</c:v>
                </c:pt>
                <c:pt idx="141">
                  <c:v>808.44241937317167</c:v>
                </c:pt>
                <c:pt idx="142">
                  <c:v>822.31097700453438</c:v>
                </c:pt>
                <c:pt idx="143">
                  <c:v>836.17482550334387</c:v>
                </c:pt>
                <c:pt idx="144">
                  <c:v>850.03405388165322</c:v>
                </c:pt>
                <c:pt idx="145">
                  <c:v>863.88874801489374</c:v>
                </c:pt>
                <c:pt idx="146">
                  <c:v>877.7389908019718</c:v>
                </c:pt>
                <c:pt idx="147">
                  <c:v>891.58486231474387</c:v>
                </c:pt>
                <c:pt idx="148">
                  <c:v>905.42643993773117</c:v>
                </c:pt>
                <c:pt idx="149">
                  <c:v>919.26379849886018</c:v>
                </c:pt>
                <c:pt idx="150">
                  <c:v>604.973321659205</c:v>
                </c:pt>
                <c:pt idx="151">
                  <c:v>602.57565343762201</c:v>
                </c:pt>
                <c:pt idx="152">
                  <c:v>600.17778695091681</c:v>
                </c:pt>
                <c:pt idx="153">
                  <c:v>597.77972129416992</c:v>
                </c:pt>
                <c:pt idx="154">
                  <c:v>413.60055315154835</c:v>
                </c:pt>
                <c:pt idx="155">
                  <c:v>412.32004015508596</c:v>
                </c:pt>
                <c:pt idx="156">
                  <c:v>411.03944131371298</c:v>
                </c:pt>
                <c:pt idx="157">
                  <c:v>409.75875632165315</c:v>
                </c:pt>
                <c:pt idx="158">
                  <c:v>288.91123943957706</c:v>
                </c:pt>
                <c:pt idx="159">
                  <c:v>287.71387778310066</c:v>
                </c:pt>
                <c:pt idx="160">
                  <c:v>286.51640463538826</c:v>
                </c:pt>
                <c:pt idx="161">
                  <c:v>285.31881946321198</c:v>
                </c:pt>
                <c:pt idx="162">
                  <c:v>42.147312355119332</c:v>
                </c:pt>
                <c:pt idx="163">
                  <c:v>42.147312355119332</c:v>
                </c:pt>
                <c:pt idx="164">
                  <c:v>42.147312355119332</c:v>
                </c:pt>
                <c:pt idx="165">
                  <c:v>42.147312355119332</c:v>
                </c:pt>
                <c:pt idx="166">
                  <c:v>42.147312355119332</c:v>
                </c:pt>
                <c:pt idx="167">
                  <c:v>42.147312355119332</c:v>
                </c:pt>
                <c:pt idx="168">
                  <c:v>42.147312355119332</c:v>
                </c:pt>
                <c:pt idx="169">
                  <c:v>42.147312355119332</c:v>
                </c:pt>
                <c:pt idx="170">
                  <c:v>42.147312355119332</c:v>
                </c:pt>
                <c:pt idx="171">
                  <c:v>42.147312355119332</c:v>
                </c:pt>
                <c:pt idx="172">
                  <c:v>42.147312355119332</c:v>
                </c:pt>
                <c:pt idx="173">
                  <c:v>42.147312355119332</c:v>
                </c:pt>
                <c:pt idx="174">
                  <c:v>42.147312355119332</c:v>
                </c:pt>
                <c:pt idx="175">
                  <c:v>42.147312355119332</c:v>
                </c:pt>
                <c:pt idx="176">
                  <c:v>42.147312355119332</c:v>
                </c:pt>
                <c:pt idx="177">
                  <c:v>42.147312355119332</c:v>
                </c:pt>
                <c:pt idx="178">
                  <c:v>42.147312355119332</c:v>
                </c:pt>
                <c:pt idx="179">
                  <c:v>42.147312355119332</c:v>
                </c:pt>
                <c:pt idx="180">
                  <c:v>42.147312355119332</c:v>
                </c:pt>
                <c:pt idx="181">
                  <c:v>42.147312355119332</c:v>
                </c:pt>
                <c:pt idx="182">
                  <c:v>42.147312355119332</c:v>
                </c:pt>
                <c:pt idx="183">
                  <c:v>42.147312355119332</c:v>
                </c:pt>
                <c:pt idx="184">
                  <c:v>42.147312355119332</c:v>
                </c:pt>
                <c:pt idx="185">
                  <c:v>42.147312355119332</c:v>
                </c:pt>
                <c:pt idx="186">
                  <c:v>42.147312355119332</c:v>
                </c:pt>
                <c:pt idx="187">
                  <c:v>42.147312355119332</c:v>
                </c:pt>
                <c:pt idx="188">
                  <c:v>42.147312355119332</c:v>
                </c:pt>
                <c:pt idx="189">
                  <c:v>42.147312355119332</c:v>
                </c:pt>
                <c:pt idx="190">
                  <c:v>42.147312355119332</c:v>
                </c:pt>
                <c:pt idx="191">
                  <c:v>42.147312355119332</c:v>
                </c:pt>
                <c:pt idx="192">
                  <c:v>42.147312355119332</c:v>
                </c:pt>
                <c:pt idx="193">
                  <c:v>42.147312355119332</c:v>
                </c:pt>
                <c:pt idx="194">
                  <c:v>42.147312355119332</c:v>
                </c:pt>
                <c:pt idx="195">
                  <c:v>42.147312355119332</c:v>
                </c:pt>
                <c:pt idx="196">
                  <c:v>42.147312355119332</c:v>
                </c:pt>
                <c:pt idx="197">
                  <c:v>42.147312355119332</c:v>
                </c:pt>
                <c:pt idx="198">
                  <c:v>42.147312355119332</c:v>
                </c:pt>
                <c:pt idx="199">
                  <c:v>42.147312355119332</c:v>
                </c:pt>
                <c:pt idx="200">
                  <c:v>42.147312355119332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58" zoomScaleNormal="100" workbookViewId="0">
      <selection activeCell="A174" sqref="A17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7.9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27</v>
      </c>
      <c r="C9" s="264">
        <v>0.34314</v>
      </c>
      <c r="D9" s="33">
        <f t="shared" ref="D9:D18" si="0">C9*$C$5</f>
        <v>2.7108060000000003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45</v>
      </c>
      <c r="C10" s="264">
        <v>9.8040000000000002E-2</v>
      </c>
      <c r="D10" s="33">
        <f t="shared" si="0"/>
        <v>0.77451600000000009</v>
      </c>
      <c r="E10" s="265">
        <v>120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H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18</v>
      </c>
      <c r="C11" s="264">
        <v>2.9409999999999999E-2</v>
      </c>
      <c r="D11" s="33">
        <f t="shared" si="0"/>
        <v>0.23233899999999999</v>
      </c>
      <c r="E11" s="265">
        <v>54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23</v>
      </c>
      <c r="C12" s="264">
        <v>0.28431000000000001</v>
      </c>
      <c r="D12" s="33">
        <f t="shared" si="0"/>
        <v>2.2460490000000002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</v>
      </c>
      <c r="C13" s="32">
        <v>9.8040000000000002E-2</v>
      </c>
      <c r="D13" s="33">
        <f t="shared" si="0"/>
        <v>0.77451600000000009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25</v>
      </c>
      <c r="C14" s="32">
        <v>4.9020000000000001E-2</v>
      </c>
      <c r="D14" s="33">
        <f t="shared" si="0"/>
        <v>0.38725800000000005</v>
      </c>
      <c r="E14" s="34">
        <v>115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29</v>
      </c>
      <c r="C15" s="32">
        <v>4.9020000000000001E-2</v>
      </c>
      <c r="D15" s="33">
        <f t="shared" si="0"/>
        <v>0.38725800000000005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</v>
      </c>
      <c r="C16" s="32">
        <v>4.9020000000000001E-2</v>
      </c>
      <c r="D16" s="33">
        <f t="shared" si="0"/>
        <v>0.38725800000000005</v>
      </c>
      <c r="E16" s="34">
        <v>161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7.9000000000000012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18</v>
      </c>
      <c r="B36" s="259">
        <v>112</v>
      </c>
      <c r="C36" s="259">
        <v>1</v>
      </c>
      <c r="D36" s="259">
        <v>20</v>
      </c>
      <c r="E36" s="260"/>
      <c r="F36" s="260"/>
      <c r="G36" s="260">
        <v>1</v>
      </c>
      <c r="H36" s="260"/>
      <c r="I36" s="49">
        <f>IFERROR(B36/A36,"")</f>
        <v>6.2222222222222223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21</v>
      </c>
      <c r="B37" s="259">
        <v>146</v>
      </c>
      <c r="C37" s="259">
        <v>2</v>
      </c>
      <c r="D37" s="259">
        <v>26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168</v>
      </c>
      <c r="C38" s="259">
        <v>3</v>
      </c>
      <c r="D38" s="259">
        <v>29</v>
      </c>
      <c r="E38" s="260"/>
      <c r="F38" s="260">
        <v>1</v>
      </c>
      <c r="G38" s="260"/>
      <c r="H38" s="260"/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224</v>
      </c>
      <c r="C39" s="259">
        <v>4</v>
      </c>
      <c r="D39" s="259">
        <v>53</v>
      </c>
      <c r="E39" s="260"/>
      <c r="F39" s="260">
        <v>1</v>
      </c>
      <c r="G39" s="260"/>
      <c r="H39" s="260"/>
      <c r="I39" s="49">
        <f t="shared" si="1"/>
        <v>14.166666666666666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248</v>
      </c>
      <c r="C40" s="259">
        <v>5</v>
      </c>
      <c r="D40" s="259">
        <v>62</v>
      </c>
      <c r="E40" s="260">
        <v>1</v>
      </c>
      <c r="F40" s="260"/>
      <c r="G40" s="260"/>
      <c r="H40" s="260"/>
      <c r="I40" s="49">
        <f t="shared" si="1"/>
        <v>12.833333333333334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255</v>
      </c>
      <c r="C41" s="259">
        <v>6</v>
      </c>
      <c r="D41" s="259">
        <v>67</v>
      </c>
      <c r="E41" s="260">
        <v>1</v>
      </c>
      <c r="F41" s="260"/>
      <c r="G41" s="260"/>
      <c r="H41" s="260"/>
      <c r="I41" s="53">
        <f t="shared" si="1"/>
        <v>11.5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252</v>
      </c>
      <c r="C42" s="259">
        <v>7</v>
      </c>
      <c r="D42" s="259">
        <v>65</v>
      </c>
      <c r="E42" s="260">
        <v>1</v>
      </c>
      <c r="F42" s="260"/>
      <c r="G42" s="260"/>
      <c r="H42" s="260"/>
      <c r="I42" s="53">
        <f t="shared" si="1"/>
        <v>10.666666666666666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60</v>
      </c>
      <c r="B43" s="259">
        <v>304</v>
      </c>
      <c r="C43" s="259"/>
      <c r="D43" s="259"/>
      <c r="E43" s="260"/>
      <c r="F43" s="260"/>
      <c r="G43" s="260"/>
      <c r="H43" s="260"/>
      <c r="I43" s="49">
        <f t="shared" si="1"/>
        <v>9.75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de Nordmann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59.876923079999997</v>
      </c>
      <c r="C62" s="261"/>
      <c r="D62" s="261"/>
      <c r="E62" s="260"/>
      <c r="F62" s="260"/>
      <c r="G62" s="260"/>
      <c r="H62" s="260"/>
      <c r="I62" s="53">
        <f>IFERROR(B62/A62,"")</f>
        <v>1.9958974359999999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40</v>
      </c>
      <c r="B63" s="261">
        <v>162.86000000000001</v>
      </c>
      <c r="C63" s="261"/>
      <c r="D63" s="261"/>
      <c r="E63" s="260"/>
      <c r="F63" s="260"/>
      <c r="G63" s="260"/>
      <c r="H63" s="260"/>
      <c r="I63" s="49">
        <f>IF(A63&lt;&gt;0,(B63-(B62-D62))/(A63-A62),"")</f>
        <v>10.298307692000002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45</v>
      </c>
      <c r="B64" s="261">
        <v>257.89</v>
      </c>
      <c r="C64" s="261"/>
      <c r="D64" s="261"/>
      <c r="E64" s="260"/>
      <c r="F64" s="260"/>
      <c r="G64" s="260"/>
      <c r="H64" s="260"/>
      <c r="I64" s="49">
        <f>IF(A64&lt;&gt;0,(B64-(B63-D63))/(A64-A63),"")</f>
        <v>19.005999999999993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362.47</v>
      </c>
      <c r="C65" s="261">
        <v>1</v>
      </c>
      <c r="D65" s="261">
        <v>103.29</v>
      </c>
      <c r="E65" s="260">
        <v>1</v>
      </c>
      <c r="F65" s="260"/>
      <c r="G65" s="260"/>
      <c r="H65" s="260"/>
      <c r="I65" s="49">
        <f>IF(A65&lt;&gt;0,(B65-(B64-D64))/(A65-A64),"")</f>
        <v>20.916000000000007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347.49</v>
      </c>
      <c r="C66" s="261"/>
      <c r="D66" s="261"/>
      <c r="E66" s="260"/>
      <c r="F66" s="260"/>
      <c r="G66" s="260"/>
      <c r="H66" s="260"/>
      <c r="I66" s="49">
        <f t="shared" ref="I66:I81" si="2">IF(A66&lt;&gt;0,(B66-(B65-D65))/(A66-A65),"")</f>
        <v>17.661999999999999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60</v>
      </c>
      <c r="B67" s="261">
        <v>435</v>
      </c>
      <c r="C67" s="261">
        <v>2</v>
      </c>
      <c r="D67" s="261">
        <v>143.41999999999999</v>
      </c>
      <c r="E67" s="260">
        <v>1</v>
      </c>
      <c r="F67" s="260"/>
      <c r="G67" s="260"/>
      <c r="H67" s="260"/>
      <c r="I67" s="49">
        <f t="shared" si="2"/>
        <v>17.501999999999999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65</v>
      </c>
      <c r="B68" s="261">
        <v>361.67</v>
      </c>
      <c r="C68" s="261"/>
      <c r="D68" s="261"/>
      <c r="E68" s="260"/>
      <c r="F68" s="260"/>
      <c r="G68" s="260"/>
      <c r="H68" s="260"/>
      <c r="I68" s="49">
        <f t="shared" si="2"/>
        <v>14.017999999999995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70</v>
      </c>
      <c r="B69" s="261">
        <v>429.54</v>
      </c>
      <c r="C69" s="261">
        <v>3</v>
      </c>
      <c r="D69" s="261">
        <v>114.55</v>
      </c>
      <c r="E69" s="260">
        <v>1</v>
      </c>
      <c r="F69" s="260"/>
      <c r="G69" s="260"/>
      <c r="H69" s="260"/>
      <c r="I69" s="49">
        <f t="shared" si="2"/>
        <v>13.574000000000002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75</v>
      </c>
      <c r="B70" s="261">
        <v>368.84</v>
      </c>
      <c r="C70" s="261"/>
      <c r="D70" s="261"/>
      <c r="E70" s="260"/>
      <c r="F70" s="260"/>
      <c r="G70" s="260"/>
      <c r="H70" s="260"/>
      <c r="I70" s="49">
        <f t="shared" si="2"/>
        <v>10.769999999999992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80</v>
      </c>
      <c r="B71" s="261">
        <v>419.4</v>
      </c>
      <c r="C71" s="261">
        <v>4</v>
      </c>
      <c r="D71" s="261">
        <v>87.34</v>
      </c>
      <c r="E71" s="260">
        <v>1</v>
      </c>
      <c r="F71" s="260"/>
      <c r="G71" s="260"/>
      <c r="H71" s="260"/>
      <c r="I71" s="49">
        <f t="shared" si="2"/>
        <v>10.112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85</v>
      </c>
      <c r="B72" s="261">
        <v>377.86</v>
      </c>
      <c r="C72" s="261"/>
      <c r="D72" s="261"/>
      <c r="E72" s="260"/>
      <c r="F72" s="260"/>
      <c r="G72" s="260"/>
      <c r="H72" s="260"/>
      <c r="I72" s="49">
        <f t="shared" si="2"/>
        <v>9.1600000000000144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90</v>
      </c>
      <c r="B73" s="261">
        <v>422.38</v>
      </c>
      <c r="C73" s="261">
        <v>5</v>
      </c>
      <c r="D73" s="261">
        <v>63.34</v>
      </c>
      <c r="E73" s="260">
        <v>1</v>
      </c>
      <c r="F73" s="260"/>
      <c r="G73" s="260"/>
      <c r="H73" s="260"/>
      <c r="I73" s="49">
        <f t="shared" si="2"/>
        <v>8.9039999999999964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95</v>
      </c>
      <c r="B74" s="261">
        <v>397.55</v>
      </c>
      <c r="C74" s="261"/>
      <c r="D74" s="261"/>
      <c r="E74" s="260"/>
      <c r="F74" s="260"/>
      <c r="G74" s="260"/>
      <c r="H74" s="260"/>
      <c r="I74" s="49">
        <f t="shared" si="2"/>
        <v>7.7020000000000097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100</v>
      </c>
      <c r="B75" s="261">
        <v>436.81</v>
      </c>
      <c r="C75" s="261">
        <v>6</v>
      </c>
      <c r="D75" s="261">
        <v>193.84</v>
      </c>
      <c r="E75" s="260">
        <v>1</v>
      </c>
      <c r="F75" s="260"/>
      <c r="G75" s="260"/>
      <c r="H75" s="260"/>
      <c r="I75" s="49">
        <f t="shared" si="2"/>
        <v>7.8519999999999985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105</v>
      </c>
      <c r="B76" s="261">
        <v>267.92</v>
      </c>
      <c r="C76" s="261"/>
      <c r="D76" s="261"/>
      <c r="E76" s="260"/>
      <c r="F76" s="260"/>
      <c r="G76" s="260"/>
      <c r="H76" s="260"/>
      <c r="I76" s="49">
        <f t="shared" si="2"/>
        <v>4.9900000000000038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110</v>
      </c>
      <c r="B77" s="257">
        <v>291.24</v>
      </c>
      <c r="C77" s="256">
        <v>7</v>
      </c>
      <c r="D77" s="256">
        <v>139.02000000000001</v>
      </c>
      <c r="E77" s="255">
        <v>1</v>
      </c>
      <c r="F77" s="255"/>
      <c r="G77" s="255"/>
      <c r="H77" s="255"/>
      <c r="I77" s="49">
        <f t="shared" si="2"/>
        <v>4.6639999999999988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115</v>
      </c>
      <c r="B78" s="257">
        <v>167.13</v>
      </c>
      <c r="C78" s="256"/>
      <c r="D78" s="256"/>
      <c r="E78" s="255"/>
      <c r="F78" s="255"/>
      <c r="G78" s="255"/>
      <c r="H78" s="255"/>
      <c r="I78" s="49">
        <f t="shared" si="2"/>
        <v>2.9819999999999993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120</v>
      </c>
      <c r="B79" s="257">
        <v>183.47</v>
      </c>
      <c r="C79" s="256">
        <v>8</v>
      </c>
      <c r="D79" s="256">
        <v>180.97</v>
      </c>
      <c r="E79" s="255">
        <v>1</v>
      </c>
      <c r="F79" s="255"/>
      <c r="G79" s="255"/>
      <c r="H79" s="255"/>
      <c r="I79" s="49">
        <f t="shared" si="2"/>
        <v>3.2680000000000007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17</v>
      </c>
      <c r="B88" s="261">
        <v>172.88</v>
      </c>
      <c r="C88" s="261"/>
      <c r="D88" s="261"/>
      <c r="E88" s="260"/>
      <c r="F88" s="260"/>
      <c r="G88" s="260"/>
      <c r="H88" s="260"/>
      <c r="I88" s="53">
        <f>IFERROR(B88/A88,"")</f>
        <v>10.169411764705883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18</v>
      </c>
      <c r="B89" s="261">
        <v>202.42</v>
      </c>
      <c r="C89" s="261">
        <v>1</v>
      </c>
      <c r="D89" s="261">
        <v>74.819999999999993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29.539999999999992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24</v>
      </c>
      <c r="B90" s="261">
        <v>289.16000000000003</v>
      </c>
      <c r="C90" s="261">
        <v>2</v>
      </c>
      <c r="D90" s="261">
        <v>51.39</v>
      </c>
      <c r="E90" s="260"/>
      <c r="F90" s="260">
        <v>1</v>
      </c>
      <c r="G90" s="260"/>
      <c r="H90" s="260"/>
      <c r="I90" s="53">
        <f t="shared" si="3"/>
        <v>26.926666666666673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410.69</v>
      </c>
      <c r="C91" s="261">
        <v>3</v>
      </c>
      <c r="D91" s="261">
        <v>80.97</v>
      </c>
      <c r="E91" s="260"/>
      <c r="F91" s="260">
        <v>1</v>
      </c>
      <c r="G91" s="260"/>
      <c r="H91" s="260"/>
      <c r="I91" s="53">
        <f t="shared" si="3"/>
        <v>28.819999999999993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36</v>
      </c>
      <c r="B92" s="261">
        <v>501.69</v>
      </c>
      <c r="C92" s="261">
        <v>4</v>
      </c>
      <c r="D92" s="261">
        <v>85.88</v>
      </c>
      <c r="E92" s="260">
        <v>1</v>
      </c>
      <c r="F92" s="260"/>
      <c r="G92" s="260"/>
      <c r="H92" s="260"/>
      <c r="I92" s="53">
        <f t="shared" si="3"/>
        <v>28.661666666666662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42</v>
      </c>
      <c r="B93" s="261">
        <v>584.37</v>
      </c>
      <c r="C93" s="261">
        <v>5</v>
      </c>
      <c r="D93" s="261">
        <v>91.25</v>
      </c>
      <c r="E93" s="260">
        <v>1</v>
      </c>
      <c r="F93" s="260"/>
      <c r="G93" s="260"/>
      <c r="H93" s="260"/>
      <c r="I93" s="53">
        <f t="shared" si="3"/>
        <v>28.093333333333334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48</v>
      </c>
      <c r="B94" s="261">
        <v>655.72</v>
      </c>
      <c r="C94" s="261">
        <v>6</v>
      </c>
      <c r="D94" s="261">
        <v>101.34</v>
      </c>
      <c r="E94" s="260">
        <v>1</v>
      </c>
      <c r="F94" s="260"/>
      <c r="G94" s="260"/>
      <c r="H94" s="260"/>
      <c r="I94" s="53">
        <f t="shared" si="3"/>
        <v>27.100000000000005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54</v>
      </c>
      <c r="B95" s="261">
        <v>708.61</v>
      </c>
      <c r="C95" s="261">
        <v>7</v>
      </c>
      <c r="D95" s="261">
        <v>707.75</v>
      </c>
      <c r="E95" s="260">
        <v>1</v>
      </c>
      <c r="F95" s="260"/>
      <c r="G95" s="260"/>
      <c r="H95" s="260"/>
      <c r="I95" s="53">
        <f t="shared" si="3"/>
        <v>25.705000000000002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11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65</v>
      </c>
      <c r="C115" s="261">
        <v>1</v>
      </c>
      <c r="D115" s="261">
        <v>32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102</v>
      </c>
      <c r="C116" s="261">
        <v>2</v>
      </c>
      <c r="D116" s="261">
        <v>35</v>
      </c>
      <c r="E116" s="260"/>
      <c r="F116" s="260"/>
      <c r="G116" s="260"/>
      <c r="H116" s="260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141</v>
      </c>
      <c r="C117" s="261">
        <v>3</v>
      </c>
      <c r="D117" s="261">
        <v>35</v>
      </c>
      <c r="E117" s="260"/>
      <c r="F117" s="260"/>
      <c r="G117" s="260"/>
      <c r="H117" s="260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177</v>
      </c>
      <c r="C118" s="261">
        <v>4</v>
      </c>
      <c r="D118" s="261">
        <v>35</v>
      </c>
      <c r="E118" s="260"/>
      <c r="F118" s="260"/>
      <c r="G118" s="260"/>
      <c r="H118" s="260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206</v>
      </c>
      <c r="C119" s="261">
        <v>5</v>
      </c>
      <c r="D119" s="261">
        <v>35</v>
      </c>
      <c r="E119" s="260">
        <v>1</v>
      </c>
      <c r="F119" s="260"/>
      <c r="G119" s="260"/>
      <c r="H119" s="260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228</v>
      </c>
      <c r="C120" s="261">
        <v>6</v>
      </c>
      <c r="D120" s="261">
        <v>35</v>
      </c>
      <c r="E120" s="260">
        <v>1</v>
      </c>
      <c r="F120" s="260"/>
      <c r="G120" s="260"/>
      <c r="H120" s="260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242</v>
      </c>
      <c r="C121" s="261">
        <v>7</v>
      </c>
      <c r="D121" s="261">
        <v>24</v>
      </c>
      <c r="E121" s="260">
        <v>1</v>
      </c>
      <c r="F121" s="260"/>
      <c r="G121" s="260"/>
      <c r="H121" s="260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261</v>
      </c>
      <c r="C122" s="261">
        <v>8</v>
      </c>
      <c r="D122" s="261">
        <v>19</v>
      </c>
      <c r="E122" s="260">
        <v>1</v>
      </c>
      <c r="F122" s="260"/>
      <c r="G122" s="260"/>
      <c r="H122" s="260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279</v>
      </c>
      <c r="C123" s="261">
        <v>9</v>
      </c>
      <c r="D123" s="261">
        <v>16</v>
      </c>
      <c r="E123" s="260">
        <v>1</v>
      </c>
      <c r="F123" s="260"/>
      <c r="G123" s="260"/>
      <c r="H123" s="260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294</v>
      </c>
      <c r="C124" s="261">
        <v>10</v>
      </c>
      <c r="D124" s="261">
        <v>14</v>
      </c>
      <c r="E124" s="260">
        <v>1</v>
      </c>
      <c r="F124" s="260"/>
      <c r="G124" s="260"/>
      <c r="H124" s="260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306</v>
      </c>
      <c r="C125" s="261">
        <v>11</v>
      </c>
      <c r="D125" s="261">
        <v>13</v>
      </c>
      <c r="E125" s="260">
        <v>1</v>
      </c>
      <c r="F125" s="260"/>
      <c r="G125" s="260"/>
      <c r="H125" s="260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316</v>
      </c>
      <c r="C126" s="261">
        <v>12</v>
      </c>
      <c r="D126" s="261">
        <v>13</v>
      </c>
      <c r="E126" s="260">
        <v>1</v>
      </c>
      <c r="F126" s="260"/>
      <c r="G126" s="260"/>
      <c r="H126" s="260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324</v>
      </c>
      <c r="C127" s="261">
        <v>13</v>
      </c>
      <c r="D127" s="261">
        <v>12</v>
      </c>
      <c r="E127" s="260">
        <v>1</v>
      </c>
      <c r="F127" s="260"/>
      <c r="G127" s="260"/>
      <c r="H127" s="260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330</v>
      </c>
      <c r="C128" s="261">
        <v>14</v>
      </c>
      <c r="D128" s="261">
        <v>11</v>
      </c>
      <c r="E128" s="260">
        <v>1</v>
      </c>
      <c r="F128" s="260"/>
      <c r="G128" s="260"/>
      <c r="H128" s="260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pubescent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87.705128209999998</v>
      </c>
      <c r="C140" s="50"/>
      <c r="D140" s="60"/>
      <c r="E140" s="51"/>
      <c r="F140" s="51"/>
      <c r="G140" s="51"/>
      <c r="H140" s="51"/>
      <c r="I140" s="57">
        <f>IFERROR(B140/A140,"")</f>
        <v>2.9235042736666665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44</v>
      </c>
      <c r="B141" s="60">
        <v>201.77</v>
      </c>
      <c r="C141" s="50">
        <v>1</v>
      </c>
      <c r="D141" s="60">
        <v>74.010000000000005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8.147490842142858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51</v>
      </c>
      <c r="B142" s="60">
        <v>192.85</v>
      </c>
      <c r="C142" s="50">
        <v>2</v>
      </c>
      <c r="D142" s="60">
        <v>46.13</v>
      </c>
      <c r="E142" s="51">
        <v>1</v>
      </c>
      <c r="F142" s="51"/>
      <c r="G142" s="51"/>
      <c r="H142" s="51"/>
      <c r="I142" s="57">
        <f t="shared" si="5"/>
        <v>9.2985714285714263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59</v>
      </c>
      <c r="B143" s="60">
        <v>217.3</v>
      </c>
      <c r="C143" s="50">
        <v>3</v>
      </c>
      <c r="D143" s="60">
        <v>48.96</v>
      </c>
      <c r="E143" s="51">
        <v>1</v>
      </c>
      <c r="F143" s="51"/>
      <c r="G143" s="51"/>
      <c r="H143" s="51"/>
      <c r="I143" s="57">
        <f t="shared" si="5"/>
        <v>8.8225000000000016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67</v>
      </c>
      <c r="B144" s="60">
        <v>233.08</v>
      </c>
      <c r="C144" s="50">
        <v>4</v>
      </c>
      <c r="D144" s="60">
        <v>40.630000000000003</v>
      </c>
      <c r="E144" s="51">
        <v>1</v>
      </c>
      <c r="F144" s="51"/>
      <c r="G144" s="51"/>
      <c r="H144" s="51"/>
      <c r="I144" s="57">
        <f t="shared" si="5"/>
        <v>8.0925000000000011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v>254.89</v>
      </c>
      <c r="C145" s="50">
        <v>5</v>
      </c>
      <c r="D145" s="60">
        <v>39.54</v>
      </c>
      <c r="E145" s="51">
        <v>1</v>
      </c>
      <c r="F145" s="51"/>
      <c r="G145" s="51"/>
      <c r="H145" s="51"/>
      <c r="I145" s="57">
        <f t="shared" si="5"/>
        <v>7.8049999999999962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v>283.77</v>
      </c>
      <c r="C146" s="50">
        <v>6</v>
      </c>
      <c r="D146" s="60">
        <v>44.89</v>
      </c>
      <c r="E146" s="51">
        <v>1</v>
      </c>
      <c r="F146" s="51"/>
      <c r="G146" s="51"/>
      <c r="H146" s="51"/>
      <c r="I146" s="57">
        <f t="shared" si="5"/>
        <v>7.6022222222222204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93</v>
      </c>
      <c r="B147" s="60">
        <v>303.37</v>
      </c>
      <c r="C147" s="50">
        <v>7</v>
      </c>
      <c r="D147" s="60">
        <v>38.57</v>
      </c>
      <c r="E147" s="51">
        <v>1</v>
      </c>
      <c r="F147" s="51"/>
      <c r="G147" s="51"/>
      <c r="H147" s="51"/>
      <c r="I147" s="57">
        <f>IF(A147&lt;&gt;0,(B147-(B146-D146))/(A147-A146),"")</f>
        <v>7.1655555555555566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103</v>
      </c>
      <c r="B148" s="60">
        <v>337.71</v>
      </c>
      <c r="C148" s="50">
        <v>8</v>
      </c>
      <c r="D148" s="60">
        <v>50.51</v>
      </c>
      <c r="E148" s="51">
        <v>1</v>
      </c>
      <c r="F148" s="51"/>
      <c r="G148" s="51"/>
      <c r="H148" s="51"/>
      <c r="I148" s="57">
        <f t="shared" si="5"/>
        <v>7.2909999999999968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113</v>
      </c>
      <c r="B149" s="60">
        <v>356.05</v>
      </c>
      <c r="C149" s="50">
        <v>9</v>
      </c>
      <c r="D149" s="60">
        <v>40.479999999999997</v>
      </c>
      <c r="E149" s="51">
        <v>1</v>
      </c>
      <c r="F149" s="51"/>
      <c r="G149" s="51"/>
      <c r="H149" s="51"/>
      <c r="I149" s="57">
        <f t="shared" si="5"/>
        <v>6.8850000000000025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125</v>
      </c>
      <c r="B150" s="60">
        <v>404.61</v>
      </c>
      <c r="C150" s="50">
        <v>10</v>
      </c>
      <c r="D150" s="60">
        <v>61.5</v>
      </c>
      <c r="E150" s="51">
        <v>1</v>
      </c>
      <c r="F150" s="51"/>
      <c r="G150" s="51"/>
      <c r="H150" s="51"/>
      <c r="I150" s="57">
        <f t="shared" si="5"/>
        <v>7.4200000000000017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137</v>
      </c>
      <c r="B151" s="60">
        <v>428.03</v>
      </c>
      <c r="C151" s="50">
        <v>11</v>
      </c>
      <c r="D151" s="60">
        <v>65.53</v>
      </c>
      <c r="E151" s="51">
        <v>1</v>
      </c>
      <c r="F151" s="51"/>
      <c r="G151" s="51"/>
      <c r="H151" s="51"/>
      <c r="I151" s="57">
        <f t="shared" si="5"/>
        <v>7.0766666666666636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149</v>
      </c>
      <c r="B152" s="60">
        <v>444.56</v>
      </c>
      <c r="C152" s="50">
        <v>12</v>
      </c>
      <c r="D152" s="60">
        <v>153.56</v>
      </c>
      <c r="E152" s="54">
        <v>1</v>
      </c>
      <c r="F152" s="54"/>
      <c r="G152" s="54"/>
      <c r="H152" s="54"/>
      <c r="I152" s="57">
        <f t="shared" si="5"/>
        <v>6.8383333333333338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153</v>
      </c>
      <c r="B153" s="60">
        <v>286.3</v>
      </c>
      <c r="C153" s="50">
        <v>13</v>
      </c>
      <c r="D153" s="60">
        <v>89.29</v>
      </c>
      <c r="E153" s="54">
        <v>1</v>
      </c>
      <c r="F153" s="54"/>
      <c r="G153" s="54"/>
      <c r="H153" s="54"/>
      <c r="I153" s="57">
        <f t="shared" si="5"/>
        <v>-1.1749999999999972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157</v>
      </c>
      <c r="B154" s="56">
        <v>194.52</v>
      </c>
      <c r="C154" s="50">
        <v>14</v>
      </c>
      <c r="D154" s="50">
        <v>57.95</v>
      </c>
      <c r="E154" s="54">
        <v>1</v>
      </c>
      <c r="F154" s="54"/>
      <c r="G154" s="54"/>
      <c r="H154" s="54"/>
      <c r="I154" s="57">
        <f t="shared" si="5"/>
        <v>-0.62249999999999517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161</v>
      </c>
      <c r="B155" s="56">
        <v>134.26</v>
      </c>
      <c r="C155" s="50">
        <v>15</v>
      </c>
      <c r="D155" s="50">
        <v>115.43</v>
      </c>
      <c r="E155" s="54">
        <v>1</v>
      </c>
      <c r="F155" s="54"/>
      <c r="G155" s="54"/>
      <c r="H155" s="54"/>
      <c r="I155" s="57">
        <f t="shared" si="5"/>
        <v>-0.57750000000000057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Hêtre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32</v>
      </c>
      <c r="C166" s="60"/>
      <c r="D166" s="60">
        <v>0</v>
      </c>
      <c r="E166" s="51"/>
      <c r="F166" s="51"/>
      <c r="G166" s="51"/>
      <c r="H166" s="51"/>
      <c r="I166" s="49">
        <f>IFERROR(B166/A166,"")</f>
        <v>1.6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76</v>
      </c>
      <c r="C167" s="60">
        <v>1</v>
      </c>
      <c r="D167" s="60">
        <v>7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8.8000000000000007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116</v>
      </c>
      <c r="C168" s="60">
        <v>2</v>
      </c>
      <c r="D168" s="60">
        <v>28</v>
      </c>
      <c r="E168" s="51"/>
      <c r="F168" s="51"/>
      <c r="G168" s="51"/>
      <c r="H168" s="51">
        <v>1</v>
      </c>
      <c r="I168" s="49">
        <f t="shared" si="6"/>
        <v>9.4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139</v>
      </c>
      <c r="C169" s="60">
        <v>3</v>
      </c>
      <c r="D169" s="60">
        <v>28</v>
      </c>
      <c r="E169" s="51">
        <v>1</v>
      </c>
      <c r="F169" s="51"/>
      <c r="G169" s="51"/>
      <c r="H169" s="51"/>
      <c r="I169" s="49">
        <f t="shared" si="6"/>
        <v>10.199999999999999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163</v>
      </c>
      <c r="C170" s="60">
        <v>4</v>
      </c>
      <c r="D170" s="60">
        <v>28</v>
      </c>
      <c r="E170" s="51">
        <v>1</v>
      </c>
      <c r="F170" s="51"/>
      <c r="G170" s="51"/>
      <c r="H170" s="51"/>
      <c r="I170" s="49">
        <f t="shared" si="6"/>
        <v>10.4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190</v>
      </c>
      <c r="C171" s="60">
        <v>5</v>
      </c>
      <c r="D171" s="60">
        <v>28</v>
      </c>
      <c r="E171" s="51">
        <v>1</v>
      </c>
      <c r="F171" s="51"/>
      <c r="G171" s="51"/>
      <c r="H171" s="51"/>
      <c r="I171" s="49">
        <f t="shared" si="6"/>
        <v>11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217</v>
      </c>
      <c r="C172" s="60">
        <v>6</v>
      </c>
      <c r="D172" s="60">
        <v>28</v>
      </c>
      <c r="E172" s="51">
        <v>1</v>
      </c>
      <c r="F172" s="51"/>
      <c r="G172" s="51"/>
      <c r="H172" s="51"/>
      <c r="I172" s="49">
        <f t="shared" si="6"/>
        <v>11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244</v>
      </c>
      <c r="C173" s="50">
        <v>7</v>
      </c>
      <c r="D173" s="50">
        <v>28</v>
      </c>
      <c r="E173" s="51">
        <v>1</v>
      </c>
      <c r="F173" s="51"/>
      <c r="G173" s="51"/>
      <c r="H173" s="51"/>
      <c r="I173" s="49">
        <f t="shared" si="6"/>
        <v>11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270</v>
      </c>
      <c r="C174" s="50">
        <v>8</v>
      </c>
      <c r="D174" s="50">
        <v>28</v>
      </c>
      <c r="E174" s="51">
        <v>1</v>
      </c>
      <c r="F174" s="51"/>
      <c r="G174" s="51"/>
      <c r="H174" s="51"/>
      <c r="I174" s="49">
        <f t="shared" si="6"/>
        <v>10.8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294</v>
      </c>
      <c r="C175" s="50">
        <v>9</v>
      </c>
      <c r="D175" s="50">
        <v>28</v>
      </c>
      <c r="E175" s="51">
        <v>1</v>
      </c>
      <c r="F175" s="51"/>
      <c r="G175" s="51"/>
      <c r="H175" s="51"/>
      <c r="I175" s="49">
        <f t="shared" si="6"/>
        <v>10.4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316</v>
      </c>
      <c r="C176" s="50">
        <v>10</v>
      </c>
      <c r="D176" s="50">
        <v>28</v>
      </c>
      <c r="E176" s="51">
        <v>1</v>
      </c>
      <c r="F176" s="51"/>
      <c r="G176" s="51"/>
      <c r="H176" s="51"/>
      <c r="I176" s="49">
        <f t="shared" si="6"/>
        <v>10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335</v>
      </c>
      <c r="C177" s="50">
        <v>11</v>
      </c>
      <c r="D177" s="50">
        <v>28</v>
      </c>
      <c r="E177" s="51">
        <v>1</v>
      </c>
      <c r="F177" s="51"/>
      <c r="G177" s="51"/>
      <c r="H177" s="51"/>
      <c r="I177" s="49">
        <f t="shared" si="6"/>
        <v>9.4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351</v>
      </c>
      <c r="C178" s="50">
        <v>12</v>
      </c>
      <c r="D178" s="50">
        <v>28</v>
      </c>
      <c r="E178" s="51">
        <v>1</v>
      </c>
      <c r="F178" s="51"/>
      <c r="G178" s="51"/>
      <c r="H178" s="51"/>
      <c r="I178" s="49">
        <f t="shared" si="6"/>
        <v>8.8000000000000007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365</v>
      </c>
      <c r="C179" s="50">
        <v>13</v>
      </c>
      <c r="D179" s="50">
        <v>27</v>
      </c>
      <c r="E179" s="51">
        <v>1</v>
      </c>
      <c r="F179" s="51"/>
      <c r="G179" s="51"/>
      <c r="H179" s="51"/>
      <c r="I179" s="49">
        <f t="shared" si="6"/>
        <v>8.4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377</v>
      </c>
      <c r="C180" s="50">
        <v>14</v>
      </c>
      <c r="D180" s="50">
        <v>26</v>
      </c>
      <c r="E180" s="51">
        <v>1</v>
      </c>
      <c r="F180" s="51"/>
      <c r="G180" s="51"/>
      <c r="H180" s="51"/>
      <c r="I180" s="49">
        <f t="shared" si="6"/>
        <v>7.8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95</v>
      </c>
      <c r="B181" s="50">
        <v>389</v>
      </c>
      <c r="C181" s="50">
        <v>15</v>
      </c>
      <c r="D181" s="50">
        <v>25</v>
      </c>
      <c r="E181" s="51">
        <v>1</v>
      </c>
      <c r="F181" s="51"/>
      <c r="G181" s="51"/>
      <c r="H181" s="51"/>
      <c r="I181" s="49">
        <f t="shared" si="6"/>
        <v>7.6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100</v>
      </c>
      <c r="B182" s="50">
        <v>400</v>
      </c>
      <c r="C182" s="50">
        <v>16</v>
      </c>
      <c r="D182" s="50">
        <v>24</v>
      </c>
      <c r="E182" s="51">
        <v>1</v>
      </c>
      <c r="F182" s="51"/>
      <c r="G182" s="51"/>
      <c r="H182" s="51"/>
      <c r="I182" s="49">
        <f t="shared" si="6"/>
        <v>7.2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105</v>
      </c>
      <c r="B183" s="50">
        <v>409</v>
      </c>
      <c r="C183" s="50">
        <v>17</v>
      </c>
      <c r="D183" s="50">
        <v>23</v>
      </c>
      <c r="E183" s="51">
        <v>1</v>
      </c>
      <c r="F183" s="51"/>
      <c r="G183" s="51"/>
      <c r="H183" s="51"/>
      <c r="I183" s="49">
        <f t="shared" si="6"/>
        <v>6.6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110</v>
      </c>
      <c r="B184" s="50">
        <v>420</v>
      </c>
      <c r="C184" s="50">
        <v>18</v>
      </c>
      <c r="D184" s="50">
        <v>22</v>
      </c>
      <c r="E184" s="51">
        <v>1</v>
      </c>
      <c r="F184" s="51"/>
      <c r="G184" s="51"/>
      <c r="H184" s="51"/>
      <c r="I184" s="49">
        <f t="shared" si="6"/>
        <v>6.8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115</v>
      </c>
      <c r="B185" s="50">
        <v>426</v>
      </c>
      <c r="C185" s="50">
        <v>19</v>
      </c>
      <c r="D185" s="50">
        <v>22</v>
      </c>
      <c r="E185" s="51">
        <v>1</v>
      </c>
      <c r="F185" s="51"/>
      <c r="G185" s="51"/>
      <c r="H185" s="51"/>
      <c r="I185" s="49">
        <f t="shared" si="6"/>
        <v>5.6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Merisier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25.641025639999999</v>
      </c>
      <c r="C192" s="60">
        <v>1</v>
      </c>
      <c r="D192" s="60">
        <v>1.923076923</v>
      </c>
      <c r="E192" s="51"/>
      <c r="F192" s="51"/>
      <c r="G192" s="51"/>
      <c r="H192" s="51">
        <v>1</v>
      </c>
      <c r="I192" s="49">
        <f>IFERROR(B192/A192,"")</f>
        <v>1.7094017093333334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54.487179490000003</v>
      </c>
      <c r="C193" s="60">
        <v>2</v>
      </c>
      <c r="D193" s="60">
        <v>16.025641029999999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6.153846154600001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72.435897440000005</v>
      </c>
      <c r="C194" s="60">
        <v>3</v>
      </c>
      <c r="D194" s="60">
        <v>17.30769231</v>
      </c>
      <c r="E194" s="51"/>
      <c r="F194" s="51"/>
      <c r="G194" s="51"/>
      <c r="H194" s="51">
        <v>1</v>
      </c>
      <c r="I194" s="49">
        <f t="shared" si="7"/>
        <v>6.7948717960000007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31</v>
      </c>
      <c r="B195" s="60">
        <v>99.358974360000005</v>
      </c>
      <c r="C195" s="60">
        <v>4</v>
      </c>
      <c r="D195" s="60">
        <v>23.07692308</v>
      </c>
      <c r="E195" s="51">
        <v>1</v>
      </c>
      <c r="F195" s="51"/>
      <c r="G195" s="51"/>
      <c r="H195" s="51"/>
      <c r="I195" s="49">
        <f t="shared" si="7"/>
        <v>7.3717948716666664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37</v>
      </c>
      <c r="B196" s="60">
        <v>120.5128205</v>
      </c>
      <c r="C196" s="60">
        <v>5</v>
      </c>
      <c r="D196" s="60">
        <v>23.07692308</v>
      </c>
      <c r="E196" s="51">
        <v>1</v>
      </c>
      <c r="F196" s="51"/>
      <c r="G196" s="51"/>
      <c r="H196" s="51"/>
      <c r="I196" s="49">
        <f t="shared" si="7"/>
        <v>7.3717948699999996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44</v>
      </c>
      <c r="B197" s="60">
        <v>147.43589739999999</v>
      </c>
      <c r="C197" s="60">
        <v>6</v>
      </c>
      <c r="D197" s="60">
        <v>27.564102559999998</v>
      </c>
      <c r="E197" s="51">
        <v>1</v>
      </c>
      <c r="F197" s="51"/>
      <c r="G197" s="51"/>
      <c r="H197" s="51"/>
      <c r="I197" s="49">
        <f t="shared" si="7"/>
        <v>7.1428571399999976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52</v>
      </c>
      <c r="B198" s="60">
        <v>173.07692309999999</v>
      </c>
      <c r="C198" s="60">
        <v>7</v>
      </c>
      <c r="D198" s="60">
        <v>30.76923077</v>
      </c>
      <c r="E198" s="51">
        <v>1</v>
      </c>
      <c r="F198" s="51"/>
      <c r="G198" s="51"/>
      <c r="H198" s="51"/>
      <c r="I198" s="49">
        <f t="shared" si="7"/>
        <v>6.6506410324999994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60</v>
      </c>
      <c r="B199" s="50">
        <v>190.3846154</v>
      </c>
      <c r="C199" s="50">
        <v>8</v>
      </c>
      <c r="D199" s="50">
        <v>30.128205130000001</v>
      </c>
      <c r="E199" s="51">
        <v>1</v>
      </c>
      <c r="F199" s="51"/>
      <c r="G199" s="51"/>
      <c r="H199" s="51"/>
      <c r="I199" s="49">
        <f t="shared" si="7"/>
        <v>6.0096153837500026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69</v>
      </c>
      <c r="B200" s="50">
        <v>210.2564103</v>
      </c>
      <c r="C200" s="50"/>
      <c r="D200" s="50"/>
      <c r="E200" s="51"/>
      <c r="F200" s="51"/>
      <c r="G200" s="51"/>
      <c r="H200" s="51"/>
      <c r="I200" s="49">
        <f t="shared" si="7"/>
        <v>5.5555555588888881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Alisier torminal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30</v>
      </c>
      <c r="B218" s="60">
        <v>87.705128209999998</v>
      </c>
      <c r="C218" s="50"/>
      <c r="D218" s="60"/>
      <c r="E218" s="63"/>
      <c r="F218" s="63"/>
      <c r="G218" s="63"/>
      <c r="H218" s="63"/>
      <c r="I218" s="53">
        <f>IFERROR(B218/A218,"")</f>
        <v>2.9235042736666665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44</v>
      </c>
      <c r="B219" s="60">
        <v>201.77</v>
      </c>
      <c r="C219" s="50">
        <v>1</v>
      </c>
      <c r="D219" s="60">
        <v>74.010000000000005</v>
      </c>
      <c r="E219" s="63">
        <v>1</v>
      </c>
      <c r="F219" s="63"/>
      <c r="G219" s="63"/>
      <c r="H219" s="63"/>
      <c r="I219" s="53">
        <f t="shared" ref="I219:I237" si="8">IF(A219&lt;&gt;0,(B219-(B218-D218))/(A219-A218),"")</f>
        <v>8.147490842142858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51</v>
      </c>
      <c r="B220" s="60">
        <v>192.85</v>
      </c>
      <c r="C220" s="50">
        <v>2</v>
      </c>
      <c r="D220" s="60">
        <v>46.13</v>
      </c>
      <c r="E220" s="63">
        <v>1</v>
      </c>
      <c r="F220" s="63"/>
      <c r="G220" s="63"/>
      <c r="H220" s="63"/>
      <c r="I220" s="53">
        <f t="shared" si="8"/>
        <v>9.2985714285714263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59</v>
      </c>
      <c r="B221" s="55">
        <v>217.3</v>
      </c>
      <c r="C221" s="55">
        <v>3</v>
      </c>
      <c r="D221" s="55">
        <v>48.96</v>
      </c>
      <c r="E221" s="63">
        <v>1</v>
      </c>
      <c r="F221" s="63"/>
      <c r="G221" s="63"/>
      <c r="H221" s="63"/>
      <c r="I221" s="53">
        <f t="shared" si="8"/>
        <v>8.8225000000000016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67</v>
      </c>
      <c r="B222" s="55">
        <v>233.08</v>
      </c>
      <c r="C222" s="55">
        <v>4</v>
      </c>
      <c r="D222" s="55">
        <v>40.630000000000003</v>
      </c>
      <c r="E222" s="63">
        <v>1</v>
      </c>
      <c r="F222" s="63"/>
      <c r="G222" s="63"/>
      <c r="H222" s="63"/>
      <c r="I222" s="53">
        <f t="shared" si="8"/>
        <v>8.0925000000000011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75</v>
      </c>
      <c r="B223" s="55">
        <v>254.89</v>
      </c>
      <c r="C223" s="55">
        <v>5</v>
      </c>
      <c r="D223" s="55">
        <v>39.54</v>
      </c>
      <c r="E223" s="63">
        <v>1</v>
      </c>
      <c r="F223" s="63"/>
      <c r="G223" s="63"/>
      <c r="H223" s="63"/>
      <c r="I223" s="53">
        <f t="shared" si="8"/>
        <v>7.8049999999999962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84</v>
      </c>
      <c r="B224" s="55">
        <v>283.77</v>
      </c>
      <c r="C224" s="55">
        <v>6</v>
      </c>
      <c r="D224" s="55">
        <v>44.89</v>
      </c>
      <c r="E224" s="63">
        <v>1</v>
      </c>
      <c r="F224" s="63"/>
      <c r="G224" s="63"/>
      <c r="H224" s="63"/>
      <c r="I224" s="53">
        <f t="shared" si="8"/>
        <v>7.6022222222222204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93</v>
      </c>
      <c r="B225" s="55">
        <v>303.37</v>
      </c>
      <c r="C225" s="55">
        <v>7</v>
      </c>
      <c r="D225" s="55">
        <v>38.57</v>
      </c>
      <c r="E225" s="63">
        <v>1</v>
      </c>
      <c r="F225" s="63"/>
      <c r="G225" s="63"/>
      <c r="H225" s="63"/>
      <c r="I225" s="53">
        <f t="shared" si="8"/>
        <v>7.1655555555555566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103</v>
      </c>
      <c r="B226" s="55">
        <v>337.71</v>
      </c>
      <c r="C226" s="55">
        <v>8</v>
      </c>
      <c r="D226" s="55">
        <v>50.51</v>
      </c>
      <c r="E226" s="63">
        <v>1</v>
      </c>
      <c r="F226" s="63"/>
      <c r="G226" s="63"/>
      <c r="H226" s="63"/>
      <c r="I226" s="53">
        <f t="shared" si="8"/>
        <v>7.2909999999999968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113</v>
      </c>
      <c r="B227" s="55">
        <v>356.05</v>
      </c>
      <c r="C227" s="55">
        <v>9</v>
      </c>
      <c r="D227" s="55">
        <v>40.479999999999997</v>
      </c>
      <c r="E227" s="63">
        <v>1</v>
      </c>
      <c r="F227" s="63"/>
      <c r="G227" s="63"/>
      <c r="H227" s="63"/>
      <c r="I227" s="53">
        <f t="shared" si="8"/>
        <v>6.8850000000000025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125</v>
      </c>
      <c r="B228" s="55">
        <v>404.61</v>
      </c>
      <c r="C228" s="55">
        <v>10</v>
      </c>
      <c r="D228" s="55">
        <v>61.5</v>
      </c>
      <c r="E228" s="63">
        <v>1</v>
      </c>
      <c r="F228" s="63"/>
      <c r="G228" s="63"/>
      <c r="H228" s="63"/>
      <c r="I228" s="53">
        <f t="shared" si="8"/>
        <v>7.4200000000000017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137</v>
      </c>
      <c r="B229" s="55">
        <v>428.03</v>
      </c>
      <c r="C229" s="55">
        <v>11</v>
      </c>
      <c r="D229" s="55">
        <v>65.53</v>
      </c>
      <c r="E229" s="63">
        <v>1</v>
      </c>
      <c r="F229" s="63"/>
      <c r="G229" s="63"/>
      <c r="H229" s="63"/>
      <c r="I229" s="53">
        <f t="shared" si="8"/>
        <v>7.0766666666666636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149</v>
      </c>
      <c r="B230" s="55">
        <v>444.56</v>
      </c>
      <c r="C230" s="55">
        <v>12</v>
      </c>
      <c r="D230" s="55">
        <v>153.56</v>
      </c>
      <c r="E230" s="64">
        <v>1</v>
      </c>
      <c r="F230" s="64"/>
      <c r="G230" s="64"/>
      <c r="H230" s="64"/>
      <c r="I230" s="53">
        <f t="shared" si="8"/>
        <v>6.8383333333333338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153</v>
      </c>
      <c r="B231" s="60">
        <v>286.3</v>
      </c>
      <c r="C231" s="86">
        <v>13</v>
      </c>
      <c r="D231" s="60">
        <v>89.29</v>
      </c>
      <c r="E231" s="54">
        <v>1</v>
      </c>
      <c r="F231" s="54"/>
      <c r="G231" s="54"/>
      <c r="H231" s="54"/>
      <c r="I231" s="53">
        <f t="shared" si="8"/>
        <v>-1.1749999999999972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157</v>
      </c>
      <c r="B232" s="50">
        <v>194.52</v>
      </c>
      <c r="C232" s="50">
        <v>14</v>
      </c>
      <c r="D232" s="50">
        <v>57.95</v>
      </c>
      <c r="E232" s="54">
        <v>1</v>
      </c>
      <c r="F232" s="54"/>
      <c r="G232" s="54"/>
      <c r="H232" s="54"/>
      <c r="I232" s="53">
        <f t="shared" si="8"/>
        <v>-0.62249999999999517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161</v>
      </c>
      <c r="B233" s="50">
        <v>134.26</v>
      </c>
      <c r="C233" s="50">
        <v>15</v>
      </c>
      <c r="D233" s="50">
        <v>115.43</v>
      </c>
      <c r="E233" s="54">
        <v>1</v>
      </c>
      <c r="F233" s="54"/>
      <c r="G233" s="54"/>
      <c r="H233" s="54"/>
      <c r="I233" s="53">
        <f t="shared" si="8"/>
        <v>-0.57750000000000057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7" sqref="C2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Mélèze d'Europe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Sapin de Nordmann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Douglas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sycomore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pubescent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Hêtre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Merisier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Alisier torminal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179.44051550872138</v>
      </c>
      <c r="T3" s="59">
        <f>IF('Données projet'!E9&gt;30,$R$33-$H$33,LOOKUP('Données projet'!$E$9,$A$3:$A$203,R3:R203)-LOOKUP('Données projet'!$E$9,$A$3:$A$203,$H$3:$H$203))</f>
        <v>272.9500808380069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174.18188687702559</v>
      </c>
      <c r="AO3" s="59">
        <f>IF('Données projet'!E10&gt;30,$AM$33-$H$33,LOOKUP('Données projet'!$E$10,$A$3:$A$203,AM3:AM203)-LOOKUP('Données projet'!$E$10,$A$3:$A$203,$H$3:$H$203))</f>
        <v>32.17353897322738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350.01600895263641</v>
      </c>
      <c r="BJ3" s="59">
        <f>IF('Données projet'!E11&gt;30,$BH$33-$H$33,LOOKUP('Données projet'!$E$11,$A$3:$A$203,BH3:BH203)-LOOKUP('Données projet'!$E$11,$A$3:$A$203,$H$3:$H$203))</f>
        <v>464.08921044376882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279.49721661620544</v>
      </c>
      <c r="CE3" s="59">
        <f>IF('Données projet'!E12&gt;30,$CC$33-$H$33,LOOKUP('Données projet'!$E$12,$A$3:$A$203,CC3:CC203)-LOOKUP('Données projet'!$E$12,$A$3:$A$203,$H$3:$H$203))</f>
        <v>275.18739333988754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402.54350692668021</v>
      </c>
      <c r="CZ3" s="59">
        <f>IF('Données projet'!E13&gt;30,$CX$33-$H$33,LOOKUP('Données projet'!$E$13,$A$3:$A$203,CX3:CX203)-LOOKUP('Données projet'!$E$13,$A$3:$A$203,$H$3:$H$203))</f>
        <v>163.60655196884522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352.76625414822473</v>
      </c>
      <c r="DU3" s="59">
        <f>IF('Données projet'!E14&gt;30,$DS$33-$H$33,LOOKUP('Données projet'!$E$14,$A$3:$A$203,DS3:DS203)-LOOKUP('Données projet'!$E$14,$A$3:$A$203,$H$3:$H$203))</f>
        <v>186.48649111821521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130.66539383144681</v>
      </c>
      <c r="EP3" s="59">
        <f>IF('Données projet'!E15&gt;30,$EN$33-$H$33,LOOKUP('Données projet'!$E$15,$A$3:$A$203,EN3:EN203)-LOOKUP('Données projet'!$E$15,$A$3:$A$203,$H$3:$H$203))</f>
        <v>126.36398121441903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380.43199889536805</v>
      </c>
      <c r="FK3" s="59">
        <f>IF('Données projet'!E16&gt;30,$FI$33-$H$33,LOOKUP('Données projet'!$E$16,$A$3:$A$203,FI3:FI203)-LOOKUP('Données projet'!$E$16,$A$3:$A$203,$H$3:$H$203))</f>
        <v>154.72646317672996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6.2222222222222223</v>
      </c>
      <c r="N4" s="13">
        <f>IF('Données projet'!$A$36&gt;35,N3+M4-V3,IF(A4&lt;'Données projet'!$A$36,$K$205^A4,IF(A4='Données projet'!$A$36,'Données projet'!$B$36,N3+M4-V3)))</f>
        <v>1.2997069632623315</v>
      </c>
      <c r="O4" s="13">
        <f>N4*VLOOKUP('Données projet'!$B$9,Paramètres!$A$1:$I$89,3,0)*VLOOKUP('Données projet'!$B$9,Paramètres!$A$1:$I$89,5,0)</f>
        <v>0.81101714507569489</v>
      </c>
      <c r="P4" s="13">
        <f>EXP(-1.0587+0.8836*LN(O4)+0.284)</f>
        <v>0.38297551084354686</v>
      </c>
      <c r="Q4" s="20">
        <f t="shared" ref="Q4:Q34" si="2">(O4+P4)*0.475*44/12</f>
        <v>2.0795372090593456</v>
      </c>
      <c r="R4" s="59">
        <f t="shared" si="0"/>
        <v>295.41287054239268</v>
      </c>
      <c r="S4" s="59">
        <f ca="1">AVERAGE(OFFSET($R$3,0,0,'Données projet'!$E$9+1,1))-AVERAGE(OFFSET($H$3,0,0,'Données projet'!$E$9+1,1))</f>
        <v>179.44051550872138</v>
      </c>
      <c r="T4" s="59">
        <f>$T$3</f>
        <v>272.9500808380069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1.9958974359999999</v>
      </c>
      <c r="AI4" s="13">
        <f>IF('Données projet'!$A$62&gt;35,AI3+AH4-AQ3,IF(A4&lt;'Données projet'!$A$62,$AF$205^A4,IF(A4='Données projet'!$A$62,'Données projet'!$B$62,AI3+AH4-AQ3)))</f>
        <v>1.1461513822606064</v>
      </c>
      <c r="AJ4" s="13">
        <f>AI4*VLOOKUP('Données projet'!$B$10,Paramètres!$A$1:$I$89,3,0)*VLOOKUP('Données projet'!$B$10,Paramètres!$A$1:$I$89,5,0)</f>
        <v>0.55129881486735166</v>
      </c>
      <c r="AK4" s="13">
        <f>EXP(-1.0587+0.8836*LN(AJ4)+0.284)</f>
        <v>0.27229625608815711</v>
      </c>
      <c r="AL4" s="20">
        <f t="shared" ref="AL4:AL67" si="4">(AJ4+AK4)*0.475*44/12</f>
        <v>1.4344280819141779</v>
      </c>
      <c r="AM4" s="59">
        <f t="shared" ref="AM4:AM67" si="5">AL4+(AD4+AE4)*44/12</f>
        <v>294.76776141524749</v>
      </c>
      <c r="AN4" s="59">
        <f ca="1">AVERAGE(OFFSET($AM$3,0,0,'Données projet'!$E$10+1,1))-AVERAGE(OFFSET($H$3,0,0,'Données projet'!$E$10+1,1))</f>
        <v>174.18188687702559</v>
      </c>
      <c r="AO4" s="59">
        <f>$AO$3</f>
        <v>32.17353897322738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10.169411764705883</v>
      </c>
      <c r="BD4" s="12">
        <f>IF('Données projet'!$A$88&gt;35,BD3+BC4-BL3,IF(A4&lt;'Données projet'!$A$88,$BA$205^A4,IF(A4='Données projet'!$A$88,'Données projet'!$B$88,BD3+BC4-BL3)))</f>
        <v>1.3540417154604885</v>
      </c>
      <c r="BE4" s="13">
        <f>BD4*VLOOKUP('Données projet'!$B$11,Paramètres!$A$1:$I$89,3,0)*VLOOKUP('Données projet'!$B$11,Paramètres!$A$1:$I$89,5,0)</f>
        <v>0.75690931894241309</v>
      </c>
      <c r="BF4" s="13">
        <f>EXP(-1.0587+0.8836*LN(BE4)+0.284)</f>
        <v>0.36030908494947955</v>
      </c>
      <c r="BG4" s="20">
        <f t="shared" ref="BG4:BG67" si="7">(BE4+BF4)*0.475*44/12</f>
        <v>1.9458220534450461</v>
      </c>
      <c r="BH4" s="59">
        <f t="shared" ref="BH4:BH67" si="8">BG4+(AY4+AZ4)*44/12</f>
        <v>295.27915538677837</v>
      </c>
      <c r="BI4" s="59">
        <f ca="1">AVERAGE(OFFSET($BH$3,0,0,'Données projet'!$E$11+1,1))-AVERAGE(OFFSET($H$3,0,0,'Données projet'!$E$11+1,1))</f>
        <v>350.01600895263641</v>
      </c>
      <c r="BJ4" s="59">
        <f>$BJ$3</f>
        <v>464.08921044376882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295.90506058192409</v>
      </c>
      <c r="CD4" s="59">
        <f ca="1">AVERAGE(OFFSET($CC$3,0,0,'Données projet'!$E$12+1,1))-AVERAGE(OFFSET($H$3,0,0,'Données projet'!$E$12+1,1))</f>
        <v>279.49721661620544</v>
      </c>
      <c r="CE4" s="59">
        <f>$CE$3</f>
        <v>275.18739333988754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2.9235042736666665</v>
      </c>
      <c r="CT4" s="12">
        <f>IF('Données projet'!$A$140&gt;35,CT3+CS4-DB3,IF(A4&lt;'Données projet'!$A$140,$CQ$205^A4,IF(A4='Données projet'!$A$140,'Données projet'!$B$140,CT3+CS4-DB3)))</f>
        <v>1.1608269964394529</v>
      </c>
      <c r="CU4" s="17">
        <f>CT4*VLOOKUP('Données projet'!$B$13,Paramètres!$A$1:$I$89,3,0)*VLOOKUP('Données projet'!$B$13,Paramètres!$A$1:$I$89,5,0)</f>
        <v>1.1770785743896053</v>
      </c>
      <c r="CV4" s="13">
        <f>EXP(-1.0587+0.8836*LN(CU4)+0.284)</f>
        <v>0.53225011573400405</v>
      </c>
      <c r="CW4" s="20">
        <f t="shared" ref="CW4:CW67" si="13">(CU4+CV4)*0.475*44/12</f>
        <v>2.9770808019652861</v>
      </c>
      <c r="CX4" s="59">
        <f t="shared" ref="CX4:CX67" si="14">CW4+(CO4+CP4)*44/12</f>
        <v>296.31041413529863</v>
      </c>
      <c r="CY4" s="59">
        <f ca="1">AVERAGE(OFFSET($CX$3,0,0,'Données projet'!$E$13+1,1))-AVERAGE(OFFSET($H$3,0,0,'Données projet'!$E$13+1,1))</f>
        <v>402.54350692668021</v>
      </c>
      <c r="CZ4" s="59">
        <f>$CZ$3</f>
        <v>163.60655196884522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1.6</v>
      </c>
      <c r="DO4" s="12">
        <f>IF('Données projet'!$A$166&gt;35,DO3+DN4-DW3,IF(A4&lt;'Données projet'!$A$166,$DL$205^A4,IF(A4='Données projet'!$A$166,'Données projet'!$B$166,DO3+DN4-DW3)))</f>
        <v>1.189207115002721</v>
      </c>
      <c r="DP4" s="17">
        <f>DO4*VLOOKUP('Données projet'!$B$14,Paramètres!$A$1:$I$89,3,0)*VLOOKUP('Données projet'!$B$14,Paramètres!$A$1:$I$89,5,0)</f>
        <v>1.0203397046723348</v>
      </c>
      <c r="DQ4" s="13">
        <f>EXP(-1.0587+0.8836*LN(DP4)+0.284)</f>
        <v>0.46911460970544039</v>
      </c>
      <c r="DR4" s="20">
        <f t="shared" ref="DR4:DR67" si="16">(DP4+DQ4)*0.475*44/12</f>
        <v>2.594132930874625</v>
      </c>
      <c r="DS4" s="59">
        <f t="shared" ref="DS4:DS67" si="17">DR4+(DJ4+DK4)*44/12</f>
        <v>295.92746626420796</v>
      </c>
      <c r="DT4" s="59">
        <f ca="1">AVERAGE(OFFSET($DS$3,0,0,'Données projet'!$E$14+1,1))-AVERAGE(OFFSET($H$3,0,0,'Données projet'!$E$14+1,1))</f>
        <v>352.76625414822473</v>
      </c>
      <c r="DU4" s="59">
        <f>$DU$3</f>
        <v>186.48649111821521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1.7094017093333334</v>
      </c>
      <c r="EJ4" s="12">
        <f>IF('Données projet'!$A$192&gt;35,EJ3+EI4-ER3,IF(A4&lt;'Données projet'!$A$192,$EG$205^A4,IF(A4='Données projet'!$A$192,'Données projet'!$B$192,EJ3+EI4-ER3)))</f>
        <v>1.2414494093530228</v>
      </c>
      <c r="EK4" s="17">
        <f>EJ4*VLOOKUP('Données projet'!$B$15,Paramètres!$A$1:$I$89,3,0)*VLOOKUP('Données projet'!$B$15,Paramètres!$A$1:$I$89,5,0)</f>
        <v>0.96833053929535784</v>
      </c>
      <c r="EL4" s="13">
        <f>EXP(-1.0587+0.8836*LN(EK4)+0.284)</f>
        <v>0.44792215440880506</v>
      </c>
      <c r="EM4" s="20">
        <f t="shared" ref="EM4:EM67" si="19">(EK4+EL4)*0.475*44/12</f>
        <v>2.4666401082014167</v>
      </c>
      <c r="EN4" s="59">
        <f t="shared" ref="EN4:EN67" si="20">EM4+(EE4+EF4)*44/12</f>
        <v>295.79997344153475</v>
      </c>
      <c r="EO4" s="59">
        <f ca="1">AVERAGE(OFFSET($EN$3,0,0,'Données projet'!$E$15+1,1))-AVERAGE(OFFSET($H$3,0,0,'Données projet'!$E$15+1,1))</f>
        <v>130.66539383144681</v>
      </c>
      <c r="EP4" s="59">
        <f>$EP$3</f>
        <v>126.36398121441903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2.9235042736666665</v>
      </c>
      <c r="FE4" s="12">
        <f>IF('Données projet'!$A$218&gt;35,FE3+FD4-FM3,IF(A4&lt;'Données projet'!$A$218,$FB$205^A4,IF(A4='Données projet'!$A$218,'Données projet'!$B$218,FE3+FD4-FM3)))</f>
        <v>1.1608269964394529</v>
      </c>
      <c r="FF4" s="17">
        <f>FE4*VLOOKUP('Données projet'!$B$16,Paramètres!$A$1:$I$89,3,0)*VLOOKUP('Données projet'!$B$16,Paramètres!$A$1:$I$89,5,0)</f>
        <v>1.122751870956239</v>
      </c>
      <c r="FG4" s="13">
        <f>EXP(-1.0587+0.8836*LN(FF4)+0.284)</f>
        <v>0.51048480496792259</v>
      </c>
      <c r="FH4" s="20">
        <f t="shared" ref="FH4:FH67" si="22">(FF4+FG4)*0.475*44/12</f>
        <v>2.8445538772345813</v>
      </c>
      <c r="FI4" s="59">
        <f t="shared" ref="FI4:FI67" si="23">FH4+(EZ4+FA4)*44/12</f>
        <v>296.17788721056792</v>
      </c>
      <c r="FJ4" s="59">
        <f ca="1">AVERAGE(OFFSET($FI$3,0,0,'Données projet'!$E$16+1,1))-AVERAGE(OFFSET($H$3,0,0,'Données projet'!$E$16+1,1))</f>
        <v>380.43199889536805</v>
      </c>
      <c r="FK4" s="59">
        <f>$FK$3</f>
        <v>154.72646317672996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6.2222222222222223</v>
      </c>
      <c r="N5" s="13">
        <f>IF('Données projet'!$A$36&gt;35,N4+M5-V4,IF(A5&lt;'Données projet'!$A$36,$K$205^A5,IF(A5='Données projet'!$A$36,'Données projet'!$B$36,N4+M5-V4)))</f>
        <v>1.6892381903525915</v>
      </c>
      <c r="O5" s="13">
        <f>N5*VLOOKUP('Données projet'!$B$9,Paramètres!$A$1:$I$89,3,0)*VLOOKUP('Données projet'!$B$9,Paramètres!$A$1:$I$89,5,0)</f>
        <v>1.0540846307800171</v>
      </c>
      <c r="P5" s="13">
        <f t="shared" ref="P5:P68" si="33">EXP(-1.0587+0.8836*LN(O5)+0.284)</f>
        <v>0.48279730809434274</v>
      </c>
      <c r="Q5" s="20">
        <f t="shared" si="2"/>
        <v>2.6767360435395098</v>
      </c>
      <c r="R5" s="59">
        <f t="shared" si="0"/>
        <v>296.01006937687282</v>
      </c>
      <c r="S5" s="59">
        <f ca="1">AVERAGE(OFFSET($R$3,0,0,'Données projet'!$E$9+1,1))-AVERAGE(OFFSET($H$3,0,0,'Données projet'!$E$9+1,1))</f>
        <v>179.44051550872138</v>
      </c>
      <c r="T5" s="59">
        <f t="shared" ref="T5:T68" si="34">$T$3</f>
        <v>272.9500808380069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1.9958974359999999</v>
      </c>
      <c r="AI5" s="13">
        <f>IF('Données projet'!$A$62&gt;35,AI4+AH5-AQ4,IF(A5&lt;'Données projet'!$A$62,$AF$205^A5,IF(A5='Données projet'!$A$62,'Données projet'!$B$62,AI4+AH5-AQ4)))</f>
        <v>1.3136629910578987</v>
      </c>
      <c r="AJ5" s="13">
        <f>AI5*VLOOKUP('Données projet'!$B$10,Paramètres!$A$1:$I$89,3,0)*VLOOKUP('Données projet'!$B$10,Paramètres!$A$1:$I$89,5,0)</f>
        <v>0.6318718986988493</v>
      </c>
      <c r="AK5" s="13">
        <f t="shared" ref="AK5:AK68" si="35">EXP(-1.0587+0.8836*LN(AJ5)+0.284)</f>
        <v>0.30717642795035049</v>
      </c>
      <c r="AL5" s="20">
        <f t="shared" si="4"/>
        <v>1.6355091689140229</v>
      </c>
      <c r="AM5" s="59">
        <f t="shared" si="5"/>
        <v>294.96884250224736</v>
      </c>
      <c r="AN5" s="59">
        <f ca="1">AVERAGE(OFFSET($AM$3,0,0,'Données projet'!$E$10+1,1))-AVERAGE(OFFSET($H$3,0,0,'Données projet'!$E$10+1,1))</f>
        <v>174.18188687702559</v>
      </c>
      <c r="AO5" s="59">
        <f t="shared" ref="AO5:AO68" si="36">$AO$3</f>
        <v>32.17353897322738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10.169411764705883</v>
      </c>
      <c r="BD5" s="12">
        <f>IF('Données projet'!$A$88&gt;35,BD4+BC5-BL4,IF(A5&lt;'Données projet'!$A$88,$BA$205^A5,IF(A5='Données projet'!$A$88,'Données projet'!$B$88,BD4+BC5-BL4)))</f>
        <v>1.8334289672071824</v>
      </c>
      <c r="BE5" s="13">
        <f>BD5*VLOOKUP('Données projet'!$B$11,Paramètres!$A$1:$I$89,3,0)*VLOOKUP('Données projet'!$B$11,Paramètres!$A$1:$I$89,5,0)</f>
        <v>1.024886792668815</v>
      </c>
      <c r="BF5" s="13">
        <f t="shared" ref="BF5:BF68" si="37">EXP(-1.0587+0.8836*LN(BE5)+0.284)</f>
        <v>0.47096137102098057</v>
      </c>
      <c r="BG5" s="20">
        <f t="shared" si="7"/>
        <v>2.6052688850930608</v>
      </c>
      <c r="BH5" s="59">
        <f t="shared" si="8"/>
        <v>295.93860221842635</v>
      </c>
      <c r="BI5" s="59">
        <f ca="1">AVERAGE(OFFSET($BH$3,0,0,'Données projet'!$E$11+1,1))-AVERAGE(OFFSET($H$3,0,0,'Données projet'!$E$11+1,1))</f>
        <v>350.01600895263641</v>
      </c>
      <c r="BJ5" s="59">
        <f t="shared" ref="BJ5:BJ68" si="38">$BJ$3</f>
        <v>464.08921044376882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296.57359413526444</v>
      </c>
      <c r="CD5" s="59">
        <f ca="1">AVERAGE(OFFSET($CC$3,0,0,'Données projet'!$E$12+1,1))-AVERAGE(OFFSET($H$3,0,0,'Données projet'!$E$12+1,1))</f>
        <v>279.49721661620544</v>
      </c>
      <c r="CE5" s="59">
        <f t="shared" ref="CE5:CE68" si="40">$CE$3</f>
        <v>275.18739333988754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2.9235042736666665</v>
      </c>
      <c r="CT5" s="12">
        <f>IF('Données projet'!$A$140&gt;35,CT4+CS5-DB4,IF(A5&lt;'Données projet'!$A$140,$CQ$205^A5,IF(A5='Données projet'!$A$140,'Données projet'!$B$140,CT4+CS5-DB4)))</f>
        <v>1.3475193156626415</v>
      </c>
      <c r="CU5" s="17">
        <f>CT5*VLOOKUP('Données projet'!$B$13,Paramètres!$A$1:$I$89,3,0)*VLOOKUP('Données projet'!$B$13,Paramètres!$A$1:$I$89,5,0)</f>
        <v>1.3663845860819186</v>
      </c>
      <c r="CV5" s="13">
        <f t="shared" ref="CV5:CV68" si="41">EXP(-1.0587+0.8836*LN(CU5)+0.284)</f>
        <v>0.60721756676999028</v>
      </c>
      <c r="CW5" s="20">
        <f t="shared" si="13"/>
        <v>3.4373570828837412</v>
      </c>
      <c r="CX5" s="59">
        <f t="shared" si="14"/>
        <v>296.77069041621706</v>
      </c>
      <c r="CY5" s="59">
        <f ca="1">AVERAGE(OFFSET($CX$3,0,0,'Données projet'!$E$13+1,1))-AVERAGE(OFFSET($H$3,0,0,'Données projet'!$E$13+1,1))</f>
        <v>402.54350692668021</v>
      </c>
      <c r="CZ5" s="59">
        <f t="shared" ref="CZ5:CZ68" si="42">$CZ$3</f>
        <v>163.60655196884522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1.6</v>
      </c>
      <c r="DO5" s="12">
        <f>IF('Données projet'!$A$166&gt;35,DO4+DN5-DW4,IF(A5&lt;'Données projet'!$A$166,$DL$205^A5,IF(A5='Données projet'!$A$166,'Données projet'!$B$166,DO4+DN5-DW4)))</f>
        <v>1.4142135623730949</v>
      </c>
      <c r="DP5" s="17">
        <f>DO5*VLOOKUP('Données projet'!$B$14,Paramètres!$A$1:$I$89,3,0)*VLOOKUP('Données projet'!$B$14,Paramètres!$A$1:$I$89,5,0)</f>
        <v>1.2133952365161156</v>
      </c>
      <c r="DQ5" s="13">
        <f t="shared" ref="DQ5:DQ68" si="43">EXP(-1.0587+0.8836*LN(DP5)+0.284)</f>
        <v>0.54673450619692521</v>
      </c>
      <c r="DR5" s="20">
        <f t="shared" si="16"/>
        <v>3.0655593018918794</v>
      </c>
      <c r="DS5" s="59">
        <f t="shared" si="17"/>
        <v>296.3988926352252</v>
      </c>
      <c r="DT5" s="59">
        <f ca="1">AVERAGE(OFFSET($DS$3,0,0,'Données projet'!$E$14+1,1))-AVERAGE(OFFSET($H$3,0,0,'Données projet'!$E$14+1,1))</f>
        <v>352.76625414822473</v>
      </c>
      <c r="DU5" s="59">
        <f t="shared" ref="DU5:DU68" si="44">$DU$3</f>
        <v>186.48649111821521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1.7094017093333334</v>
      </c>
      <c r="EJ5" s="12">
        <f>IF('Données projet'!$A$192&gt;35,EJ4+EI5-ER4,IF(A5&lt;'Données projet'!$A$192,$EG$205^A5,IF(A5='Données projet'!$A$192,'Données projet'!$B$192,EJ4+EI5-ER4)))</f>
        <v>1.5411966359829692</v>
      </c>
      <c r="EK5" s="17">
        <f>EJ5*VLOOKUP('Données projet'!$B$15,Paramètres!$A$1:$I$89,3,0)*VLOOKUP('Données projet'!$B$15,Paramètres!$A$1:$I$89,5,0)</f>
        <v>1.2021333760667161</v>
      </c>
      <c r="EL5" s="13">
        <f t="shared" ref="EL5:EL68" si="45">EXP(-1.0587+0.8836*LN(EK5)+0.284)</f>
        <v>0.54224833966525943</v>
      </c>
      <c r="EM5" s="20">
        <f t="shared" si="19"/>
        <v>3.0381314882331907</v>
      </c>
      <c r="EN5" s="59">
        <f t="shared" si="20"/>
        <v>296.37146482156652</v>
      </c>
      <c r="EO5" s="59">
        <f ca="1">AVERAGE(OFFSET($EN$3,0,0,'Données projet'!$E$15+1,1))-AVERAGE(OFFSET($H$3,0,0,'Données projet'!$E$15+1,1))</f>
        <v>130.66539383144681</v>
      </c>
      <c r="EP5" s="59">
        <f t="shared" ref="EP5:EP68" si="46">$EP$3</f>
        <v>126.36398121441903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2.9235042736666665</v>
      </c>
      <c r="FE5" s="12">
        <f>IF('Données projet'!$A$218&gt;35,FE4+FD5-FM4,IF(A5&lt;'Données projet'!$A$218,$FB$205^A5,IF(A5='Données projet'!$A$218,'Données projet'!$B$218,FE4+FD5-FM4)))</f>
        <v>1.3475193156626415</v>
      </c>
      <c r="FF5" s="17">
        <f>FE5*VLOOKUP('Données projet'!$B$16,Paramètres!$A$1:$I$89,3,0)*VLOOKUP('Données projet'!$B$16,Paramètres!$A$1:$I$89,5,0)</f>
        <v>1.3033206821089069</v>
      </c>
      <c r="FG5" s="13">
        <f t="shared" ref="FG5:FG68" si="47">EXP(-1.0587+0.8836*LN(FF5)+0.284)</f>
        <v>0.58238661107325618</v>
      </c>
      <c r="FH5" s="20">
        <f t="shared" si="22"/>
        <v>3.2842735356256001</v>
      </c>
      <c r="FI5" s="59">
        <f t="shared" si="23"/>
        <v>296.61760686895889</v>
      </c>
      <c r="FJ5" s="59">
        <f ca="1">AVERAGE(OFFSET($FI$3,0,0,'Données projet'!$E$16+1,1))-AVERAGE(OFFSET($H$3,0,0,'Données projet'!$E$16+1,1))</f>
        <v>380.43199889536805</v>
      </c>
      <c r="FK5" s="59">
        <f t="shared" ref="FK5:FK68" si="48">$FK$3</f>
        <v>154.72646317672996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6.2222222222222223</v>
      </c>
      <c r="N6" s="13">
        <f>IF('Données projet'!$A$36&gt;35,N5+M6-V5,IF(A6&lt;'Données projet'!$A$36,$K$205^A6,IF(A6='Données projet'!$A$36,'Données projet'!$B$36,N5+M6-V5)))</f>
        <v>2.1955146386099229</v>
      </c>
      <c r="O6" s="13">
        <f>N6*VLOOKUP('Données projet'!$B$9,Paramètres!$A$1:$I$89,3,0)*VLOOKUP('Données projet'!$B$9,Paramètres!$A$1:$I$89,5,0)</f>
        <v>1.3700011344925918</v>
      </c>
      <c r="P6" s="13">
        <f t="shared" si="33"/>
        <v>0.60863745619068288</v>
      </c>
      <c r="Q6" s="20">
        <f t="shared" si="2"/>
        <v>3.4461288787733699</v>
      </c>
      <c r="R6" s="59">
        <f t="shared" si="0"/>
        <v>296.77946221210669</v>
      </c>
      <c r="S6" s="59">
        <f ca="1">AVERAGE(OFFSET($R$3,0,0,'Données projet'!$E$9+1,1))-AVERAGE(OFFSET($H$3,0,0,'Données projet'!$E$9+1,1))</f>
        <v>179.44051550872138</v>
      </c>
      <c r="T6" s="59">
        <f t="shared" si="34"/>
        <v>272.9500808380069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1.9958974359999999</v>
      </c>
      <c r="AI6" s="13">
        <f>IF('Données projet'!$A$62&gt;35,AI5+AH6-AQ5,IF(A6&lt;'Données projet'!$A$62,$AF$205^A6,IF(A6='Données projet'!$A$62,'Données projet'!$B$62,AI5+AH6-AQ5)))</f>
        <v>1.5056566530256132</v>
      </c>
      <c r="AJ6" s="13">
        <f>AI6*VLOOKUP('Données projet'!$B$10,Paramètres!$A$1:$I$89,3,0)*VLOOKUP('Données projet'!$B$10,Paramètres!$A$1:$I$89,5,0)</f>
        <v>0.72422085010531989</v>
      </c>
      <c r="AK6" s="13">
        <f t="shared" si="35"/>
        <v>0.34652462448028742</v>
      </c>
      <c r="AL6" s="20">
        <f t="shared" si="4"/>
        <v>1.8648817015699324</v>
      </c>
      <c r="AM6" s="59">
        <f t="shared" si="5"/>
        <v>295.19821503490323</v>
      </c>
      <c r="AN6" s="59">
        <f ca="1">AVERAGE(OFFSET($AM$3,0,0,'Données projet'!$E$10+1,1))-AVERAGE(OFFSET($H$3,0,0,'Données projet'!$E$10+1,1))</f>
        <v>174.18188687702559</v>
      </c>
      <c r="AO6" s="59">
        <f t="shared" si="36"/>
        <v>32.17353897322738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10.169411764705883</v>
      </c>
      <c r="BD6" s="12">
        <f>IF('Données projet'!$A$88&gt;35,BD5+BC6-BL5,IF(A6&lt;'Données projet'!$A$88,$BA$205^A6,IF(A6='Données projet'!$A$88,'Données projet'!$B$88,BD5+BC6-BL5)))</f>
        <v>2.4825393039321648</v>
      </c>
      <c r="BE6" s="13">
        <f>BD6*VLOOKUP('Données projet'!$B$11,Paramètres!$A$1:$I$89,3,0)*VLOOKUP('Données projet'!$B$11,Paramètres!$A$1:$I$89,5,0)</f>
        <v>1.3877394708980801</v>
      </c>
      <c r="BF6" s="13">
        <f t="shared" si="37"/>
        <v>0.61559539367446658</v>
      </c>
      <c r="BG6" s="20">
        <f t="shared" si="7"/>
        <v>3.4891415557971848</v>
      </c>
      <c r="BH6" s="59">
        <f t="shared" si="8"/>
        <v>296.82247488913049</v>
      </c>
      <c r="BI6" s="59">
        <f ca="1">AVERAGE(OFFSET($BH$3,0,0,'Données projet'!$E$11+1,1))-AVERAGE(OFFSET($H$3,0,0,'Données projet'!$E$11+1,1))</f>
        <v>350.01600895263641</v>
      </c>
      <c r="BJ6" s="59">
        <f t="shared" si="38"/>
        <v>464.08921044376882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297.41659576138659</v>
      </c>
      <c r="CD6" s="59">
        <f ca="1">AVERAGE(OFFSET($CC$3,0,0,'Données projet'!$E$12+1,1))-AVERAGE(OFFSET($H$3,0,0,'Données projet'!$E$12+1,1))</f>
        <v>279.49721661620544</v>
      </c>
      <c r="CE6" s="59">
        <f t="shared" si="40"/>
        <v>275.18739333988754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2.9235042736666665</v>
      </c>
      <c r="CT6" s="12">
        <f>IF('Données projet'!$A$140&gt;35,CT5+CS6-DB5,IF(A6&lt;'Données projet'!$A$140,$CQ$205^A6,IF(A6='Données projet'!$A$140,'Données projet'!$B$140,CT5+CS6-DB5)))</f>
        <v>1.564236799844811</v>
      </c>
      <c r="CU6" s="17">
        <f>CT6*VLOOKUP('Données projet'!$B$13,Paramètres!$A$1:$I$89,3,0)*VLOOKUP('Données projet'!$B$13,Paramètres!$A$1:$I$89,5,0)</f>
        <v>1.5861361150426383</v>
      </c>
      <c r="CV6" s="13">
        <f t="shared" si="41"/>
        <v>0.69274418641617475</v>
      </c>
      <c r="CW6" s="20">
        <f t="shared" si="13"/>
        <v>3.969049858374099</v>
      </c>
      <c r="CX6" s="59">
        <f t="shared" si="14"/>
        <v>297.30238319170741</v>
      </c>
      <c r="CY6" s="59">
        <f ca="1">AVERAGE(OFFSET($CX$3,0,0,'Données projet'!$E$13+1,1))-AVERAGE(OFFSET($H$3,0,0,'Données projet'!$E$13+1,1))</f>
        <v>402.54350692668021</v>
      </c>
      <c r="CZ6" s="59">
        <f t="shared" si="42"/>
        <v>163.60655196884522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1.6</v>
      </c>
      <c r="DO6" s="12">
        <f>IF('Données projet'!$A$166&gt;35,DO5+DN6-DW5,IF(A6&lt;'Données projet'!$A$166,$DL$205^A6,IF(A6='Données projet'!$A$166,'Données projet'!$B$166,DO5+DN6-DW5)))</f>
        <v>1.6817928305074288</v>
      </c>
      <c r="DP6" s="17">
        <f>DO6*VLOOKUP('Données projet'!$B$14,Paramètres!$A$1:$I$89,3,0)*VLOOKUP('Données projet'!$B$14,Paramètres!$A$1:$I$89,5,0)</f>
        <v>1.4429782485753739</v>
      </c>
      <c r="DQ6" s="13">
        <f t="shared" si="43"/>
        <v>0.6371974227238163</v>
      </c>
      <c r="DR6" s="20">
        <f t="shared" si="16"/>
        <v>3.6229726275127558</v>
      </c>
      <c r="DS6" s="59">
        <f t="shared" si="17"/>
        <v>296.95630596084607</v>
      </c>
      <c r="DT6" s="59">
        <f ca="1">AVERAGE(OFFSET($DS$3,0,0,'Données projet'!$E$14+1,1))-AVERAGE(OFFSET($H$3,0,0,'Données projet'!$E$14+1,1))</f>
        <v>352.76625414822473</v>
      </c>
      <c r="DU6" s="59">
        <f t="shared" si="44"/>
        <v>186.48649111821521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1.7094017093333334</v>
      </c>
      <c r="EJ6" s="12">
        <f>IF('Données projet'!$A$192&gt;35,EJ5+EI6-ER5,IF(A6&lt;'Données projet'!$A$192,$EG$205^A6,IF(A6='Données projet'!$A$192,'Données projet'!$B$192,EJ5+EI6-ER5)))</f>
        <v>1.9133176534379228</v>
      </c>
      <c r="EK6" s="17">
        <f>EJ6*VLOOKUP('Données projet'!$B$15,Paramètres!$A$1:$I$89,3,0)*VLOOKUP('Données projet'!$B$15,Paramètres!$A$1:$I$89,5,0)</f>
        <v>1.4923877696815799</v>
      </c>
      <c r="EL6" s="13">
        <f t="shared" si="45"/>
        <v>0.65643830959380334</v>
      </c>
      <c r="EM6" s="20">
        <f t="shared" si="19"/>
        <v>3.7425387547379589</v>
      </c>
      <c r="EN6" s="59">
        <f t="shared" si="20"/>
        <v>297.07587208807126</v>
      </c>
      <c r="EO6" s="59">
        <f ca="1">AVERAGE(OFFSET($EN$3,0,0,'Données projet'!$E$15+1,1))-AVERAGE(OFFSET($H$3,0,0,'Données projet'!$E$15+1,1))</f>
        <v>130.66539383144681</v>
      </c>
      <c r="EP6" s="59">
        <f t="shared" si="46"/>
        <v>126.36398121441903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2.9235042736666665</v>
      </c>
      <c r="FE6" s="12">
        <f>IF('Données projet'!$A$218&gt;35,FE5+FD6-FM5,IF(A6&lt;'Données projet'!$A$218,$FB$205^A6,IF(A6='Données projet'!$A$218,'Données projet'!$B$218,FE5+FD6-FM5)))</f>
        <v>1.564236799844811</v>
      </c>
      <c r="FF6" s="17">
        <f>FE6*VLOOKUP('Données projet'!$B$16,Paramètres!$A$1:$I$89,3,0)*VLOOKUP('Données projet'!$B$16,Paramètres!$A$1:$I$89,5,0)</f>
        <v>1.5129298328099012</v>
      </c>
      <c r="FG6" s="13">
        <f t="shared" si="47"/>
        <v>0.66441578957223779</v>
      </c>
      <c r="FH6" s="20">
        <f t="shared" si="22"/>
        <v>3.7922102923155587</v>
      </c>
      <c r="FI6" s="59">
        <f t="shared" si="23"/>
        <v>297.12554362564885</v>
      </c>
      <c r="FJ6" s="59">
        <f ca="1">AVERAGE(OFFSET($FI$3,0,0,'Données projet'!$E$16+1,1))-AVERAGE(OFFSET($H$3,0,0,'Données projet'!$E$16+1,1))</f>
        <v>380.43199889536805</v>
      </c>
      <c r="FK6" s="59">
        <f t="shared" si="48"/>
        <v>154.72646317672996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6.2222222222222223</v>
      </c>
      <c r="N7" s="13">
        <f>IF('Données projet'!$A$36&gt;35,N6+M7-V6,IF(A7&lt;'Données projet'!$A$36,$K$205^A7,IF(A7='Données projet'!$A$36,'Données projet'!$B$36,N6+M7-V6)))</f>
        <v>2.8535256637456983</v>
      </c>
      <c r="O7" s="13">
        <f>N7*VLOOKUP('Données projet'!$B$9,Paramètres!$A$1:$I$89,3,0)*VLOOKUP('Données projet'!$B$9,Paramètres!$A$1:$I$89,5,0)</f>
        <v>1.7806000141773157</v>
      </c>
      <c r="P7" s="13">
        <f t="shared" si="33"/>
        <v>0.76727758599241935</v>
      </c>
      <c r="Q7" s="20">
        <f t="shared" si="2"/>
        <v>4.4375534869622877</v>
      </c>
      <c r="R7" s="59">
        <f t="shared" si="0"/>
        <v>297.77088682029563</v>
      </c>
      <c r="S7" s="59">
        <f ca="1">AVERAGE(OFFSET($R$3,0,0,'Données projet'!$E$9+1,1))-AVERAGE(OFFSET($H$3,0,0,'Données projet'!$E$9+1,1))</f>
        <v>179.44051550872138</v>
      </c>
      <c r="T7" s="59">
        <f t="shared" si="34"/>
        <v>272.9500808380069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1.9958974359999999</v>
      </c>
      <c r="AI7" s="13">
        <f>IF('Données projet'!$A$62&gt;35,AI6+AH7-AQ6,IF(A7&lt;'Données projet'!$A$62,$AF$205^A7,IF(A7='Données projet'!$A$62,'Données projet'!$B$62,AI6+AH7-AQ6)))</f>
        <v>1.7257104540751849</v>
      </c>
      <c r="AJ7" s="13">
        <f>AI7*VLOOKUP('Données projet'!$B$10,Paramètres!$A$1:$I$89,3,0)*VLOOKUP('Données projet'!$B$10,Paramètres!$A$1:$I$89,5,0)</f>
        <v>0.83006672841016393</v>
      </c>
      <c r="AK7" s="13">
        <f t="shared" si="35"/>
        <v>0.39091318358130311</v>
      </c>
      <c r="AL7" s="20">
        <f t="shared" si="4"/>
        <v>2.1265400133851382</v>
      </c>
      <c r="AM7" s="59">
        <f t="shared" si="5"/>
        <v>295.45987334671844</v>
      </c>
      <c r="AN7" s="59">
        <f ca="1">AVERAGE(OFFSET($AM$3,0,0,'Données projet'!$E$10+1,1))-AVERAGE(OFFSET($H$3,0,0,'Données projet'!$E$10+1,1))</f>
        <v>174.18188687702559</v>
      </c>
      <c r="AO7" s="59">
        <f t="shared" si="36"/>
        <v>32.17353897322738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10.169411764705883</v>
      </c>
      <c r="BD7" s="12">
        <f>IF('Données projet'!$A$88&gt;35,BD6+BC7-BL6,IF(A7&lt;'Données projet'!$A$88,$BA$205^A7,IF(A7='Données projet'!$A$88,'Données projet'!$B$88,BD6+BC7-BL6)))</f>
        <v>3.3614617777943954</v>
      </c>
      <c r="BE7" s="13">
        <f>BD7*VLOOKUP('Données projet'!$B$11,Paramètres!$A$1:$I$89,3,0)*VLOOKUP('Données projet'!$B$11,Paramètres!$A$1:$I$89,5,0)</f>
        <v>1.8790571337870672</v>
      </c>
      <c r="BF7" s="13">
        <f t="shared" si="37"/>
        <v>0.80464707305334315</v>
      </c>
      <c r="BG7" s="20">
        <f t="shared" si="7"/>
        <v>4.6741181602470476</v>
      </c>
      <c r="BH7" s="59">
        <f t="shared" si="8"/>
        <v>298.00745149358033</v>
      </c>
      <c r="BI7" s="59">
        <f ca="1">AVERAGE(OFFSET($BH$3,0,0,'Données projet'!$E$11+1,1))-AVERAGE(OFFSET($H$3,0,0,'Données projet'!$E$11+1,1))</f>
        <v>350.01600895263641</v>
      </c>
      <c r="BJ7" s="59">
        <f t="shared" si="38"/>
        <v>464.08921044376882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298.47976375363044</v>
      </c>
      <c r="CD7" s="59">
        <f ca="1">AVERAGE(OFFSET($CC$3,0,0,'Données projet'!$E$12+1,1))-AVERAGE(OFFSET($H$3,0,0,'Données projet'!$E$12+1,1))</f>
        <v>279.49721661620544</v>
      </c>
      <c r="CE7" s="59">
        <f t="shared" si="40"/>
        <v>275.18739333988754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2.9235042736666665</v>
      </c>
      <c r="CT7" s="12">
        <f>IF('Données projet'!$A$140&gt;35,CT6+CS7-DB6,IF(A7&lt;'Données projet'!$A$140,$CQ$205^A7,IF(A7='Données projet'!$A$140,'Données projet'!$B$140,CT6+CS7-DB6)))</f>
        <v>1.8158083060839136</v>
      </c>
      <c r="CU7" s="17">
        <f>CT7*VLOOKUP('Données projet'!$B$13,Paramètres!$A$1:$I$89,3,0)*VLOOKUP('Données projet'!$B$13,Paramètres!$A$1:$I$89,5,0)</f>
        <v>1.8412296223690885</v>
      </c>
      <c r="CV7" s="13">
        <f t="shared" si="41"/>
        <v>0.79031723401241583</v>
      </c>
      <c r="CW7" s="20">
        <f t="shared" si="13"/>
        <v>4.5832774415311199</v>
      </c>
      <c r="CX7" s="59">
        <f t="shared" si="14"/>
        <v>297.91661077486441</v>
      </c>
      <c r="CY7" s="59">
        <f ca="1">AVERAGE(OFFSET($CX$3,0,0,'Données projet'!$E$13+1,1))-AVERAGE(OFFSET($H$3,0,0,'Données projet'!$E$13+1,1))</f>
        <v>402.54350692668021</v>
      </c>
      <c r="CZ7" s="59">
        <f t="shared" si="42"/>
        <v>163.60655196884522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1.6</v>
      </c>
      <c r="DO7" s="12">
        <f>IF('Données projet'!$A$166&gt;35,DO6+DN7-DW6,IF(A7&lt;'Données projet'!$A$166,$DL$205^A7,IF(A7='Données projet'!$A$166,'Données projet'!$B$166,DO6+DN7-DW6)))</f>
        <v>1.9999999999999996</v>
      </c>
      <c r="DP7" s="17">
        <f>DO7*VLOOKUP('Données projet'!$B$14,Paramètres!$A$1:$I$89,3,0)*VLOOKUP('Données projet'!$B$14,Paramètres!$A$1:$I$89,5,0)</f>
        <v>1.7159999999999997</v>
      </c>
      <c r="DQ7" s="13">
        <f t="shared" si="43"/>
        <v>0.74262837066960552</v>
      </c>
      <c r="DR7" s="20">
        <f t="shared" si="16"/>
        <v>4.2821110789162296</v>
      </c>
      <c r="DS7" s="59">
        <f t="shared" si="17"/>
        <v>297.61544441224953</v>
      </c>
      <c r="DT7" s="59">
        <f ca="1">AVERAGE(OFFSET($DS$3,0,0,'Données projet'!$E$14+1,1))-AVERAGE(OFFSET($H$3,0,0,'Données projet'!$E$14+1,1))</f>
        <v>352.76625414822473</v>
      </c>
      <c r="DU7" s="59">
        <f t="shared" si="44"/>
        <v>186.48649111821521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1.7094017093333334</v>
      </c>
      <c r="EJ7" s="12">
        <f>IF('Données projet'!$A$192&gt;35,EJ6+EI7-ER6,IF(A7&lt;'Données projet'!$A$192,$EG$205^A7,IF(A7='Données projet'!$A$192,'Données projet'!$B$192,EJ6+EI7-ER6)))</f>
        <v>2.3752870707652209</v>
      </c>
      <c r="EK7" s="17">
        <f>EJ7*VLOOKUP('Données projet'!$B$15,Paramètres!$A$1:$I$89,3,0)*VLOOKUP('Données projet'!$B$15,Paramètres!$A$1:$I$89,5,0)</f>
        <v>1.8527239151968724</v>
      </c>
      <c r="EL7" s="13">
        <f t="shared" si="45"/>
        <v>0.79467510139059161</v>
      </c>
      <c r="EM7" s="20">
        <f t="shared" si="19"/>
        <v>4.6108866205564993</v>
      </c>
      <c r="EN7" s="59">
        <f t="shared" si="20"/>
        <v>297.94421995388984</v>
      </c>
      <c r="EO7" s="59">
        <f ca="1">AVERAGE(OFFSET($EN$3,0,0,'Données projet'!$E$15+1,1))-AVERAGE(OFFSET($H$3,0,0,'Données projet'!$E$15+1,1))</f>
        <v>130.66539383144681</v>
      </c>
      <c r="EP7" s="59">
        <f t="shared" si="46"/>
        <v>126.36398121441903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2.9235042736666665</v>
      </c>
      <c r="FE7" s="12">
        <f>IF('Données projet'!$A$218&gt;35,FE6+FD7-FM6,IF(A7&lt;'Données projet'!$A$218,$FB$205^A7,IF(A7='Données projet'!$A$218,'Données projet'!$B$218,FE6+FD7-FM6)))</f>
        <v>1.8158083060839136</v>
      </c>
      <c r="FF7" s="17">
        <f>FE7*VLOOKUP('Données projet'!$B$16,Paramètres!$A$1:$I$89,3,0)*VLOOKUP('Données projet'!$B$16,Paramètres!$A$1:$I$89,5,0)</f>
        <v>1.7562497936443613</v>
      </c>
      <c r="FG7" s="13">
        <f t="shared" si="47"/>
        <v>0.75799878128958587</v>
      </c>
      <c r="FH7" s="20">
        <f t="shared" si="22"/>
        <v>4.3789829346766238</v>
      </c>
      <c r="FI7" s="59">
        <f t="shared" si="23"/>
        <v>297.71231626800994</v>
      </c>
      <c r="FJ7" s="59">
        <f ca="1">AVERAGE(OFFSET($FI$3,0,0,'Données projet'!$E$16+1,1))-AVERAGE(OFFSET($H$3,0,0,'Données projet'!$E$16+1,1))</f>
        <v>380.43199889536805</v>
      </c>
      <c r="FK7" s="59">
        <f t="shared" si="48"/>
        <v>154.72646317672996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6.2222222222222223</v>
      </c>
      <c r="N8" s="13">
        <f>IF('Données projet'!$A$36&gt;35,N7+M8-V7,IF(A8&lt;'Données projet'!$A$36,$K$205^A8,IF(A8='Données projet'!$A$36,'Données projet'!$B$36,N7+M8-V7)))</f>
        <v>3.7087471750180505</v>
      </c>
      <c r="O8" s="13">
        <f>N8*VLOOKUP('Données projet'!$B$9,Paramètres!$A$1:$I$89,3,0)*VLOOKUP('Données projet'!$B$9,Paramètres!$A$1:$I$89,5,0)</f>
        <v>2.3142582372112632</v>
      </c>
      <c r="P8" s="13">
        <f t="shared" si="33"/>
        <v>0.96726694681425085</v>
      </c>
      <c r="Q8" s="20">
        <f t="shared" si="2"/>
        <v>5.7153230288444377</v>
      </c>
      <c r="R8" s="59">
        <f t="shared" si="0"/>
        <v>299.04865636217778</v>
      </c>
      <c r="S8" s="59">
        <f ca="1">AVERAGE(OFFSET($R$3,0,0,'Données projet'!$E$9+1,1))-AVERAGE(OFFSET($H$3,0,0,'Données projet'!$E$9+1,1))</f>
        <v>179.44051550872138</v>
      </c>
      <c r="T8" s="59">
        <f t="shared" si="34"/>
        <v>272.9500808380069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1.9958974359999999</v>
      </c>
      <c r="AI8" s="13">
        <f>IF('Données projet'!$A$62&gt;35,AI7+AH8-AQ7,IF(A8&lt;'Données projet'!$A$62,$AF$205^A8,IF(A8='Données projet'!$A$62,'Données projet'!$B$62,AI7+AH8-AQ7)))</f>
        <v>1.9779254223198519</v>
      </c>
      <c r="AJ8" s="13">
        <f>AI8*VLOOKUP('Données projet'!$B$10,Paramètres!$A$1:$I$89,3,0)*VLOOKUP('Données projet'!$B$10,Paramètres!$A$1:$I$89,5,0)</f>
        <v>0.95138212813584877</v>
      </c>
      <c r="AK8" s="13">
        <f t="shared" si="35"/>
        <v>0.44098775758535597</v>
      </c>
      <c r="AL8" s="20">
        <f t="shared" si="4"/>
        <v>2.4250442176310982</v>
      </c>
      <c r="AM8" s="59">
        <f t="shared" si="5"/>
        <v>295.75837755096444</v>
      </c>
      <c r="AN8" s="59">
        <f ca="1">AVERAGE(OFFSET($AM$3,0,0,'Données projet'!$E$10+1,1))-AVERAGE(OFFSET($H$3,0,0,'Données projet'!$E$10+1,1))</f>
        <v>174.18188687702559</v>
      </c>
      <c r="AO8" s="59">
        <f t="shared" si="36"/>
        <v>32.17353897322738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10.169411764705883</v>
      </c>
      <c r="BD8" s="12">
        <f>IF('Données projet'!$A$88&gt;35,BD7+BC8-BL7,IF(A8&lt;'Données projet'!$A$88,$BA$205^A8,IF(A8='Données projet'!$A$88,'Données projet'!$B$88,BD7+BC8-BL7)))</f>
        <v>4.5515594720595862</v>
      </c>
      <c r="BE8" s="13">
        <f>BD8*VLOOKUP('Données projet'!$B$11,Paramètres!$A$1:$I$89,3,0)*VLOOKUP('Données projet'!$B$11,Paramètres!$A$1:$I$89,5,0)</f>
        <v>2.5443217448813087</v>
      </c>
      <c r="BF8" s="13">
        <f t="shared" si="37"/>
        <v>1.051757239944024</v>
      </c>
      <c r="BG8" s="20">
        <f t="shared" si="7"/>
        <v>6.2631708985707881</v>
      </c>
      <c r="BH8" s="59">
        <f t="shared" si="8"/>
        <v>299.59650423190408</v>
      </c>
      <c r="BI8" s="59">
        <f ca="1">AVERAGE(OFFSET($BH$3,0,0,'Données projet'!$E$11+1,1))-AVERAGE(OFFSET($H$3,0,0,'Données projet'!$E$11+1,1))</f>
        <v>350.01600895263641</v>
      </c>
      <c r="BJ8" s="59">
        <f t="shared" si="38"/>
        <v>464.08921044376882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299.82080708138028</v>
      </c>
      <c r="CD8" s="59">
        <f ca="1">AVERAGE(OFFSET($CC$3,0,0,'Données projet'!$E$12+1,1))-AVERAGE(OFFSET($H$3,0,0,'Données projet'!$E$12+1,1))</f>
        <v>279.49721661620544</v>
      </c>
      <c r="CE8" s="59">
        <f t="shared" si="40"/>
        <v>275.18739333988754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2.9235042736666665</v>
      </c>
      <c r="CT8" s="12">
        <f>IF('Données projet'!$A$140&gt;35,CT7+CS8-DB7,IF(A8&lt;'Données projet'!$A$140,$CQ$205^A8,IF(A8='Données projet'!$A$140,'Données projet'!$B$140,CT7+CS8-DB7)))</f>
        <v>2.1078393020612003</v>
      </c>
      <c r="CU8" s="17">
        <f>CT8*VLOOKUP('Données projet'!$B$13,Paramètres!$A$1:$I$89,3,0)*VLOOKUP('Données projet'!$B$13,Paramètres!$A$1:$I$89,5,0)</f>
        <v>2.1373490522900571</v>
      </c>
      <c r="CV8" s="13">
        <f t="shared" si="41"/>
        <v>0.90163344943872026</v>
      </c>
      <c r="CW8" s="20">
        <f t="shared" si="13"/>
        <v>5.2928945238442866</v>
      </c>
      <c r="CX8" s="59">
        <f t="shared" si="14"/>
        <v>298.62622785717758</v>
      </c>
      <c r="CY8" s="59">
        <f ca="1">AVERAGE(OFFSET($CX$3,0,0,'Données projet'!$E$13+1,1))-AVERAGE(OFFSET($H$3,0,0,'Données projet'!$E$13+1,1))</f>
        <v>402.54350692668021</v>
      </c>
      <c r="CZ8" s="59">
        <f t="shared" si="42"/>
        <v>163.60655196884522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1.6</v>
      </c>
      <c r="DO8" s="12">
        <f>IF('Données projet'!$A$166&gt;35,DO7+DN8-DW7,IF(A8&lt;'Données projet'!$A$166,$DL$205^A8,IF(A8='Données projet'!$A$166,'Données projet'!$B$166,DO7+DN8-DW7)))</f>
        <v>2.3784142300054416</v>
      </c>
      <c r="DP8" s="17">
        <f>DO8*VLOOKUP('Données projet'!$B$14,Paramètres!$A$1:$I$89,3,0)*VLOOKUP('Données projet'!$B$14,Paramètres!$A$1:$I$89,5,0)</f>
        <v>2.0406794093446692</v>
      </c>
      <c r="DQ8" s="13">
        <f t="shared" si="43"/>
        <v>0.86550396667632346</v>
      </c>
      <c r="DR8" s="20">
        <f t="shared" si="16"/>
        <v>5.061602713236562</v>
      </c>
      <c r="DS8" s="59">
        <f t="shared" si="17"/>
        <v>298.39493604656985</v>
      </c>
      <c r="DT8" s="59">
        <f ca="1">AVERAGE(OFFSET($DS$3,0,0,'Données projet'!$E$14+1,1))-AVERAGE(OFFSET($H$3,0,0,'Données projet'!$E$14+1,1))</f>
        <v>352.76625414822473</v>
      </c>
      <c r="DU8" s="59">
        <f t="shared" si="44"/>
        <v>186.48649111821521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1.7094017093333334</v>
      </c>
      <c r="EJ8" s="12">
        <f>IF('Données projet'!$A$192&gt;35,EJ7+EI8-ER7,IF(A8&lt;'Données projet'!$A$192,$EG$205^A8,IF(A8='Données projet'!$A$192,'Données projet'!$B$192,EJ7+EI8-ER7)))</f>
        <v>2.9487987310453554</v>
      </c>
      <c r="EK8" s="17">
        <f>EJ8*VLOOKUP('Données projet'!$B$15,Paramètres!$A$1:$I$89,3,0)*VLOOKUP('Données projet'!$B$15,Paramètres!$A$1:$I$89,5,0)</f>
        <v>2.3000630102153772</v>
      </c>
      <c r="EL8" s="13">
        <f t="shared" si="45"/>
        <v>0.9620226417938913</v>
      </c>
      <c r="EM8" s="20">
        <f t="shared" si="19"/>
        <v>5.6814658439161425</v>
      </c>
      <c r="EN8" s="59">
        <f t="shared" si="20"/>
        <v>299.01479917724947</v>
      </c>
      <c r="EO8" s="59">
        <f ca="1">AVERAGE(OFFSET($EN$3,0,0,'Données projet'!$E$15+1,1))-AVERAGE(OFFSET($H$3,0,0,'Données projet'!$E$15+1,1))</f>
        <v>130.66539383144681</v>
      </c>
      <c r="EP8" s="59">
        <f t="shared" si="46"/>
        <v>126.36398121441903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2.9235042736666665</v>
      </c>
      <c r="FE8" s="12">
        <f>IF('Données projet'!$A$218&gt;35,FE7+FD8-FM7,IF(A8&lt;'Données projet'!$A$218,$FB$205^A8,IF(A8='Données projet'!$A$218,'Données projet'!$B$218,FE7+FD8-FM7)))</f>
        <v>2.1078393020612003</v>
      </c>
      <c r="FF8" s="17">
        <f>FE8*VLOOKUP('Données projet'!$B$16,Paramètres!$A$1:$I$89,3,0)*VLOOKUP('Données projet'!$B$16,Paramètres!$A$1:$I$89,5,0)</f>
        <v>2.038702172953593</v>
      </c>
      <c r="FG8" s="13">
        <f t="shared" si="47"/>
        <v>0.86476294129977005</v>
      </c>
      <c r="FH8" s="20">
        <f t="shared" si="22"/>
        <v>5.0568684073246066</v>
      </c>
      <c r="FI8" s="59">
        <f t="shared" si="23"/>
        <v>298.39020174065791</v>
      </c>
      <c r="FJ8" s="59">
        <f ca="1">AVERAGE(OFFSET($FI$3,0,0,'Données projet'!$E$16+1,1))-AVERAGE(OFFSET($H$3,0,0,'Données projet'!$E$16+1,1))</f>
        <v>380.43199889536805</v>
      </c>
      <c r="FK8" s="59">
        <f t="shared" si="48"/>
        <v>154.72646317672996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6.2222222222222223</v>
      </c>
      <c r="N9" s="13">
        <f>IF('Données projet'!$A$36&gt;35,N8+M9-V8,IF(A9&lt;'Données projet'!$A$36,$K$205^A9,IF(A9='Données projet'!$A$36,'Données projet'!$B$36,N8+M9-V8)))</f>
        <v>4.8202845283504612</v>
      </c>
      <c r="O9" s="13">
        <f>N9*VLOOKUP('Données projet'!$B$9,Paramètres!$A$1:$I$89,3,0)*VLOOKUP('Données projet'!$B$9,Paramètres!$A$1:$I$89,5,0)</f>
        <v>3.0078575456906878</v>
      </c>
      <c r="P9" s="13">
        <f t="shared" si="33"/>
        <v>1.2193831326236693</v>
      </c>
      <c r="Q9" s="20">
        <f t="shared" si="2"/>
        <v>7.3624441813975059</v>
      </c>
      <c r="R9" s="59">
        <f t="shared" si="0"/>
        <v>300.69577751473082</v>
      </c>
      <c r="S9" s="59">
        <f ca="1">AVERAGE(OFFSET($R$3,0,0,'Données projet'!$E$9+1,1))-AVERAGE(OFFSET($H$3,0,0,'Données projet'!$E$9+1,1))</f>
        <v>179.44051550872138</v>
      </c>
      <c r="T9" s="59">
        <f t="shared" si="34"/>
        <v>272.9500808380069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1.9958974359999999</v>
      </c>
      <c r="AI9" s="13">
        <f>IF('Données projet'!$A$62&gt;35,AI8+AH9-AQ8,IF(A9&lt;'Données projet'!$A$62,$AF$205^A9,IF(A9='Données projet'!$A$62,'Données projet'!$B$62,AI8+AH9-AQ8)))</f>
        <v>2.2670019568002919</v>
      </c>
      <c r="AJ9" s="13">
        <f>AI9*VLOOKUP('Données projet'!$B$10,Paramètres!$A$1:$I$89,3,0)*VLOOKUP('Données projet'!$B$10,Paramètres!$A$1:$I$89,5,0)</f>
        <v>1.0904279412209403</v>
      </c>
      <c r="AK9" s="13">
        <f t="shared" si="35"/>
        <v>0.49747670456786813</v>
      </c>
      <c r="AL9" s="20">
        <f t="shared" si="4"/>
        <v>2.7656005914155077</v>
      </c>
      <c r="AM9" s="59">
        <f t="shared" si="5"/>
        <v>296.09893392474885</v>
      </c>
      <c r="AN9" s="59">
        <f ca="1">AVERAGE(OFFSET($AM$3,0,0,'Données projet'!$E$10+1,1))-AVERAGE(OFFSET($H$3,0,0,'Données projet'!$E$10+1,1))</f>
        <v>174.18188687702559</v>
      </c>
      <c r="AO9" s="59">
        <f t="shared" si="36"/>
        <v>32.17353897322738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10.169411764705883</v>
      </c>
      <c r="BD9" s="12">
        <f>IF('Données projet'!$A$88&gt;35,BD8+BC9-BL8,IF(A9&lt;'Données projet'!$A$88,$BA$205^A9,IF(A9='Données projet'!$A$88,'Données projet'!$B$88,BD8+BC9-BL8)))</f>
        <v>6.1630013955679974</v>
      </c>
      <c r="BE9" s="13">
        <f>BD9*VLOOKUP('Données projet'!$B$11,Paramètres!$A$1:$I$89,3,0)*VLOOKUP('Données projet'!$B$11,Paramètres!$A$1:$I$89,5,0)</f>
        <v>3.4451177801225104</v>
      </c>
      <c r="BF9" s="13">
        <f t="shared" si="37"/>
        <v>1.3747558759855676</v>
      </c>
      <c r="BG9" s="20">
        <f t="shared" si="7"/>
        <v>8.3946132843882353</v>
      </c>
      <c r="BH9" s="59">
        <f t="shared" si="8"/>
        <v>301.72794661772156</v>
      </c>
      <c r="BI9" s="59">
        <f ca="1">AVERAGE(OFFSET($BH$3,0,0,'Données projet'!$E$11+1,1))-AVERAGE(OFFSET($H$3,0,0,'Données projet'!$E$11+1,1))</f>
        <v>350.01600895263641</v>
      </c>
      <c r="BJ9" s="59">
        <f t="shared" si="38"/>
        <v>464.08921044376882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301.5126121013077</v>
      </c>
      <c r="CD9" s="59">
        <f ca="1">AVERAGE(OFFSET($CC$3,0,0,'Données projet'!$E$12+1,1))-AVERAGE(OFFSET($H$3,0,0,'Données projet'!$E$12+1,1))</f>
        <v>279.49721661620544</v>
      </c>
      <c r="CE9" s="59">
        <f t="shared" si="40"/>
        <v>275.18739333988754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2.9235042736666665</v>
      </c>
      <c r="CT9" s="12">
        <f>IF('Données projet'!$A$140&gt;35,CT8+CS9-DB8,IF(A9&lt;'Données projet'!$A$140,$CQ$205^A9,IF(A9='Données projet'!$A$140,'Données projet'!$B$140,CT8+CS9-DB8)))</f>
        <v>2.4468367659887358</v>
      </c>
      <c r="CU9" s="17">
        <f>CT9*VLOOKUP('Données projet'!$B$13,Paramètres!$A$1:$I$89,3,0)*VLOOKUP('Données projet'!$B$13,Paramètres!$A$1:$I$89,5,0)</f>
        <v>2.481092480712578</v>
      </c>
      <c r="CV9" s="13">
        <f t="shared" si="41"/>
        <v>1.0286285584580761</v>
      </c>
      <c r="CW9" s="20">
        <f t="shared" si="13"/>
        <v>6.1127641432222219</v>
      </c>
      <c r="CX9" s="59">
        <f t="shared" si="14"/>
        <v>299.44609747655556</v>
      </c>
      <c r="CY9" s="59">
        <f ca="1">AVERAGE(OFFSET($CX$3,0,0,'Données projet'!$E$13+1,1))-AVERAGE(OFFSET($H$3,0,0,'Données projet'!$E$13+1,1))</f>
        <v>402.54350692668021</v>
      </c>
      <c r="CZ9" s="59">
        <f t="shared" si="42"/>
        <v>163.60655196884522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1.6</v>
      </c>
      <c r="DO9" s="12">
        <f>IF('Données projet'!$A$166&gt;35,DO8+DN9-DW8,IF(A9&lt;'Données projet'!$A$166,$DL$205^A9,IF(A9='Données projet'!$A$166,'Données projet'!$B$166,DO8+DN9-DW8)))</f>
        <v>2.8284271247461894</v>
      </c>
      <c r="DP9" s="17">
        <f>DO9*VLOOKUP('Données projet'!$B$14,Paramètres!$A$1:$I$89,3,0)*VLOOKUP('Données projet'!$B$14,Paramètres!$A$1:$I$89,5,0)</f>
        <v>2.4267904730322307</v>
      </c>
      <c r="DQ9" s="13">
        <f t="shared" si="43"/>
        <v>1.0087106093953995</v>
      </c>
      <c r="DR9" s="20">
        <f t="shared" si="16"/>
        <v>5.9834977185614555</v>
      </c>
      <c r="DS9" s="59">
        <f t="shared" si="17"/>
        <v>299.31683105189478</v>
      </c>
      <c r="DT9" s="59">
        <f ca="1">AVERAGE(OFFSET($DS$3,0,0,'Données projet'!$E$14+1,1))-AVERAGE(OFFSET($H$3,0,0,'Données projet'!$E$14+1,1))</f>
        <v>352.76625414822473</v>
      </c>
      <c r="DU9" s="59">
        <f t="shared" si="44"/>
        <v>186.48649111821521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1.7094017093333334</v>
      </c>
      <c r="EJ9" s="12">
        <f>IF('Données projet'!$A$192&gt;35,EJ8+EI9-ER8,IF(A9&lt;'Données projet'!$A$192,$EG$205^A9,IF(A9='Données projet'!$A$192,'Données projet'!$B$192,EJ8+EI9-ER8)))</f>
        <v>3.6607844429571994</v>
      </c>
      <c r="EK9" s="17">
        <f>EJ9*VLOOKUP('Données projet'!$B$15,Paramètres!$A$1:$I$89,3,0)*VLOOKUP('Données projet'!$B$15,Paramètres!$A$1:$I$89,5,0)</f>
        <v>2.8554118655066154</v>
      </c>
      <c r="EL9" s="13">
        <f t="shared" si="45"/>
        <v>1.1646112501884092</v>
      </c>
      <c r="EM9" s="20">
        <f t="shared" si="19"/>
        <v>7.0015402598355001</v>
      </c>
      <c r="EN9" s="59">
        <f t="shared" si="20"/>
        <v>300.33487359316882</v>
      </c>
      <c r="EO9" s="59">
        <f ca="1">AVERAGE(OFFSET($EN$3,0,0,'Données projet'!$E$15+1,1))-AVERAGE(OFFSET($H$3,0,0,'Données projet'!$E$15+1,1))</f>
        <v>130.66539383144681</v>
      </c>
      <c r="EP9" s="59">
        <f t="shared" si="46"/>
        <v>126.36398121441903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2.9235042736666665</v>
      </c>
      <c r="FE9" s="12">
        <f>IF('Données projet'!$A$218&gt;35,FE8+FD9-FM8,IF(A9&lt;'Données projet'!$A$218,$FB$205^A9,IF(A9='Données projet'!$A$218,'Données projet'!$B$218,FE8+FD9-FM8)))</f>
        <v>2.4468367659887358</v>
      </c>
      <c r="FF9" s="17">
        <f>FE9*VLOOKUP('Données projet'!$B$16,Paramètres!$A$1:$I$89,3,0)*VLOOKUP('Données projet'!$B$16,Paramètres!$A$1:$I$89,5,0)</f>
        <v>2.3665805200643053</v>
      </c>
      <c r="FG9" s="13">
        <f t="shared" si="47"/>
        <v>0.98656483770748227</v>
      </c>
      <c r="FH9" s="20">
        <f t="shared" si="22"/>
        <v>5.8400614981191969</v>
      </c>
      <c r="FI9" s="59">
        <f t="shared" si="23"/>
        <v>299.17339483145253</v>
      </c>
      <c r="FJ9" s="59">
        <f ca="1">AVERAGE(OFFSET($FI$3,0,0,'Données projet'!$E$16+1,1))-AVERAGE(OFFSET($H$3,0,0,'Données projet'!$E$16+1,1))</f>
        <v>380.43199889536805</v>
      </c>
      <c r="FK9" s="59">
        <f t="shared" si="48"/>
        <v>154.72646317672996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6.2222222222222223</v>
      </c>
      <c r="N10" s="13">
        <f>IF('Données projet'!$A$36&gt;35,N9+M10-V9,IF(A10&lt;'Données projet'!$A$36,$K$205^A10,IF(A10='Données projet'!$A$36,'Données projet'!$B$36,N9+M10-V9)))</f>
        <v>6.2649573664027773</v>
      </c>
      <c r="O10" s="13">
        <f>N10*VLOOKUP('Données projet'!$B$9,Paramètres!$A$1:$I$89,3,0)*VLOOKUP('Données projet'!$B$9,Paramètres!$A$1:$I$89,5,0)</f>
        <v>3.9093333966353332</v>
      </c>
      <c r="P10" s="13">
        <f t="shared" si="33"/>
        <v>1.5372128955964925</v>
      </c>
      <c r="Q10" s="20">
        <f t="shared" si="2"/>
        <v>9.4860681256370967</v>
      </c>
      <c r="R10" s="59">
        <f t="shared" si="0"/>
        <v>302.81940145897039</v>
      </c>
      <c r="S10" s="59">
        <f ca="1">AVERAGE(OFFSET($R$3,0,0,'Données projet'!$E$9+1,1))-AVERAGE(OFFSET($H$3,0,0,'Données projet'!$E$9+1,1))</f>
        <v>179.44051550872138</v>
      </c>
      <c r="T10" s="59">
        <f t="shared" si="34"/>
        <v>272.9500808380069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1.9958974359999999</v>
      </c>
      <c r="AI10" s="13">
        <f>IF('Données projet'!$A$62&gt;35,AI9+AH10-AQ9,IF(A10&lt;'Données projet'!$A$62,$AF$205^A10,IF(A10='Données projet'!$A$62,'Données projet'!$B$62,AI9+AH10-AQ9)))</f>
        <v>2.598327426374154</v>
      </c>
      <c r="AJ10" s="13">
        <f>AI10*VLOOKUP('Données projet'!$B$10,Paramètres!$A$1:$I$89,3,0)*VLOOKUP('Données projet'!$B$10,Paramètres!$A$1:$I$89,5,0)</f>
        <v>1.2497954920859682</v>
      </c>
      <c r="AK10" s="13">
        <f t="shared" si="35"/>
        <v>0.56120168265624482</v>
      </c>
      <c r="AL10" s="20">
        <f t="shared" si="4"/>
        <v>3.1541534126760209</v>
      </c>
      <c r="AM10" s="59">
        <f t="shared" si="5"/>
        <v>296.48748674600932</v>
      </c>
      <c r="AN10" s="59">
        <f ca="1">AVERAGE(OFFSET($AM$3,0,0,'Données projet'!$E$10+1,1))-AVERAGE(OFFSET($H$3,0,0,'Données projet'!$E$10+1,1))</f>
        <v>174.18188687702559</v>
      </c>
      <c r="AO10" s="59">
        <f t="shared" si="36"/>
        <v>32.17353897322738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10.169411764705883</v>
      </c>
      <c r="BD10" s="12">
        <f>IF('Données projet'!$A$88&gt;35,BD9+BC10-BL9,IF(A10&lt;'Données projet'!$A$88,$BA$205^A10,IF(A10='Données projet'!$A$88,'Données projet'!$B$88,BD9+BC10-BL9)))</f>
        <v>8.3449609820402753</v>
      </c>
      <c r="BE10" s="13">
        <f>BD10*VLOOKUP('Données projet'!$B$11,Paramètres!$A$1:$I$89,3,0)*VLOOKUP('Données projet'!$B$11,Paramètres!$A$1:$I$89,5,0)</f>
        <v>4.6648331889605137</v>
      </c>
      <c r="BF10" s="13">
        <f t="shared" si="37"/>
        <v>1.7969486177793568</v>
      </c>
      <c r="BG10" s="20">
        <f t="shared" si="7"/>
        <v>11.254269980071941</v>
      </c>
      <c r="BH10" s="59">
        <f t="shared" si="8"/>
        <v>304.58760331340528</v>
      </c>
      <c r="BI10" s="59">
        <f ca="1">AVERAGE(OFFSET($BH$3,0,0,'Données projet'!$E$11+1,1))-AVERAGE(OFFSET($H$3,0,0,'Données projet'!$E$11+1,1))</f>
        <v>350.01600895263641</v>
      </c>
      <c r="BJ10" s="59">
        <f t="shared" si="38"/>
        <v>464.08921044376882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303.64724663056381</v>
      </c>
      <c r="CD10" s="59">
        <f ca="1">AVERAGE(OFFSET($CC$3,0,0,'Données projet'!$E$12+1,1))-AVERAGE(OFFSET($H$3,0,0,'Données projet'!$E$12+1,1))</f>
        <v>279.49721661620544</v>
      </c>
      <c r="CE10" s="59">
        <f t="shared" si="40"/>
        <v>275.18739333988754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2.9235042736666665</v>
      </c>
      <c r="CT10" s="12">
        <f>IF('Données projet'!$A$140&gt;35,CT9+CS10-DB9,IF(A10&lt;'Données projet'!$A$140,$CQ$205^A10,IF(A10='Données projet'!$A$140,'Données projet'!$B$140,CT9+CS10-DB9)))</f>
        <v>2.840354173840328</v>
      </c>
      <c r="CU10" s="17">
        <f>CT10*VLOOKUP('Données projet'!$B$13,Paramètres!$A$1:$I$89,3,0)*VLOOKUP('Données projet'!$B$13,Paramètres!$A$1:$I$89,5,0)</f>
        <v>2.8801191322740927</v>
      </c>
      <c r="CV10" s="13">
        <f t="shared" si="41"/>
        <v>1.1735109338880534</v>
      </c>
      <c r="CW10" s="20">
        <f t="shared" si="13"/>
        <v>7.0600723652324042</v>
      </c>
      <c r="CX10" s="59">
        <f t="shared" si="14"/>
        <v>300.39340569856574</v>
      </c>
      <c r="CY10" s="59">
        <f ca="1">AVERAGE(OFFSET($CX$3,0,0,'Données projet'!$E$13+1,1))-AVERAGE(OFFSET($H$3,0,0,'Données projet'!$E$13+1,1))</f>
        <v>402.54350692668021</v>
      </c>
      <c r="CZ10" s="59">
        <f t="shared" si="42"/>
        <v>163.60655196884522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1.6</v>
      </c>
      <c r="DO10" s="12">
        <f>IF('Données projet'!$A$166&gt;35,DO9+DN10-DW9,IF(A10&lt;'Données projet'!$A$166,$DL$205^A10,IF(A10='Données projet'!$A$166,'Données projet'!$B$166,DO9+DN10-DW9)))</f>
        <v>3.3635856610148567</v>
      </c>
      <c r="DP10" s="17">
        <f>DO10*VLOOKUP('Données projet'!$B$14,Paramètres!$A$1:$I$89,3,0)*VLOOKUP('Données projet'!$B$14,Paramètres!$A$1:$I$89,5,0)</f>
        <v>2.8859564971507474</v>
      </c>
      <c r="DQ10" s="13">
        <f t="shared" si="43"/>
        <v>1.1756122821876749</v>
      </c>
      <c r="DR10" s="20">
        <f t="shared" si="16"/>
        <v>7.073898957347752</v>
      </c>
      <c r="DS10" s="59">
        <f t="shared" si="17"/>
        <v>300.40723229068107</v>
      </c>
      <c r="DT10" s="59">
        <f ca="1">AVERAGE(OFFSET($DS$3,0,0,'Données projet'!$E$14+1,1))-AVERAGE(OFFSET($H$3,0,0,'Données projet'!$E$14+1,1))</f>
        <v>352.76625414822473</v>
      </c>
      <c r="DU10" s="59">
        <f t="shared" si="44"/>
        <v>186.48649111821521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1.7094017093333334</v>
      </c>
      <c r="EJ10" s="12">
        <f>IF('Données projet'!$A$192&gt;35,EJ9+EI10-ER9,IF(A10&lt;'Données projet'!$A$192,$EG$205^A10,IF(A10='Données projet'!$A$192,'Données projet'!$B$192,EJ9+EI10-ER9)))</f>
        <v>4.5446786844779501</v>
      </c>
      <c r="EK10" s="17">
        <f>EJ10*VLOOKUP('Données projet'!$B$15,Paramètres!$A$1:$I$89,3,0)*VLOOKUP('Données projet'!$B$15,Paramètres!$A$1:$I$89,5,0)</f>
        <v>3.5448493738928013</v>
      </c>
      <c r="EL10" s="13">
        <f t="shared" si="45"/>
        <v>1.4098622060872394</v>
      </c>
      <c r="EM10" s="20">
        <f t="shared" si="19"/>
        <v>8.6294560017985713</v>
      </c>
      <c r="EN10" s="59">
        <f t="shared" si="20"/>
        <v>301.9627893351319</v>
      </c>
      <c r="EO10" s="59">
        <f ca="1">AVERAGE(OFFSET($EN$3,0,0,'Données projet'!$E$15+1,1))-AVERAGE(OFFSET($H$3,0,0,'Données projet'!$E$15+1,1))</f>
        <v>130.66539383144681</v>
      </c>
      <c r="EP10" s="59">
        <f t="shared" si="46"/>
        <v>126.36398121441903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2.9235042736666665</v>
      </c>
      <c r="FE10" s="12">
        <f>IF('Données projet'!$A$218&gt;35,FE9+FD10-FM9,IF(A10&lt;'Données projet'!$A$218,$FB$205^A10,IF(A10='Données projet'!$A$218,'Données projet'!$B$218,FE9+FD10-FM9)))</f>
        <v>2.840354173840328</v>
      </c>
      <c r="FF10" s="17">
        <f>FE10*VLOOKUP('Données projet'!$B$16,Paramètres!$A$1:$I$89,3,0)*VLOOKUP('Données projet'!$B$16,Paramètres!$A$1:$I$89,5,0)</f>
        <v>2.7471905569383654</v>
      </c>
      <c r="FG10" s="13">
        <f t="shared" si="47"/>
        <v>1.1255225363125183</v>
      </c>
      <c r="FH10" s="20">
        <f t="shared" si="22"/>
        <v>6.744975304078622</v>
      </c>
      <c r="FI10" s="59">
        <f t="shared" si="23"/>
        <v>300.07830863741196</v>
      </c>
      <c r="FJ10" s="59">
        <f ca="1">AVERAGE(OFFSET($FI$3,0,0,'Données projet'!$E$16+1,1))-AVERAGE(OFFSET($H$3,0,0,'Données projet'!$E$16+1,1))</f>
        <v>380.43199889536805</v>
      </c>
      <c r="FK10" s="59">
        <f t="shared" si="48"/>
        <v>154.72646317672996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6.2222222222222223</v>
      </c>
      <c r="N11" s="13">
        <f>IF('Données projet'!$A$36&gt;35,N10+M11-V10,IF(A11&lt;'Données projet'!$A$36,$K$205^A11,IF(A11='Données projet'!$A$36,'Données projet'!$B$36,N10+M11-V10)))</f>
        <v>8.1426087136553278</v>
      </c>
      <c r="O11" s="13">
        <f>N11*VLOOKUP('Données projet'!$B$9,Paramètres!$A$1:$I$89,3,0)*VLOOKUP('Données projet'!$B$9,Paramètres!$A$1:$I$89,5,0)</f>
        <v>5.080987837320925</v>
      </c>
      <c r="P11" s="13">
        <f t="shared" si="33"/>
        <v>1.9378843475584122</v>
      </c>
      <c r="Q11" s="20">
        <f t="shared" si="2"/>
        <v>12.224535721998178</v>
      </c>
      <c r="R11" s="59">
        <f t="shared" si="0"/>
        <v>305.55786905533148</v>
      </c>
      <c r="S11" s="59">
        <f ca="1">AVERAGE(OFFSET($R$3,0,0,'Données projet'!$E$9+1,1))-AVERAGE(OFFSET($H$3,0,0,'Données projet'!$E$9+1,1))</f>
        <v>179.44051550872138</v>
      </c>
      <c r="T11" s="59">
        <f t="shared" si="34"/>
        <v>272.9500808380069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1.9958974359999999</v>
      </c>
      <c r="AI11" s="13">
        <f>IF('Données projet'!$A$62&gt;35,AI10+AH11-AQ10,IF(A11&lt;'Données projet'!$A$62,$AF$205^A11,IF(A11='Données projet'!$A$62,'Données projet'!$B$62,AI10+AH11-AQ10)))</f>
        <v>2.9780765713043809</v>
      </c>
      <c r="AJ11" s="13">
        <f>AI11*VLOOKUP('Données projet'!$B$10,Paramètres!$A$1:$I$89,3,0)*VLOOKUP('Données projet'!$B$10,Paramètres!$A$1:$I$89,5,0)</f>
        <v>1.4324548307974072</v>
      </c>
      <c r="AK11" s="13">
        <f t="shared" si="35"/>
        <v>0.63308960143124438</v>
      </c>
      <c r="AL11" s="20">
        <f t="shared" si="4"/>
        <v>3.5974898861315681</v>
      </c>
      <c r="AM11" s="59">
        <f t="shared" si="5"/>
        <v>296.93082321946486</v>
      </c>
      <c r="AN11" s="59">
        <f ca="1">AVERAGE(OFFSET($AM$3,0,0,'Données projet'!$E$10+1,1))-AVERAGE(OFFSET($H$3,0,0,'Données projet'!$E$10+1,1))</f>
        <v>174.18188687702559</v>
      </c>
      <c r="AO11" s="59">
        <f t="shared" si="36"/>
        <v>32.17353897322738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10.169411764705883</v>
      </c>
      <c r="BD11" s="12">
        <f>IF('Données projet'!$A$88&gt;35,BD10+BC11-BL10,IF(A11&lt;'Données projet'!$A$88,$BA$205^A11,IF(A11='Données projet'!$A$88,'Données projet'!$B$88,BD10+BC11-BL10)))</f>
        <v>11.299425283572656</v>
      </c>
      <c r="BE11" s="13">
        <f>BD11*VLOOKUP('Données projet'!$B$11,Paramètres!$A$1:$I$89,3,0)*VLOOKUP('Données projet'!$B$11,Paramètres!$A$1:$I$89,5,0)</f>
        <v>6.3163787335171149</v>
      </c>
      <c r="BF11" s="13">
        <f t="shared" si="37"/>
        <v>2.3487983512885449</v>
      </c>
      <c r="BG11" s="20">
        <f t="shared" si="7"/>
        <v>15.091850089369855</v>
      </c>
      <c r="BH11" s="59">
        <f t="shared" si="8"/>
        <v>308.42518342270318</v>
      </c>
      <c r="BI11" s="59">
        <f ca="1">AVERAGE(OFFSET($BH$3,0,0,'Données projet'!$E$11+1,1))-AVERAGE(OFFSET($H$3,0,0,'Données projet'!$E$11+1,1))</f>
        <v>350.01600895263641</v>
      </c>
      <c r="BJ11" s="59">
        <f t="shared" si="38"/>
        <v>464.08921044376882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306.34102339264984</v>
      </c>
      <c r="CD11" s="59">
        <f ca="1">AVERAGE(OFFSET($CC$3,0,0,'Données projet'!$E$12+1,1))-AVERAGE(OFFSET($H$3,0,0,'Données projet'!$E$12+1,1))</f>
        <v>279.49721661620544</v>
      </c>
      <c r="CE11" s="59">
        <f t="shared" si="40"/>
        <v>275.18739333988754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2.9235042736666665</v>
      </c>
      <c r="CT11" s="12">
        <f>IF('Données projet'!$A$140&gt;35,CT10+CS11-DB10,IF(A11&lt;'Données projet'!$A$140,$CQ$205^A11,IF(A11='Données projet'!$A$140,'Données projet'!$B$140,CT10+CS11-DB10)))</f>
        <v>3.2971598044433317</v>
      </c>
      <c r="CU11" s="17">
        <f>CT11*VLOOKUP('Données projet'!$B$13,Paramètres!$A$1:$I$89,3,0)*VLOOKUP('Données projet'!$B$13,Paramètres!$A$1:$I$89,5,0)</f>
        <v>3.3433200417055384</v>
      </c>
      <c r="CV11" s="13">
        <f t="shared" si="41"/>
        <v>1.3387999979498322</v>
      </c>
      <c r="CW11" s="20">
        <f t="shared" si="13"/>
        <v>8.1546924023997711</v>
      </c>
      <c r="CX11" s="59">
        <f t="shared" si="14"/>
        <v>301.48802573573306</v>
      </c>
      <c r="CY11" s="59">
        <f ca="1">AVERAGE(OFFSET($CX$3,0,0,'Données projet'!$E$13+1,1))-AVERAGE(OFFSET($H$3,0,0,'Données projet'!$E$13+1,1))</f>
        <v>402.54350692668021</v>
      </c>
      <c r="CZ11" s="59">
        <f t="shared" si="42"/>
        <v>163.60655196884522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1.6</v>
      </c>
      <c r="DO11" s="12">
        <f>IF('Données projet'!$A$166&gt;35,DO10+DN11-DW10,IF(A11&lt;'Données projet'!$A$166,$DL$205^A11,IF(A11='Données projet'!$A$166,'Données projet'!$B$166,DO10+DN11-DW10)))</f>
        <v>3.9999999999999982</v>
      </c>
      <c r="DP11" s="17">
        <f>DO11*VLOOKUP('Données projet'!$B$14,Paramètres!$A$1:$I$89,3,0)*VLOOKUP('Données projet'!$B$14,Paramètres!$A$1:$I$89,5,0)</f>
        <v>3.4319999999999991</v>
      </c>
      <c r="DQ11" s="13">
        <f t="shared" si="43"/>
        <v>1.3701295744860806</v>
      </c>
      <c r="DR11" s="20">
        <f t="shared" si="16"/>
        <v>8.3637090088965884</v>
      </c>
      <c r="DS11" s="59">
        <f t="shared" si="17"/>
        <v>301.69704234222991</v>
      </c>
      <c r="DT11" s="59">
        <f ca="1">AVERAGE(OFFSET($DS$3,0,0,'Données projet'!$E$14+1,1))-AVERAGE(OFFSET($H$3,0,0,'Données projet'!$E$14+1,1))</f>
        <v>352.76625414822473</v>
      </c>
      <c r="DU11" s="59">
        <f t="shared" si="44"/>
        <v>186.48649111821521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1.7094017093333334</v>
      </c>
      <c r="EJ11" s="12">
        <f>IF('Données projet'!$A$192&gt;35,EJ10+EI11-ER10,IF(A11&lt;'Données projet'!$A$192,$EG$205^A11,IF(A11='Données projet'!$A$192,'Données projet'!$B$192,EJ10+EI11-ER10)))</f>
        <v>5.6419886685444238</v>
      </c>
      <c r="EK11" s="17">
        <f>EJ11*VLOOKUP('Données projet'!$B$15,Paramètres!$A$1:$I$89,3,0)*VLOOKUP('Données projet'!$B$15,Paramètres!$A$1:$I$89,5,0)</f>
        <v>4.4007511614646511</v>
      </c>
      <c r="EL11" s="13">
        <f t="shared" si="45"/>
        <v>1.7067596074068563</v>
      </c>
      <c r="EM11" s="20">
        <f t="shared" si="19"/>
        <v>10.637247922451207</v>
      </c>
      <c r="EN11" s="59">
        <f t="shared" si="20"/>
        <v>303.97058125578451</v>
      </c>
      <c r="EO11" s="59">
        <f ca="1">AVERAGE(OFFSET($EN$3,0,0,'Données projet'!$E$15+1,1))-AVERAGE(OFFSET($H$3,0,0,'Données projet'!$E$15+1,1))</f>
        <v>130.66539383144681</v>
      </c>
      <c r="EP11" s="59">
        <f t="shared" si="46"/>
        <v>126.36398121441903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2.9235042736666665</v>
      </c>
      <c r="FE11" s="12">
        <f>IF('Données projet'!$A$218&gt;35,FE10+FD11-FM10,IF(A11&lt;'Données projet'!$A$218,$FB$205^A11,IF(A11='Données projet'!$A$218,'Données projet'!$B$218,FE10+FD11-FM10)))</f>
        <v>3.2971598044433317</v>
      </c>
      <c r="FF11" s="17">
        <f>FE11*VLOOKUP('Données projet'!$B$16,Paramètres!$A$1:$I$89,3,0)*VLOOKUP('Données projet'!$B$16,Paramètres!$A$1:$I$89,5,0)</f>
        <v>3.1890129628575901</v>
      </c>
      <c r="FG11" s="13">
        <f t="shared" si="47"/>
        <v>1.2840524325710583</v>
      </c>
      <c r="FH11" s="20">
        <f t="shared" si="22"/>
        <v>7.7905888970382291</v>
      </c>
      <c r="FI11" s="59">
        <f t="shared" si="23"/>
        <v>301.12392223037153</v>
      </c>
      <c r="FJ11" s="59">
        <f ca="1">AVERAGE(OFFSET($FI$3,0,0,'Données projet'!$E$16+1,1))-AVERAGE(OFFSET($H$3,0,0,'Données projet'!$E$16+1,1))</f>
        <v>380.43199889536805</v>
      </c>
      <c r="FK11" s="59">
        <f t="shared" si="48"/>
        <v>154.72646317672996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6.2222222222222223</v>
      </c>
      <c r="N12" s="13">
        <f>IF('Données projet'!$A$36&gt;35,N11+M12-V11,IF(A12&lt;'Données projet'!$A$36,$K$205^A12,IF(A12='Données projet'!$A$36,'Données projet'!$B$36,N11+M12-V11)))</f>
        <v>10.583005244258365</v>
      </c>
      <c r="O12" s="13">
        <f>N12*VLOOKUP('Données projet'!$B$9,Paramètres!$A$1:$I$89,3,0)*VLOOKUP('Données projet'!$B$9,Paramètres!$A$1:$I$89,5,0)</f>
        <v>6.6037952724172193</v>
      </c>
      <c r="P12" s="13">
        <f t="shared" si="33"/>
        <v>2.4429900082608067</v>
      </c>
      <c r="Q12" s="20">
        <f t="shared" si="2"/>
        <v>15.75648436384756</v>
      </c>
      <c r="R12" s="59">
        <f t="shared" si="0"/>
        <v>309.08981769718088</v>
      </c>
      <c r="S12" s="59">
        <f ca="1">AVERAGE(OFFSET($R$3,0,0,'Données projet'!$E$9+1,1))-AVERAGE(OFFSET($H$3,0,0,'Données projet'!$E$9+1,1))</f>
        <v>179.44051550872138</v>
      </c>
      <c r="T12" s="59">
        <f t="shared" si="34"/>
        <v>272.9500808380069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1.9958974359999999</v>
      </c>
      <c r="AI12" s="13">
        <f>IF('Données projet'!$A$62&gt;35,AI11+AH12-AQ11,IF(A12&lt;'Données projet'!$A$62,$AF$205^A12,IF(A12='Données projet'!$A$62,'Données projet'!$B$62,AI11+AH12-AQ11)))</f>
        <v>3.4133265786784435</v>
      </c>
      <c r="AJ12" s="13">
        <f>AI12*VLOOKUP('Données projet'!$B$10,Paramètres!$A$1:$I$89,3,0)*VLOOKUP('Données projet'!$B$10,Paramètres!$A$1:$I$89,5,0)</f>
        <v>1.6418100843443315</v>
      </c>
      <c r="AK12" s="13">
        <f t="shared" si="35"/>
        <v>0.71418610425991369</v>
      </c>
      <c r="AL12" s="20">
        <f t="shared" si="4"/>
        <v>4.103360028485727</v>
      </c>
      <c r="AM12" s="59">
        <f t="shared" si="5"/>
        <v>297.43669336181904</v>
      </c>
      <c r="AN12" s="59">
        <f ca="1">AVERAGE(OFFSET($AM$3,0,0,'Données projet'!$E$10+1,1))-AVERAGE(OFFSET($H$3,0,0,'Données projet'!$E$10+1,1))</f>
        <v>174.18188687702559</v>
      </c>
      <c r="AO12" s="59">
        <f t="shared" si="36"/>
        <v>32.17353897322738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10.169411764705883</v>
      </c>
      <c r="BD12" s="12">
        <f>IF('Données projet'!$A$88&gt;35,BD11+BC12-BL11,IF(A12&lt;'Données projet'!$A$88,$BA$205^A12,IF(A12='Données projet'!$A$88,'Données projet'!$B$88,BD11+BC12-BL11)))</f>
        <v>15.299893194686335</v>
      </c>
      <c r="BE12" s="13">
        <f>BD12*VLOOKUP('Données projet'!$B$11,Paramètres!$A$1:$I$89,3,0)*VLOOKUP('Données projet'!$B$11,Paramètres!$A$1:$I$89,5,0)</f>
        <v>8.5526402958296615</v>
      </c>
      <c r="BF12" s="13">
        <f t="shared" si="37"/>
        <v>3.0701232302532038</v>
      </c>
      <c r="BG12" s="20">
        <f t="shared" si="7"/>
        <v>20.242979807927657</v>
      </c>
      <c r="BH12" s="59">
        <f t="shared" si="8"/>
        <v>313.57631314126098</v>
      </c>
      <c r="BI12" s="59">
        <f ca="1">AVERAGE(OFFSET($BH$3,0,0,'Données projet'!$E$11+1,1))-AVERAGE(OFFSET($H$3,0,0,'Données projet'!$E$11+1,1))</f>
        <v>350.01600895263641</v>
      </c>
      <c r="BJ12" s="59">
        <f t="shared" si="38"/>
        <v>464.08921044376882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309.74090385137913</v>
      </c>
      <c r="CD12" s="59">
        <f ca="1">AVERAGE(OFFSET($CC$3,0,0,'Données projet'!$E$12+1,1))-AVERAGE(OFFSET($H$3,0,0,'Données projet'!$E$12+1,1))</f>
        <v>279.49721661620544</v>
      </c>
      <c r="CE12" s="59">
        <f t="shared" si="40"/>
        <v>275.18739333988754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2.9235042736666665</v>
      </c>
      <c r="CT12" s="12">
        <f>IF('Données projet'!$A$140&gt;35,CT11+CS12-DB11,IF(A12&lt;'Données projet'!$A$140,$CQ$205^A12,IF(A12='Données projet'!$A$140,'Données projet'!$B$140,CT11+CS12-DB11)))</f>
        <v>3.8274321125728465</v>
      </c>
      <c r="CU12" s="17">
        <f>CT12*VLOOKUP('Données projet'!$B$13,Paramètres!$A$1:$I$89,3,0)*VLOOKUP('Données projet'!$B$13,Paramètres!$A$1:$I$89,5,0)</f>
        <v>3.8810161621488666</v>
      </c>
      <c r="CV12" s="13">
        <f t="shared" si="41"/>
        <v>1.5273700335896954</v>
      </c>
      <c r="CW12" s="20">
        <f t="shared" si="13"/>
        <v>9.4196059575779945</v>
      </c>
      <c r="CX12" s="59">
        <f t="shared" si="14"/>
        <v>302.75293929091129</v>
      </c>
      <c r="CY12" s="59">
        <f ca="1">AVERAGE(OFFSET($CX$3,0,0,'Données projet'!$E$13+1,1))-AVERAGE(OFFSET($H$3,0,0,'Données projet'!$E$13+1,1))</f>
        <v>402.54350692668021</v>
      </c>
      <c r="CZ12" s="59">
        <f t="shared" si="42"/>
        <v>163.60655196884522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1.6</v>
      </c>
      <c r="DO12" s="12">
        <f>IF('Données projet'!$A$166&gt;35,DO11+DN12-DW11,IF(A12&lt;'Données projet'!$A$166,$DL$205^A12,IF(A12='Données projet'!$A$166,'Données projet'!$B$166,DO11+DN12-DW11)))</f>
        <v>4.7568284600108823</v>
      </c>
      <c r="DP12" s="17">
        <f>DO12*VLOOKUP('Données projet'!$B$14,Paramètres!$A$1:$I$89,3,0)*VLOOKUP('Données projet'!$B$14,Paramètres!$A$1:$I$89,5,0)</f>
        <v>4.0813588186893375</v>
      </c>
      <c r="DQ12" s="13">
        <f t="shared" si="43"/>
        <v>1.5968317780655192</v>
      </c>
      <c r="DR12" s="20">
        <f t="shared" si="16"/>
        <v>9.8895152893480418</v>
      </c>
      <c r="DS12" s="59">
        <f t="shared" si="17"/>
        <v>303.22284862268134</v>
      </c>
      <c r="DT12" s="59">
        <f ca="1">AVERAGE(OFFSET($DS$3,0,0,'Données projet'!$E$14+1,1))-AVERAGE(OFFSET($H$3,0,0,'Données projet'!$E$14+1,1))</f>
        <v>352.76625414822473</v>
      </c>
      <c r="DU12" s="59">
        <f t="shared" si="44"/>
        <v>186.48649111821521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1.7094017093333334</v>
      </c>
      <c r="EJ12" s="12">
        <f>IF('Données projet'!$A$192&gt;35,EJ11+EI12-ER11,IF(A12&lt;'Données projet'!$A$192,$EG$205^A12,IF(A12='Données projet'!$A$192,'Données projet'!$B$192,EJ11+EI12-ER11)))</f>
        <v>7.0042435001409231</v>
      </c>
      <c r="EK12" s="17">
        <f>EJ12*VLOOKUP('Données projet'!$B$15,Paramètres!$A$1:$I$89,3,0)*VLOOKUP('Données projet'!$B$15,Paramètres!$A$1:$I$89,5,0)</f>
        <v>5.4633099301099204</v>
      </c>
      <c r="EL12" s="13">
        <f t="shared" si="45"/>
        <v>2.0661794783194249</v>
      </c>
      <c r="EM12" s="20">
        <f t="shared" si="19"/>
        <v>13.113860719681108</v>
      </c>
      <c r="EN12" s="59">
        <f t="shared" si="20"/>
        <v>306.44719405301441</v>
      </c>
      <c r="EO12" s="59">
        <f ca="1">AVERAGE(OFFSET($EN$3,0,0,'Données projet'!$E$15+1,1))-AVERAGE(OFFSET($H$3,0,0,'Données projet'!$E$15+1,1))</f>
        <v>130.66539383144681</v>
      </c>
      <c r="EP12" s="59">
        <f t="shared" si="46"/>
        <v>126.36398121441903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2.9235042736666665</v>
      </c>
      <c r="FE12" s="12">
        <f>IF('Données projet'!$A$218&gt;35,FE11+FD12-FM11,IF(A12&lt;'Données projet'!$A$218,$FB$205^A12,IF(A12='Données projet'!$A$218,'Données projet'!$B$218,FE11+FD12-FM11)))</f>
        <v>3.8274321125728465</v>
      </c>
      <c r="FF12" s="17">
        <f>FE12*VLOOKUP('Données projet'!$B$16,Paramètres!$A$1:$I$89,3,0)*VLOOKUP('Données projet'!$B$16,Paramètres!$A$1:$I$89,5,0)</f>
        <v>3.7018923392804575</v>
      </c>
      <c r="FG12" s="13">
        <f t="shared" si="47"/>
        <v>1.4649112713402317</v>
      </c>
      <c r="FH12" s="20">
        <f t="shared" si="22"/>
        <v>8.9988496218310328</v>
      </c>
      <c r="FI12" s="59">
        <f t="shared" si="23"/>
        <v>302.33218295516434</v>
      </c>
      <c r="FJ12" s="59">
        <f ca="1">AVERAGE(OFFSET($FI$3,0,0,'Données projet'!$E$16+1,1))-AVERAGE(OFFSET($H$3,0,0,'Données projet'!$E$16+1,1))</f>
        <v>380.43199889536805</v>
      </c>
      <c r="FK12" s="59">
        <f t="shared" si="48"/>
        <v>154.72646317672996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6.2222222222222223</v>
      </c>
      <c r="N13" s="13">
        <f>IF('Données projet'!$A$36&gt;35,N12+M13-V12,IF(A13&lt;'Données projet'!$A$36,$K$205^A13,IF(A13='Données projet'!$A$36,'Données projet'!$B$36,N12+M13-V12)))</f>
        <v>13.754805608204368</v>
      </c>
      <c r="O13" s="13">
        <f>N13*VLOOKUP('Données projet'!$B$9,Paramètres!$A$1:$I$89,3,0)*VLOOKUP('Données projet'!$B$9,Paramètres!$A$1:$I$89,5,0)</f>
        <v>8.5829986995195267</v>
      </c>
      <c r="P13" s="13">
        <f t="shared" si="33"/>
        <v>3.0797504443346257</v>
      </c>
      <c r="Q13" s="20">
        <f t="shared" si="2"/>
        <v>20.312621425545984</v>
      </c>
      <c r="R13" s="59">
        <f t="shared" si="0"/>
        <v>313.64595475887927</v>
      </c>
      <c r="S13" s="59">
        <f ca="1">AVERAGE(OFFSET($R$3,0,0,'Données projet'!$E$9+1,1))-AVERAGE(OFFSET($H$3,0,0,'Données projet'!$E$9+1,1))</f>
        <v>179.44051550872138</v>
      </c>
      <c r="T13" s="59">
        <f t="shared" si="34"/>
        <v>272.9500808380069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1.9958974359999999</v>
      </c>
      <c r="AI13" s="13">
        <f>IF('Données projet'!$A$62&gt;35,AI12+AH13-AQ12,IF(A13&lt;'Données projet'!$A$62,$AF$205^A13,IF(A13='Données projet'!$A$62,'Données projet'!$B$62,AI12+AH13-AQ12)))</f>
        <v>3.9121889762591646</v>
      </c>
      <c r="AJ13" s="13">
        <f>AI13*VLOOKUP('Données projet'!$B$10,Paramètres!$A$1:$I$89,3,0)*VLOOKUP('Données projet'!$B$10,Paramètres!$A$1:$I$89,5,0)</f>
        <v>1.8817628975806582</v>
      </c>
      <c r="AK13" s="13">
        <f t="shared" si="35"/>
        <v>0.80567077766692174</v>
      </c>
      <c r="AL13" s="20">
        <f t="shared" si="4"/>
        <v>4.680613651056202</v>
      </c>
      <c r="AM13" s="59">
        <f t="shared" si="5"/>
        <v>298.01394698438952</v>
      </c>
      <c r="AN13" s="59">
        <f ca="1">AVERAGE(OFFSET($AM$3,0,0,'Données projet'!$E$10+1,1))-AVERAGE(OFFSET($H$3,0,0,'Données projet'!$E$10+1,1))</f>
        <v>174.18188687702559</v>
      </c>
      <c r="AO13" s="59">
        <f t="shared" si="36"/>
        <v>32.17353897322738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10.169411764705883</v>
      </c>
      <c r="BD13" s="12">
        <f>IF('Données projet'!$A$88&gt;35,BD12+BC13-BL12,IF(A13&lt;'Données projet'!$A$88,$BA$205^A13,IF(A13='Données projet'!$A$88,'Données projet'!$B$88,BD12+BC13-BL12)))</f>
        <v>20.716693627695339</v>
      </c>
      <c r="BE13" s="13">
        <f>BD13*VLOOKUP('Données projet'!$B$11,Paramètres!$A$1:$I$89,3,0)*VLOOKUP('Données projet'!$B$11,Paramètres!$A$1:$I$89,5,0)</f>
        <v>11.580631737881694</v>
      </c>
      <c r="BF13" s="13">
        <f t="shared" si="37"/>
        <v>4.0129697143943712</v>
      </c>
      <c r="BG13" s="20">
        <f t="shared" si="7"/>
        <v>27.158855862714148</v>
      </c>
      <c r="BH13" s="59">
        <f t="shared" si="8"/>
        <v>320.49218919604743</v>
      </c>
      <c r="BI13" s="59">
        <f ca="1">AVERAGE(OFFSET($BH$3,0,0,'Données projet'!$E$11+1,1))-AVERAGE(OFFSET($H$3,0,0,'Données projet'!$E$11+1,1))</f>
        <v>350.01600895263641</v>
      </c>
      <c r="BJ13" s="59">
        <f t="shared" si="38"/>
        <v>464.08921044376882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314.03259816936765</v>
      </c>
      <c r="CD13" s="59">
        <f ca="1">AVERAGE(OFFSET($CC$3,0,0,'Données projet'!$E$12+1,1))-AVERAGE(OFFSET($H$3,0,0,'Données projet'!$E$12+1,1))</f>
        <v>279.49721661620544</v>
      </c>
      <c r="CE13" s="59">
        <f t="shared" si="40"/>
        <v>275.18739333988754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2.9235042736666665</v>
      </c>
      <c r="CT13" s="12">
        <f>IF('Données projet'!$A$140&gt;35,CT12+CS13-DB12,IF(A13&lt;'Données projet'!$A$140,$CQ$205^A13,IF(A13='Données projet'!$A$140,'Données projet'!$B$140,CT12+CS13-DB12)))</f>
        <v>4.4429865233138468</v>
      </c>
      <c r="CU13" s="17">
        <f>CT13*VLOOKUP('Données projet'!$B$13,Paramètres!$A$1:$I$89,3,0)*VLOOKUP('Données projet'!$B$13,Paramètres!$A$1:$I$89,5,0)</f>
        <v>4.5051883346402404</v>
      </c>
      <c r="CV13" s="13">
        <f t="shared" si="41"/>
        <v>1.7425001666269833</v>
      </c>
      <c r="CW13" s="20">
        <f t="shared" si="13"/>
        <v>10.881390806373746</v>
      </c>
      <c r="CX13" s="59">
        <f t="shared" si="14"/>
        <v>304.21472413970707</v>
      </c>
      <c r="CY13" s="59">
        <f ca="1">AVERAGE(OFFSET($CX$3,0,0,'Données projet'!$E$13+1,1))-AVERAGE(OFFSET($H$3,0,0,'Données projet'!$E$13+1,1))</f>
        <v>402.54350692668021</v>
      </c>
      <c r="CZ13" s="59">
        <f t="shared" si="42"/>
        <v>163.60655196884522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1.6</v>
      </c>
      <c r="DO13" s="12">
        <f>IF('Données projet'!$A$166&gt;35,DO12+DN13-DW12,IF(A13&lt;'Données projet'!$A$166,$DL$205^A13,IF(A13='Données projet'!$A$166,'Données projet'!$B$166,DO12+DN13-DW12)))</f>
        <v>5.656854249492377</v>
      </c>
      <c r="DP13" s="17">
        <f>DO13*VLOOKUP('Données projet'!$B$14,Paramètres!$A$1:$I$89,3,0)*VLOOKUP('Données projet'!$B$14,Paramètres!$A$1:$I$89,5,0)</f>
        <v>4.8535809460644597</v>
      </c>
      <c r="DQ13" s="13">
        <f t="shared" si="43"/>
        <v>1.8610442215994896</v>
      </c>
      <c r="DR13" s="20">
        <f t="shared" si="16"/>
        <v>11.694638833681379</v>
      </c>
      <c r="DS13" s="59">
        <f t="shared" si="17"/>
        <v>305.0279721670147</v>
      </c>
      <c r="DT13" s="59">
        <f ca="1">AVERAGE(OFFSET($DS$3,0,0,'Données projet'!$E$14+1,1))-AVERAGE(OFFSET($H$3,0,0,'Données projet'!$E$14+1,1))</f>
        <v>352.76625414822473</v>
      </c>
      <c r="DU13" s="59">
        <f t="shared" si="44"/>
        <v>186.48649111821521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1.7094017093333334</v>
      </c>
      <c r="EJ13" s="12">
        <f>IF('Données projet'!$A$192&gt;35,EJ12+EI13-ER12,IF(A13&lt;'Données projet'!$A$192,$EG$205^A13,IF(A13='Données projet'!$A$192,'Données projet'!$B$192,EJ12+EI13-ER12)))</f>
        <v>8.695413956214697</v>
      </c>
      <c r="EK13" s="17">
        <f>EJ13*VLOOKUP('Données projet'!$B$15,Paramètres!$A$1:$I$89,3,0)*VLOOKUP('Données projet'!$B$15,Paramètres!$A$1:$I$89,5,0)</f>
        <v>6.7824228858474642</v>
      </c>
      <c r="EL13" s="13">
        <f t="shared" si="45"/>
        <v>2.5012881826483637</v>
      </c>
      <c r="EM13" s="20">
        <f t="shared" si="19"/>
        <v>16.169130110963568</v>
      </c>
      <c r="EN13" s="59">
        <f t="shared" si="20"/>
        <v>309.50246344429689</v>
      </c>
      <c r="EO13" s="59">
        <f ca="1">AVERAGE(OFFSET($EN$3,0,0,'Données projet'!$E$15+1,1))-AVERAGE(OFFSET($H$3,0,0,'Données projet'!$E$15+1,1))</f>
        <v>130.66539383144681</v>
      </c>
      <c r="EP13" s="59">
        <f t="shared" si="46"/>
        <v>126.36398121441903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2.9235042736666665</v>
      </c>
      <c r="FE13" s="12">
        <f>IF('Données projet'!$A$218&gt;35,FE12+FD13-FM12,IF(A13&lt;'Données projet'!$A$218,$FB$205^A13,IF(A13='Données projet'!$A$218,'Données projet'!$B$218,FE12+FD13-FM12)))</f>
        <v>4.4429865233138468</v>
      </c>
      <c r="FF13" s="17">
        <f>FE13*VLOOKUP('Données projet'!$B$16,Paramètres!$A$1:$I$89,3,0)*VLOOKUP('Données projet'!$B$16,Paramètres!$A$1:$I$89,5,0)</f>
        <v>4.2972565653491532</v>
      </c>
      <c r="FG13" s="13">
        <f t="shared" si="47"/>
        <v>1.6712440851054553</v>
      </c>
      <c r="FH13" s="20">
        <f t="shared" si="22"/>
        <v>10.39513863287511</v>
      </c>
      <c r="FI13" s="59">
        <f t="shared" si="23"/>
        <v>303.72847196620842</v>
      </c>
      <c r="FJ13" s="59">
        <f ca="1">AVERAGE(OFFSET($FI$3,0,0,'Données projet'!$E$16+1,1))-AVERAGE(OFFSET($H$3,0,0,'Données projet'!$E$16+1,1))</f>
        <v>380.43199889536805</v>
      </c>
      <c r="FK13" s="59">
        <f t="shared" si="48"/>
        <v>154.72646317672996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6.2222222222222223</v>
      </c>
      <c r="N14" s="13">
        <f>IF('Données projet'!$A$36&gt;35,N13+M14-V13,IF(A14&lt;'Données projet'!$A$36,$K$205^A14,IF(A14='Données projet'!$A$36,'Données projet'!$B$36,N13+M14-V13)))</f>
        <v>17.877216627302985</v>
      </c>
      <c r="O14" s="13">
        <f>N14*VLOOKUP('Données projet'!$B$9,Paramètres!$A$1:$I$89,3,0)*VLOOKUP('Données projet'!$B$9,Paramètres!$A$1:$I$89,5,0)</f>
        <v>11.155383175437063</v>
      </c>
      <c r="P14" s="13">
        <f t="shared" si="33"/>
        <v>3.8824812083990929</v>
      </c>
      <c r="Q14" s="20">
        <f t="shared" si="2"/>
        <v>26.1909471351813</v>
      </c>
      <c r="R14" s="59">
        <f t="shared" si="0"/>
        <v>319.52428046851463</v>
      </c>
      <c r="S14" s="59">
        <f ca="1">AVERAGE(OFFSET($R$3,0,0,'Données projet'!$E$9+1,1))-AVERAGE(OFFSET($H$3,0,0,'Données projet'!$E$9+1,1))</f>
        <v>179.44051550872138</v>
      </c>
      <c r="T14" s="59">
        <f t="shared" si="34"/>
        <v>272.9500808380069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1.9958974359999999</v>
      </c>
      <c r="AI14" s="13">
        <f>IF('Données projet'!$A$62&gt;35,AI13+AH14-AQ13,IF(A14&lt;'Données projet'!$A$62,$AF$205^A14,IF(A14='Données projet'!$A$62,'Données projet'!$B$62,AI13+AH14-AQ13)))</f>
        <v>4.4839608028041482</v>
      </c>
      <c r="AJ14" s="13">
        <f>AI14*VLOOKUP('Données projet'!$B$10,Paramètres!$A$1:$I$89,3,0)*VLOOKUP('Données projet'!$B$10,Paramètres!$A$1:$I$89,5,0)</f>
        <v>2.1567851461487955</v>
      </c>
      <c r="AK14" s="13">
        <f t="shared" si="35"/>
        <v>0.90887430897170418</v>
      </c>
      <c r="AL14" s="20">
        <f t="shared" si="4"/>
        <v>5.3393568843348698</v>
      </c>
      <c r="AM14" s="59">
        <f t="shared" si="5"/>
        <v>298.67269021766816</v>
      </c>
      <c r="AN14" s="59">
        <f ca="1">AVERAGE(OFFSET($AM$3,0,0,'Données projet'!$E$10+1,1))-AVERAGE(OFFSET($H$3,0,0,'Données projet'!$E$10+1,1))</f>
        <v>174.18188687702559</v>
      </c>
      <c r="AO14" s="59">
        <f t="shared" si="36"/>
        <v>32.17353897322738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10.169411764705883</v>
      </c>
      <c r="BD14" s="12">
        <f>IF('Données projet'!$A$88&gt;35,BD13+BC14-BL13,IF(A14&lt;'Données projet'!$A$88,$BA$205^A14,IF(A14='Données projet'!$A$88,'Données projet'!$B$88,BD13+BC14-BL13)))</f>
        <v>28.051267378313966</v>
      </c>
      <c r="BE14" s="13">
        <f>BD14*VLOOKUP('Données projet'!$B$11,Paramètres!$A$1:$I$89,3,0)*VLOOKUP('Données projet'!$B$11,Paramètres!$A$1:$I$89,5,0)</f>
        <v>15.680658464477508</v>
      </c>
      <c r="BF14" s="13">
        <f t="shared" si="37"/>
        <v>5.245367928543474</v>
      </c>
      <c r="BG14" s="20">
        <f t="shared" si="7"/>
        <v>36.446162634511545</v>
      </c>
      <c r="BH14" s="59">
        <f t="shared" si="8"/>
        <v>329.77949596784487</v>
      </c>
      <c r="BI14" s="59">
        <f ca="1">AVERAGE(OFFSET($BH$3,0,0,'Données projet'!$E$11+1,1))-AVERAGE(OFFSET($H$3,0,0,'Données projet'!$E$11+1,1))</f>
        <v>350.01600895263641</v>
      </c>
      <c r="BJ14" s="59">
        <f t="shared" si="38"/>
        <v>464.08921044376882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17.344080000000002</v>
      </c>
      <c r="CA14" s="13">
        <f t="shared" si="39"/>
        <v>5.7341113912136308</v>
      </c>
      <c r="CB14" s="20">
        <f t="shared" si="10"/>
        <v>40.194516673030414</v>
      </c>
      <c r="CC14" s="59">
        <f t="shared" si="11"/>
        <v>333.52785000636374</v>
      </c>
      <c r="CD14" s="59">
        <f ca="1">AVERAGE(OFFSET($CC$3,0,0,'Données projet'!$E$12+1,1))-AVERAGE(OFFSET($H$3,0,0,'Données projet'!$E$12+1,1))</f>
        <v>279.49721661620544</v>
      </c>
      <c r="CE14" s="59">
        <f t="shared" si="40"/>
        <v>275.18739333988754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2.9235042736666665</v>
      </c>
      <c r="CT14" s="12">
        <f>IF('Données projet'!$A$140&gt;35,CT13+CS14-DB13,IF(A14&lt;'Données projet'!$A$140,$CQ$205^A14,IF(A14='Données projet'!$A$140,'Données projet'!$B$140,CT13+CS14-DB13)))</f>
        <v>5.1575387010793801</v>
      </c>
      <c r="CU14" s="17">
        <f>CT14*VLOOKUP('Données projet'!$B$13,Paramètres!$A$1:$I$89,3,0)*VLOOKUP('Données projet'!$B$13,Paramètres!$A$1:$I$89,5,0)</f>
        <v>5.2297442428944922</v>
      </c>
      <c r="CV14" s="13">
        <f t="shared" si="41"/>
        <v>1.9879313878896765</v>
      </c>
      <c r="CW14" s="20">
        <f t="shared" si="13"/>
        <v>12.570785056949093</v>
      </c>
      <c r="CX14" s="59">
        <f t="shared" si="14"/>
        <v>305.90411839028241</v>
      </c>
      <c r="CY14" s="59">
        <f ca="1">AVERAGE(OFFSET($CX$3,0,0,'Données projet'!$E$13+1,1))-AVERAGE(OFFSET($H$3,0,0,'Données projet'!$E$13+1,1))</f>
        <v>402.54350692668021</v>
      </c>
      <c r="CZ14" s="59">
        <f t="shared" si="42"/>
        <v>163.60655196884522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1.6</v>
      </c>
      <c r="DO14" s="12">
        <f>IF('Données projet'!$A$166&gt;35,DO13+DN14-DW13,IF(A14&lt;'Données projet'!$A$166,$DL$205^A14,IF(A14='Données projet'!$A$166,'Données projet'!$B$166,DO13+DN14-DW13)))</f>
        <v>6.7271713220297125</v>
      </c>
      <c r="DP14" s="17">
        <f>DO14*VLOOKUP('Données projet'!$B$14,Paramètres!$A$1:$I$89,3,0)*VLOOKUP('Données projet'!$B$14,Paramètres!$A$1:$I$89,5,0)</f>
        <v>5.771912994301494</v>
      </c>
      <c r="DQ14" s="13">
        <f t="shared" si="43"/>
        <v>2.1689733648366443</v>
      </c>
      <c r="DR14" s="20">
        <f t="shared" si="16"/>
        <v>13.830377075498925</v>
      </c>
      <c r="DS14" s="59">
        <f t="shared" si="17"/>
        <v>307.16371040883223</v>
      </c>
      <c r="DT14" s="59">
        <f ca="1">AVERAGE(OFFSET($DS$3,0,0,'Données projet'!$E$14+1,1))-AVERAGE(OFFSET($H$3,0,0,'Données projet'!$E$14+1,1))</f>
        <v>352.76625414822473</v>
      </c>
      <c r="DU14" s="59">
        <f t="shared" si="44"/>
        <v>186.48649111821521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1.7094017093333334</v>
      </c>
      <c r="EJ14" s="12">
        <f>IF('Données projet'!$A$192&gt;35,EJ13+EI14-ER13,IF(A14&lt;'Données projet'!$A$192,$EG$205^A14,IF(A14='Données projet'!$A$192,'Données projet'!$B$192,EJ13+EI14-ER13)))</f>
        <v>10.794916520022767</v>
      </c>
      <c r="EK14" s="17">
        <f>EJ14*VLOOKUP('Données projet'!$B$15,Paramètres!$A$1:$I$89,3,0)*VLOOKUP('Données projet'!$B$15,Paramètres!$A$1:$I$89,5,0)</f>
        <v>8.420034885617758</v>
      </c>
      <c r="EL14" s="13">
        <f t="shared" si="45"/>
        <v>3.0280247375920988</v>
      </c>
      <c r="EM14" s="20">
        <f t="shared" si="19"/>
        <v>19.938703843757168</v>
      </c>
      <c r="EN14" s="59">
        <f t="shared" si="20"/>
        <v>313.27203717709051</v>
      </c>
      <c r="EO14" s="59">
        <f ca="1">AVERAGE(OFFSET($EN$3,0,0,'Données projet'!$E$15+1,1))-AVERAGE(OFFSET($H$3,0,0,'Données projet'!$E$15+1,1))</f>
        <v>130.66539383144681</v>
      </c>
      <c r="EP14" s="59">
        <f t="shared" si="46"/>
        <v>126.36398121441903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2.9235042736666665</v>
      </c>
      <c r="FE14" s="12">
        <f>IF('Données projet'!$A$218&gt;35,FE13+FD14-FM13,IF(A14&lt;'Données projet'!$A$218,$FB$205^A14,IF(A14='Données projet'!$A$218,'Données projet'!$B$218,FE13+FD14-FM13)))</f>
        <v>5.1575387010793801</v>
      </c>
      <c r="FF14" s="17">
        <f>FE14*VLOOKUP('Données projet'!$B$16,Paramètres!$A$1:$I$89,3,0)*VLOOKUP('Données projet'!$B$16,Paramètres!$A$1:$I$89,5,0)</f>
        <v>4.9883714316839765</v>
      </c>
      <c r="FG14" s="13">
        <f t="shared" si="47"/>
        <v>1.9066388843091042</v>
      </c>
      <c r="FH14" s="20">
        <f t="shared" si="22"/>
        <v>12.008809633687948</v>
      </c>
      <c r="FI14" s="59">
        <f t="shared" si="23"/>
        <v>305.34214296702129</v>
      </c>
      <c r="FJ14" s="59">
        <f ca="1">AVERAGE(OFFSET($FI$3,0,0,'Données projet'!$E$16+1,1))-AVERAGE(OFFSET($H$3,0,0,'Données projet'!$E$16+1,1))</f>
        <v>380.43199889536805</v>
      </c>
      <c r="FK14" s="59">
        <f t="shared" si="48"/>
        <v>154.72646317672996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6.2222222222222223</v>
      </c>
      <c r="N15" s="13">
        <f>IF('Données projet'!$A$36&gt;35,N14+M15-V14,IF(A15&lt;'Données projet'!$A$36,$K$205^A15,IF(A15='Données projet'!$A$36,'Données projet'!$B$36,N14+M15-V14)))</f>
        <v>23.235142934254824</v>
      </c>
      <c r="O15" s="13">
        <f>N15*VLOOKUP('Données projet'!$B$9,Paramètres!$A$1:$I$89,3,0)*VLOOKUP('Données projet'!$B$9,Paramètres!$A$1:$I$89,5,0)</f>
        <v>14.498729190975009</v>
      </c>
      <c r="P15" s="13">
        <f t="shared" si="33"/>
        <v>4.8944421329010357</v>
      </c>
      <c r="Q15" s="20">
        <f t="shared" si="2"/>
        <v>33.776440055750776</v>
      </c>
      <c r="R15" s="59">
        <f t="shared" si="0"/>
        <v>327.10977338908407</v>
      </c>
      <c r="S15" s="59">
        <f ca="1">AVERAGE(OFFSET($R$3,0,0,'Données projet'!$E$9+1,1))-AVERAGE(OFFSET($H$3,0,0,'Données projet'!$E$9+1,1))</f>
        <v>179.44051550872138</v>
      </c>
      <c r="T15" s="59">
        <f t="shared" si="34"/>
        <v>272.9500808380069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1.9958974359999999</v>
      </c>
      <c r="AI15" s="13">
        <f>IF('Données projet'!$A$62&gt;35,AI14+AH15-AQ14,IF(A15&lt;'Données projet'!$A$62,$AF$205^A15,IF(A15='Données projet'!$A$62,'Données projet'!$B$62,AI14+AH15-AQ14)))</f>
        <v>5.1392978721363525</v>
      </c>
      <c r="AJ15" s="13">
        <f>AI15*VLOOKUP('Données projet'!$B$10,Paramètres!$A$1:$I$89,3,0)*VLOOKUP('Données projet'!$B$10,Paramètres!$A$1:$I$89,5,0)</f>
        <v>2.4720022764975855</v>
      </c>
      <c r="AK15" s="13">
        <f t="shared" si="35"/>
        <v>1.0252978417572656</v>
      </c>
      <c r="AL15" s="20">
        <f t="shared" si="4"/>
        <v>6.0911310392938658</v>
      </c>
      <c r="AM15" s="59">
        <f t="shared" si="5"/>
        <v>299.4244643726272</v>
      </c>
      <c r="AN15" s="59">
        <f ca="1">AVERAGE(OFFSET($AM$3,0,0,'Données projet'!$E$10+1,1))-AVERAGE(OFFSET($H$3,0,0,'Données projet'!$E$10+1,1))</f>
        <v>174.18188687702559</v>
      </c>
      <c r="AO15" s="59">
        <f t="shared" si="36"/>
        <v>32.17353897322738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10.169411764705883</v>
      </c>
      <c r="BD15" s="12">
        <f>IF('Données projet'!$A$88&gt;35,BD14+BC15-BL14,IF(A15&lt;'Données projet'!$A$88,$BA$205^A15,IF(A15='Données projet'!$A$88,'Données projet'!$B$88,BD14+BC15-BL14)))</f>
        <v>37.982586201773081</v>
      </c>
      <c r="BE15" s="13">
        <f>BD15*VLOOKUP('Données projet'!$B$11,Paramètres!$A$1:$I$89,3,0)*VLOOKUP('Données projet'!$B$11,Paramètres!$A$1:$I$89,5,0)</f>
        <v>21.232265686791155</v>
      </c>
      <c r="BF15" s="13">
        <f t="shared" si="37"/>
        <v>6.8562403067985267</v>
      </c>
      <c r="BG15" s="20">
        <f t="shared" si="7"/>
        <v>48.920814605502024</v>
      </c>
      <c r="BH15" s="59">
        <f t="shared" si="8"/>
        <v>342.25414793883533</v>
      </c>
      <c r="BI15" s="59">
        <f ca="1">AVERAGE(OFFSET($BH$3,0,0,'Données projet'!$E$11+1,1))-AVERAGE(OFFSET($H$3,0,0,'Données projet'!$E$11+1,1))</f>
        <v>350.01600895263641</v>
      </c>
      <c r="BJ15" s="59">
        <f t="shared" si="38"/>
        <v>464.08921044376882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25.936560000000004</v>
      </c>
      <c r="CA15" s="13">
        <f t="shared" si="39"/>
        <v>8.1824816304360635</v>
      </c>
      <c r="CB15" s="20">
        <f t="shared" si="10"/>
        <v>59.423997506342801</v>
      </c>
      <c r="CC15" s="59">
        <f t="shared" si="11"/>
        <v>352.75733083967611</v>
      </c>
      <c r="CD15" s="59">
        <f ca="1">AVERAGE(OFFSET($CC$3,0,0,'Données projet'!$E$12+1,1))-AVERAGE(OFFSET($H$3,0,0,'Données projet'!$E$12+1,1))</f>
        <v>279.49721661620544</v>
      </c>
      <c r="CE15" s="59">
        <f t="shared" si="40"/>
        <v>275.18739333988754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2.9235042736666665</v>
      </c>
      <c r="CT15" s="12">
        <f>IF('Données projet'!$A$140&gt;35,CT14+CS15-DB14,IF(A15&lt;'Données projet'!$A$140,$CQ$205^A15,IF(A15='Données projet'!$A$140,'Données projet'!$B$140,CT14+CS15-DB14)))</f>
        <v>5.987010159394214</v>
      </c>
      <c r="CU15" s="17">
        <f>CT15*VLOOKUP('Données projet'!$B$13,Paramètres!$A$1:$I$89,3,0)*VLOOKUP('Données projet'!$B$13,Paramètres!$A$1:$I$89,5,0)</f>
        <v>6.0708283016257338</v>
      </c>
      <c r="CV15" s="13">
        <f t="shared" si="41"/>
        <v>2.2679316069201567</v>
      </c>
      <c r="CW15" s="20">
        <f t="shared" si="13"/>
        <v>14.523340174050759</v>
      </c>
      <c r="CX15" s="59">
        <f t="shared" si="14"/>
        <v>307.85667350738407</v>
      </c>
      <c r="CY15" s="59">
        <f ca="1">AVERAGE(OFFSET($CX$3,0,0,'Données projet'!$E$13+1,1))-AVERAGE(OFFSET($H$3,0,0,'Données projet'!$E$13+1,1))</f>
        <v>402.54350692668021</v>
      </c>
      <c r="CZ15" s="59">
        <f t="shared" si="42"/>
        <v>163.60655196884522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1.6</v>
      </c>
      <c r="DO15" s="12">
        <f>IF('Données projet'!$A$166&gt;35,DO14+DN15-DW14,IF(A15&lt;'Données projet'!$A$166,$DL$205^A15,IF(A15='Données projet'!$A$166,'Données projet'!$B$166,DO14+DN15-DW14)))</f>
        <v>7.9999999999999947</v>
      </c>
      <c r="DP15" s="17">
        <f>DO15*VLOOKUP('Données projet'!$B$14,Paramètres!$A$1:$I$89,3,0)*VLOOKUP('Données projet'!$B$14,Paramètres!$A$1:$I$89,5,0)</f>
        <v>6.8639999999999963</v>
      </c>
      <c r="DQ15" s="13">
        <f t="shared" si="43"/>
        <v>2.5278525909113112</v>
      </c>
      <c r="DR15" s="20">
        <f t="shared" si="16"/>
        <v>16.357476595837191</v>
      </c>
      <c r="DS15" s="59">
        <f t="shared" si="17"/>
        <v>309.69080992917048</v>
      </c>
      <c r="DT15" s="59">
        <f ca="1">AVERAGE(OFFSET($DS$3,0,0,'Données projet'!$E$14+1,1))-AVERAGE(OFFSET($H$3,0,0,'Données projet'!$E$14+1,1))</f>
        <v>352.76625414822473</v>
      </c>
      <c r="DU15" s="59">
        <f t="shared" si="44"/>
        <v>186.48649111821521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1.7094017093333334</v>
      </c>
      <c r="EJ15" s="12">
        <f>IF('Données projet'!$A$192&gt;35,EJ14+EI15-ER14,IF(A15&lt;'Données projet'!$A$192,$EG$205^A15,IF(A15='Données projet'!$A$192,'Données projet'!$B$192,EJ14+EI15-ER14)))</f>
        <v>13.401342737797453</v>
      </c>
      <c r="EK15" s="17">
        <f>EJ15*VLOOKUP('Données projet'!$B$15,Paramètres!$A$1:$I$89,3,0)*VLOOKUP('Données projet'!$B$15,Paramètres!$A$1:$I$89,5,0)</f>
        <v>10.453047335482013</v>
      </c>
      <c r="EL15" s="13">
        <f t="shared" si="45"/>
        <v>3.6656846960199649</v>
      </c>
      <c r="EM15" s="20">
        <f t="shared" si="19"/>
        <v>24.590124954865942</v>
      </c>
      <c r="EN15" s="59">
        <f t="shared" si="20"/>
        <v>317.92345828819924</v>
      </c>
      <c r="EO15" s="59">
        <f ca="1">AVERAGE(OFFSET($EN$3,0,0,'Données projet'!$E$15+1,1))-AVERAGE(OFFSET($H$3,0,0,'Données projet'!$E$15+1,1))</f>
        <v>130.66539383144681</v>
      </c>
      <c r="EP15" s="59">
        <f t="shared" si="46"/>
        <v>126.36398121441903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2.9235042736666665</v>
      </c>
      <c r="FE15" s="12">
        <f>IF('Données projet'!$A$218&gt;35,FE14+FD15-FM14,IF(A15&lt;'Données projet'!$A$218,$FB$205^A15,IF(A15='Données projet'!$A$218,'Données projet'!$B$218,FE14+FD15-FM14)))</f>
        <v>5.987010159394214</v>
      </c>
      <c r="FF15" s="17">
        <f>FE15*VLOOKUP('Données projet'!$B$16,Paramètres!$A$1:$I$89,3,0)*VLOOKUP('Données projet'!$B$16,Paramètres!$A$1:$I$89,5,0)</f>
        <v>5.7906362261660833</v>
      </c>
      <c r="FG15" s="13">
        <f t="shared" si="47"/>
        <v>2.1751890508142506</v>
      </c>
      <c r="FH15" s="20">
        <f t="shared" si="22"/>
        <v>13.873812357407417</v>
      </c>
      <c r="FI15" s="59">
        <f t="shared" si="23"/>
        <v>307.20714569074073</v>
      </c>
      <c r="FJ15" s="59">
        <f ca="1">AVERAGE(OFFSET($FI$3,0,0,'Données projet'!$E$16+1,1))-AVERAGE(OFFSET($H$3,0,0,'Données projet'!$E$16+1,1))</f>
        <v>380.43199889536805</v>
      </c>
      <c r="FK15" s="59">
        <f t="shared" si="48"/>
        <v>154.72646317672996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6.2222222222222223</v>
      </c>
      <c r="N16" s="13">
        <f>IF('Données projet'!$A$36&gt;35,N15+M16-V15,IF(A16&lt;'Données projet'!$A$36,$K$205^A16,IF(A16='Données projet'!$A$36,'Données projet'!$B$36,N15+M16-V15)))</f>
        <v>30.19887706404656</v>
      </c>
      <c r="O16" s="13">
        <f>N16*VLOOKUP('Données projet'!$B$9,Paramètres!$A$1:$I$89,3,0)*VLOOKUP('Données projet'!$B$9,Paramètres!$A$1:$I$89,5,0)</f>
        <v>18.844099287965054</v>
      </c>
      <c r="P16" s="13">
        <f t="shared" si="33"/>
        <v>6.1701686386769925</v>
      </c>
      <c r="Q16" s="20">
        <f t="shared" si="2"/>
        <v>43.566516638901568</v>
      </c>
      <c r="R16" s="59">
        <f t="shared" si="0"/>
        <v>336.8998499722349</v>
      </c>
      <c r="S16" s="59">
        <f ca="1">AVERAGE(OFFSET($R$3,0,0,'Données projet'!$E$9+1,1))-AVERAGE(OFFSET($H$3,0,0,'Données projet'!$E$9+1,1))</f>
        <v>179.44051550872138</v>
      </c>
      <c r="T16" s="59">
        <f t="shared" si="34"/>
        <v>272.9500808380069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1.9958974359999999</v>
      </c>
      <c r="AI16" s="13">
        <f>IF('Données projet'!$A$62&gt;35,AI15+AH16-AQ15,IF(A16&lt;'Données projet'!$A$62,$AF$205^A16,IF(A16='Données projet'!$A$62,'Données projet'!$B$62,AI15+AH16-AQ15)))</f>
        <v>5.8904133599980737</v>
      </c>
      <c r="AJ16" s="13">
        <f>AI16*VLOOKUP('Données projet'!$B$10,Paramètres!$A$1:$I$89,3,0)*VLOOKUP('Données projet'!$B$10,Paramètres!$A$1:$I$89,5,0)</f>
        <v>2.8332888261590732</v>
      </c>
      <c r="AK16" s="13">
        <f t="shared" si="35"/>
        <v>1.1566348107049804</v>
      </c>
      <c r="AL16" s="20">
        <f t="shared" si="4"/>
        <v>6.9491170008715599</v>
      </c>
      <c r="AM16" s="59">
        <f t="shared" si="5"/>
        <v>300.2824503342049</v>
      </c>
      <c r="AN16" s="59">
        <f ca="1">AVERAGE(OFFSET($AM$3,0,0,'Données projet'!$E$10+1,1))-AVERAGE(OFFSET($H$3,0,0,'Données projet'!$E$10+1,1))</f>
        <v>174.18188687702559</v>
      </c>
      <c r="AO16" s="59">
        <f t="shared" si="36"/>
        <v>32.17353897322738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10.169411764705883</v>
      </c>
      <c r="BD16" s="12">
        <f>IF('Données projet'!$A$88&gt;35,BD15+BC16-BL15,IF(A16&lt;'Données projet'!$A$88,$BA$205^A16,IF(A16='Données projet'!$A$88,'Données projet'!$B$88,BD15+BC16-BL15)))</f>
        <v>51.430006178274702</v>
      </c>
      <c r="BE16" s="13">
        <f>BD16*VLOOKUP('Données projet'!$B$11,Paramètres!$A$1:$I$89,3,0)*VLOOKUP('Données projet'!$B$11,Paramètres!$A$1:$I$89,5,0)</f>
        <v>28.749373453655558</v>
      </c>
      <c r="BF16" s="13">
        <f t="shared" si="37"/>
        <v>8.9618176999114372</v>
      </c>
      <c r="BG16" s="20">
        <f t="shared" si="7"/>
        <v>65.680324592462512</v>
      </c>
      <c r="BH16" s="59">
        <f t="shared" si="8"/>
        <v>359.01365792579583</v>
      </c>
      <c r="BI16" s="59">
        <f ca="1">AVERAGE(OFFSET($BH$3,0,0,'Données projet'!$E$11+1,1))-AVERAGE(OFFSET($H$3,0,0,'Données projet'!$E$11+1,1))</f>
        <v>350.01600895263641</v>
      </c>
      <c r="BJ16" s="59">
        <f t="shared" si="38"/>
        <v>464.08921044376882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34.529040000000009</v>
      </c>
      <c r="CA16" s="13">
        <f t="shared" si="39"/>
        <v>10.536391336679102</v>
      </c>
      <c r="CB16" s="20">
        <f t="shared" si="10"/>
        <v>78.488959578049446</v>
      </c>
      <c r="CC16" s="59">
        <f t="shared" si="11"/>
        <v>371.82229291138276</v>
      </c>
      <c r="CD16" s="59">
        <f ca="1">AVERAGE(OFFSET($CC$3,0,0,'Données projet'!$E$12+1,1))-AVERAGE(OFFSET($H$3,0,0,'Données projet'!$E$12+1,1))</f>
        <v>279.49721661620544</v>
      </c>
      <c r="CE16" s="59">
        <f t="shared" si="40"/>
        <v>275.18739333988754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2.9235042736666665</v>
      </c>
      <c r="CT16" s="12">
        <f>IF('Données projet'!$A$140&gt;35,CT15+CS16-DB15,IF(A16&lt;'Données projet'!$A$140,$CQ$205^A16,IF(A16='Données projet'!$A$140,'Données projet'!$B$140,CT15+CS16-DB15)))</f>
        <v>6.9498830209820754</v>
      </c>
      <c r="CU16" s="17">
        <f>CT16*VLOOKUP('Données projet'!$B$13,Paramètres!$A$1:$I$89,3,0)*VLOOKUP('Données projet'!$B$13,Paramètres!$A$1:$I$89,5,0)</f>
        <v>7.0471813832758254</v>
      </c>
      <c r="CV16" s="13">
        <f t="shared" si="41"/>
        <v>2.5873698684981425</v>
      </c>
      <c r="CW16" s="20">
        <f t="shared" si="13"/>
        <v>16.780176763506326</v>
      </c>
      <c r="CX16" s="59">
        <f t="shared" si="14"/>
        <v>310.11351009683966</v>
      </c>
      <c r="CY16" s="59">
        <f ca="1">AVERAGE(OFFSET($CX$3,0,0,'Données projet'!$E$13+1,1))-AVERAGE(OFFSET($H$3,0,0,'Données projet'!$E$13+1,1))</f>
        <v>402.54350692668021</v>
      </c>
      <c r="CZ16" s="59">
        <f t="shared" si="42"/>
        <v>163.60655196884522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1.6</v>
      </c>
      <c r="DO16" s="12">
        <f>IF('Données projet'!$A$166&gt;35,DO15+DN16-DW15,IF(A16&lt;'Données projet'!$A$166,$DL$205^A16,IF(A16='Données projet'!$A$166,'Données projet'!$B$166,DO15+DN16-DW15)))</f>
        <v>9.5136569200217629</v>
      </c>
      <c r="DP16" s="17">
        <f>DO16*VLOOKUP('Données projet'!$B$14,Paramètres!$A$1:$I$89,3,0)*VLOOKUP('Données projet'!$B$14,Paramètres!$A$1:$I$89,5,0)</f>
        <v>8.1627176373786732</v>
      </c>
      <c r="DQ16" s="13">
        <f t="shared" si="43"/>
        <v>2.946112121509751</v>
      </c>
      <c r="DR16" s="20">
        <f t="shared" si="16"/>
        <v>19.347878496730672</v>
      </c>
      <c r="DS16" s="59">
        <f t="shared" si="17"/>
        <v>312.681211830064</v>
      </c>
      <c r="DT16" s="59">
        <f ca="1">AVERAGE(OFFSET($DS$3,0,0,'Données projet'!$E$14+1,1))-AVERAGE(OFFSET($H$3,0,0,'Données projet'!$E$14+1,1))</f>
        <v>352.76625414822473</v>
      </c>
      <c r="DU16" s="59">
        <f t="shared" si="44"/>
        <v>186.48649111821521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1.7094017093333334</v>
      </c>
      <c r="EJ16" s="12">
        <f>IF('Données projet'!$A$192&gt;35,EJ15+EI16-ER15,IF(A16&lt;'Données projet'!$A$192,$EG$205^A16,IF(A16='Données projet'!$A$192,'Données projet'!$B$192,EJ15+EI16-ER15)))</f>
        <v>16.637089026376071</v>
      </c>
      <c r="EK16" s="17">
        <f>EJ16*VLOOKUP('Données projet'!$B$15,Paramètres!$A$1:$I$89,3,0)*VLOOKUP('Données projet'!$B$15,Paramètres!$A$1:$I$89,5,0)</f>
        <v>12.976929440573336</v>
      </c>
      <c r="EL16" s="13">
        <f t="shared" si="45"/>
        <v>4.4376269862710407</v>
      </c>
      <c r="EM16" s="20">
        <f t="shared" si="19"/>
        <v>30.330352443420622</v>
      </c>
      <c r="EN16" s="59">
        <f t="shared" si="20"/>
        <v>323.66368577675394</v>
      </c>
      <c r="EO16" s="59">
        <f ca="1">AVERAGE(OFFSET($EN$3,0,0,'Données projet'!$E$15+1,1))-AVERAGE(OFFSET($H$3,0,0,'Données projet'!$E$15+1,1))</f>
        <v>130.66539383144681</v>
      </c>
      <c r="EP16" s="59">
        <f t="shared" si="46"/>
        <v>126.36398121441903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2.9235042736666665</v>
      </c>
      <c r="FE16" s="12">
        <f>IF('Données projet'!$A$218&gt;35,FE15+FD16-FM15,IF(A16&lt;'Données projet'!$A$218,$FB$205^A16,IF(A16='Données projet'!$A$218,'Données projet'!$B$218,FE15+FD16-FM15)))</f>
        <v>6.9498830209820754</v>
      </c>
      <c r="FF16" s="17">
        <f>FE16*VLOOKUP('Données projet'!$B$16,Paramètres!$A$1:$I$89,3,0)*VLOOKUP('Données projet'!$B$16,Paramètres!$A$1:$I$89,5,0)</f>
        <v>6.7219268578938633</v>
      </c>
      <c r="FG16" s="13">
        <f t="shared" si="47"/>
        <v>2.4815645194903824</v>
      </c>
      <c r="FH16" s="20">
        <f t="shared" si="22"/>
        <v>16.029414148944227</v>
      </c>
      <c r="FI16" s="59">
        <f t="shared" si="23"/>
        <v>309.36274748227754</v>
      </c>
      <c r="FJ16" s="59">
        <f ca="1">AVERAGE(OFFSET($FI$3,0,0,'Données projet'!$E$16+1,1))-AVERAGE(OFFSET($H$3,0,0,'Données projet'!$E$16+1,1))</f>
        <v>380.43199889536805</v>
      </c>
      <c r="FK16" s="59">
        <f t="shared" si="48"/>
        <v>154.72646317672996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6.2222222222222223</v>
      </c>
      <c r="N17" s="13">
        <f>IF('Données projet'!$A$36&gt;35,N16+M17-V16,IF(A17&lt;'Données projet'!$A$36,$K$205^A17,IF(A17='Données projet'!$A$36,'Données projet'!$B$36,N16+M17-V16)))</f>
        <v>39.249690802844427</v>
      </c>
      <c r="O17" s="13">
        <f>N17*VLOOKUP('Données projet'!$B$9,Paramètres!$A$1:$I$89,3,0)*VLOOKUP('Données projet'!$B$9,Paramètres!$A$1:$I$89,5,0)</f>
        <v>24.491807060974921</v>
      </c>
      <c r="P17" s="13">
        <f t="shared" si="33"/>
        <v>7.7784106944068903</v>
      </c>
      <c r="Q17" s="20">
        <f t="shared" si="2"/>
        <v>56.203962590623313</v>
      </c>
      <c r="R17" s="59">
        <f t="shared" si="0"/>
        <v>349.53729592395661</v>
      </c>
      <c r="S17" s="59">
        <f ca="1">AVERAGE(OFFSET($R$3,0,0,'Données projet'!$E$9+1,1))-AVERAGE(OFFSET($H$3,0,0,'Données projet'!$E$9+1,1))</f>
        <v>179.44051550872138</v>
      </c>
      <c r="T17" s="59">
        <f t="shared" si="34"/>
        <v>272.9500808380069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1.9958974359999999</v>
      </c>
      <c r="AI17" s="13">
        <f>IF('Données projet'!$A$62&gt;35,AI16+AH17-AQ16,IF(A17&lt;'Données projet'!$A$62,$AF$205^A17,IF(A17='Données projet'!$A$62,'Données projet'!$B$62,AI16+AH17-AQ16)))</f>
        <v>6.7513054146481357</v>
      </c>
      <c r="AJ17" s="13">
        <f>AI17*VLOOKUP('Données projet'!$B$10,Paramètres!$A$1:$I$89,3,0)*VLOOKUP('Données projet'!$B$10,Paramètres!$A$1:$I$89,5,0)</f>
        <v>3.2473779044457536</v>
      </c>
      <c r="AK17" s="13">
        <f t="shared" si="35"/>
        <v>1.304795573393263</v>
      </c>
      <c r="AL17" s="20">
        <f t="shared" si="4"/>
        <v>7.9283688072362857</v>
      </c>
      <c r="AM17" s="59">
        <f t="shared" si="5"/>
        <v>301.26170214056958</v>
      </c>
      <c r="AN17" s="59">
        <f ca="1">AVERAGE(OFFSET($AM$3,0,0,'Données projet'!$E$10+1,1))-AVERAGE(OFFSET($H$3,0,0,'Données projet'!$E$10+1,1))</f>
        <v>174.18188687702559</v>
      </c>
      <c r="AO17" s="59">
        <f t="shared" si="36"/>
        <v>32.17353897322738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10.169411764705883</v>
      </c>
      <c r="BD17" s="12">
        <f>IF('Données projet'!$A$88&gt;35,BD16+BC17-BL16,IF(A17&lt;'Données projet'!$A$88,$BA$205^A17,IF(A17='Données projet'!$A$88,'Données projet'!$B$88,BD16+BC17-BL16)))</f>
        <v>69.638373791774598</v>
      </c>
      <c r="BE17" s="13">
        <f>BD17*VLOOKUP('Données projet'!$B$11,Paramètres!$A$1:$I$89,3,0)*VLOOKUP('Données projet'!$B$11,Paramètres!$A$1:$I$89,5,0)</f>
        <v>38.927850949602004</v>
      </c>
      <c r="BF17" s="13">
        <f t="shared" si="37"/>
        <v>11.71402589358018</v>
      </c>
      <c r="BG17" s="20">
        <f t="shared" si="7"/>
        <v>88.201268835208964</v>
      </c>
      <c r="BH17" s="59">
        <f t="shared" si="8"/>
        <v>381.53460216854228</v>
      </c>
      <c r="BI17" s="59">
        <f ca="1">AVERAGE(OFFSET($BH$3,0,0,'Données projet'!$E$11+1,1))-AVERAGE(OFFSET($H$3,0,0,'Données projet'!$E$11+1,1))</f>
        <v>350.01600895263641</v>
      </c>
      <c r="BJ17" s="59">
        <f t="shared" si="38"/>
        <v>464.08921044376882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43.121520000000004</v>
      </c>
      <c r="CA17" s="13">
        <f t="shared" si="39"/>
        <v>12.822353245070515</v>
      </c>
      <c r="CB17" s="20">
        <f t="shared" si="10"/>
        <v>97.435579235164482</v>
      </c>
      <c r="CC17" s="59">
        <f t="shared" si="11"/>
        <v>390.7689125684978</v>
      </c>
      <c r="CD17" s="59">
        <f ca="1">AVERAGE(OFFSET($CC$3,0,0,'Données projet'!$E$12+1,1))-AVERAGE(OFFSET($H$3,0,0,'Données projet'!$E$12+1,1))</f>
        <v>279.49721661620544</v>
      </c>
      <c r="CE17" s="59">
        <f t="shared" si="40"/>
        <v>275.18739333988754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2.9235042736666665</v>
      </c>
      <c r="CT17" s="12">
        <f>IF('Données projet'!$A$140&gt;35,CT16+CS17-DB16,IF(A17&lt;'Données projet'!$A$140,$CQ$205^A17,IF(A17='Données projet'!$A$140,'Données projet'!$B$140,CT16+CS17-DB16)))</f>
        <v>8.0676118328521742</v>
      </c>
      <c r="CU17" s="17">
        <f>CT17*VLOOKUP('Données projet'!$B$13,Paramètres!$A$1:$I$89,3,0)*VLOOKUP('Données projet'!$B$13,Paramètres!$A$1:$I$89,5,0)</f>
        <v>8.1805583985121046</v>
      </c>
      <c r="CV17" s="13">
        <f t="shared" si="41"/>
        <v>2.9518010225639837</v>
      </c>
      <c r="CW17" s="20">
        <f t="shared" si="13"/>
        <v>19.388859325040851</v>
      </c>
      <c r="CX17" s="59">
        <f t="shared" si="14"/>
        <v>312.72219265837418</v>
      </c>
      <c r="CY17" s="59">
        <f ca="1">AVERAGE(OFFSET($CX$3,0,0,'Données projet'!$E$13+1,1))-AVERAGE(OFFSET($H$3,0,0,'Données projet'!$E$13+1,1))</f>
        <v>402.54350692668021</v>
      </c>
      <c r="CZ17" s="59">
        <f t="shared" si="42"/>
        <v>163.60655196884522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1.6</v>
      </c>
      <c r="DO17" s="12">
        <f>IF('Données projet'!$A$166&gt;35,DO16+DN17-DW16,IF(A17&lt;'Données projet'!$A$166,$DL$205^A17,IF(A17='Données projet'!$A$166,'Données projet'!$B$166,DO16+DN17-DW16)))</f>
        <v>11.313708498984752</v>
      </c>
      <c r="DP17" s="17">
        <f>DO17*VLOOKUP('Données projet'!$B$14,Paramètres!$A$1:$I$89,3,0)*VLOOKUP('Données projet'!$B$14,Paramètres!$A$1:$I$89,5,0)</f>
        <v>9.7071618921289176</v>
      </c>
      <c r="DQ17" s="13">
        <f t="shared" si="43"/>
        <v>3.433577046269785</v>
      </c>
      <c r="DR17" s="20">
        <f t="shared" si="16"/>
        <v>22.886786984377736</v>
      </c>
      <c r="DS17" s="59">
        <f t="shared" si="17"/>
        <v>316.22012031771106</v>
      </c>
      <c r="DT17" s="59">
        <f ca="1">AVERAGE(OFFSET($DS$3,0,0,'Données projet'!$E$14+1,1))-AVERAGE(OFFSET($H$3,0,0,'Données projet'!$E$14+1,1))</f>
        <v>352.76625414822473</v>
      </c>
      <c r="DU17" s="59">
        <f t="shared" si="44"/>
        <v>186.48649111821521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1.7094017093333334</v>
      </c>
      <c r="EJ17" s="12">
        <f>IF('Données projet'!$A$192&gt;35,EJ16+EI17-ER16,IF(A17&lt;'Données projet'!$A$192,$EG$205^A17,IF(A17='Données projet'!$A$192,'Données projet'!$B$192,EJ16+EI17-ER16)))</f>
        <v>20.65410434514823</v>
      </c>
      <c r="EK17" s="17">
        <f>EJ17*VLOOKUP('Données projet'!$B$15,Paramètres!$A$1:$I$89,3,0)*VLOOKUP('Données projet'!$B$15,Paramètres!$A$1:$I$89,5,0)</f>
        <v>16.110201389215622</v>
      </c>
      <c r="EL17" s="13">
        <f t="shared" si="45"/>
        <v>5.3721296025984637</v>
      </c>
      <c r="EM17" s="20">
        <f t="shared" si="19"/>
        <v>37.415059810742861</v>
      </c>
      <c r="EN17" s="59">
        <f t="shared" si="20"/>
        <v>330.7483931440762</v>
      </c>
      <c r="EO17" s="59">
        <f ca="1">AVERAGE(OFFSET($EN$3,0,0,'Données projet'!$E$15+1,1))-AVERAGE(OFFSET($H$3,0,0,'Données projet'!$E$15+1,1))</f>
        <v>130.66539383144681</v>
      </c>
      <c r="EP17" s="59">
        <f t="shared" si="46"/>
        <v>126.36398121441903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2.9235042736666665</v>
      </c>
      <c r="FE17" s="12">
        <f>IF('Données projet'!$A$218&gt;35,FE16+FD17-FM16,IF(A17&lt;'Données projet'!$A$218,$FB$205^A17,IF(A17='Données projet'!$A$218,'Données projet'!$B$218,FE16+FD17-FM16)))</f>
        <v>8.0676118328521742</v>
      </c>
      <c r="FF17" s="17">
        <f>FE17*VLOOKUP('Données projet'!$B$16,Paramètres!$A$1:$I$89,3,0)*VLOOKUP('Données projet'!$B$16,Paramètres!$A$1:$I$89,5,0)</f>
        <v>7.8029941647346233</v>
      </c>
      <c r="FG17" s="13">
        <f t="shared" si="47"/>
        <v>2.8310929857284419</v>
      </c>
      <c r="FH17" s="20">
        <f t="shared" si="22"/>
        <v>18.521035120389836</v>
      </c>
      <c r="FI17" s="59">
        <f t="shared" si="23"/>
        <v>311.85436845372317</v>
      </c>
      <c r="FJ17" s="59">
        <f ca="1">AVERAGE(OFFSET($FI$3,0,0,'Données projet'!$E$16+1,1))-AVERAGE(OFFSET($H$3,0,0,'Données projet'!$E$16+1,1))</f>
        <v>380.43199889536805</v>
      </c>
      <c r="FK17" s="59">
        <f t="shared" si="48"/>
        <v>154.72646317672996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6.2222222222222223</v>
      </c>
      <c r="N18" s="13">
        <f>IF('Données projet'!$A$36&gt;35,N17+M18-V17,IF(A18&lt;'Données projet'!$A$36,$K$205^A18,IF(A18='Données projet'!$A$36,'Données projet'!$B$36,N17+M18-V17)))</f>
        <v>51.013096442350388</v>
      </c>
      <c r="O18" s="13">
        <f>N18*VLOOKUP('Données projet'!$B$9,Paramètres!$A$1:$I$89,3,0)*VLOOKUP('Données projet'!$B$9,Paramètres!$A$1:$I$89,5,0)</f>
        <v>31.832172180026642</v>
      </c>
      <c r="P18" s="13">
        <f t="shared" si="33"/>
        <v>9.8058378099430179</v>
      </c>
      <c r="Q18" s="20">
        <f t="shared" si="2"/>
        <v>72.519534065863823</v>
      </c>
      <c r="R18" s="59">
        <f t="shared" si="0"/>
        <v>365.85286739919712</v>
      </c>
      <c r="S18" s="59">
        <f ca="1">AVERAGE(OFFSET($R$3,0,0,'Données projet'!$E$9+1,1))-AVERAGE(OFFSET($H$3,0,0,'Données projet'!$E$9+1,1))</f>
        <v>179.44051550872138</v>
      </c>
      <c r="T18" s="59">
        <f t="shared" si="34"/>
        <v>272.9500808380069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1.9958974359999999</v>
      </c>
      <c r="AI18" s="13">
        <f>IF('Données projet'!$A$62&gt;35,AI17+AH18-AQ17,IF(A18&lt;'Données projet'!$A$62,$AF$205^A18,IF(A18='Données projet'!$A$62,'Données projet'!$B$62,AI17+AH18-AQ17)))</f>
        <v>7.7380180330624766</v>
      </c>
      <c r="AJ18" s="13">
        <f>AI18*VLOOKUP('Données projet'!$B$10,Paramètres!$A$1:$I$89,3,0)*VLOOKUP('Données projet'!$B$10,Paramètres!$A$1:$I$89,5,0)</f>
        <v>3.7219866739030509</v>
      </c>
      <c r="AK18" s="13">
        <f t="shared" si="35"/>
        <v>1.4719351973411272</v>
      </c>
      <c r="AL18" s="20">
        <f t="shared" si="4"/>
        <v>9.0460805924169438</v>
      </c>
      <c r="AM18" s="59">
        <f t="shared" si="5"/>
        <v>302.37941392575027</v>
      </c>
      <c r="AN18" s="59">
        <f ca="1">AVERAGE(OFFSET($AM$3,0,0,'Données projet'!$E$10+1,1))-AVERAGE(OFFSET($H$3,0,0,'Données projet'!$E$10+1,1))</f>
        <v>174.18188687702559</v>
      </c>
      <c r="AO18" s="59">
        <f t="shared" si="36"/>
        <v>32.17353897322738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10.169411764705883</v>
      </c>
      <c r="BD18" s="12">
        <f>IF('Données projet'!$A$88&gt;35,BD17+BC18-BL17,IF(A18&lt;'Données projet'!$A$88,$BA$205^A18,IF(A18='Données projet'!$A$88,'Données projet'!$B$88,BD17+BC18-BL17)))</f>
        <v>94.293263110893193</v>
      </c>
      <c r="BE18" s="13">
        <f>BD18*VLOOKUP('Données projet'!$B$11,Paramètres!$A$1:$I$89,3,0)*VLOOKUP('Données projet'!$B$11,Paramètres!$A$1:$I$89,5,0)</f>
        <v>52.709934078989292</v>
      </c>
      <c r="BF18" s="13">
        <f t="shared" si="37"/>
        <v>15.311447658305164</v>
      </c>
      <c r="BG18" s="20">
        <f t="shared" si="7"/>
        <v>118.47057319245452</v>
      </c>
      <c r="BH18" s="59">
        <f t="shared" si="8"/>
        <v>411.80390652578785</v>
      </c>
      <c r="BI18" s="59">
        <f ca="1">AVERAGE(OFFSET($BH$3,0,0,'Données projet'!$E$11+1,1))-AVERAGE(OFFSET($H$3,0,0,'Données projet'!$E$11+1,1))</f>
        <v>350.01600895263641</v>
      </c>
      <c r="BJ18" s="59">
        <f t="shared" si="38"/>
        <v>464.08921044376882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409.62360779893703</v>
      </c>
      <c r="CD18" s="59">
        <f ca="1">AVERAGE(OFFSET($CC$3,0,0,'Données projet'!$E$12+1,1))-AVERAGE(OFFSET($H$3,0,0,'Données projet'!$E$12+1,1))</f>
        <v>279.49721661620544</v>
      </c>
      <c r="CE18" s="59">
        <f t="shared" si="40"/>
        <v>275.18739333988754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2.9235042736666665</v>
      </c>
      <c r="CT18" s="12">
        <f>IF('Données projet'!$A$140&gt;35,CT17+CS18-DB17,IF(A18&lt;'Données projet'!$A$140,$CQ$205^A18,IF(A18='Données projet'!$A$140,'Données projet'!$B$140,CT17+CS18-DB17)))</f>
        <v>9.3651016123691768</v>
      </c>
      <c r="CU18" s="17">
        <f>CT18*VLOOKUP('Données projet'!$B$13,Paramètres!$A$1:$I$89,3,0)*VLOOKUP('Données projet'!$B$13,Paramètres!$A$1:$I$89,5,0)</f>
        <v>9.4962130349423468</v>
      </c>
      <c r="CV18" s="13">
        <f t="shared" si="41"/>
        <v>3.3675623199041804</v>
      </c>
      <c r="CW18" s="20">
        <f t="shared" si="13"/>
        <v>22.404408743024366</v>
      </c>
      <c r="CX18" s="59">
        <f t="shared" si="14"/>
        <v>315.73774207635768</v>
      </c>
      <c r="CY18" s="59">
        <f ca="1">AVERAGE(OFFSET($CX$3,0,0,'Données projet'!$E$13+1,1))-AVERAGE(OFFSET($H$3,0,0,'Données projet'!$E$13+1,1))</f>
        <v>402.54350692668021</v>
      </c>
      <c r="CZ18" s="59">
        <f t="shared" si="42"/>
        <v>163.60655196884522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1.6</v>
      </c>
      <c r="DO18" s="12">
        <f>IF('Données projet'!$A$166&gt;35,DO17+DN18-DW17,IF(A18&lt;'Données projet'!$A$166,$DL$205^A18,IF(A18='Données projet'!$A$166,'Données projet'!$B$166,DO17+DN18-DW17)))</f>
        <v>13.454342644059421</v>
      </c>
      <c r="DP18" s="17">
        <f>DO18*VLOOKUP('Données projet'!$B$14,Paramètres!$A$1:$I$89,3,0)*VLOOKUP('Données projet'!$B$14,Paramètres!$A$1:$I$89,5,0)</f>
        <v>11.543825988602984</v>
      </c>
      <c r="DQ18" s="13">
        <f t="shared" si="43"/>
        <v>4.0016981182064377</v>
      </c>
      <c r="DR18" s="20">
        <f t="shared" si="16"/>
        <v>27.075121152693075</v>
      </c>
      <c r="DS18" s="59">
        <f t="shared" si="17"/>
        <v>320.40845448602641</v>
      </c>
      <c r="DT18" s="59">
        <f ca="1">AVERAGE(OFFSET($DS$3,0,0,'Données projet'!$E$14+1,1))-AVERAGE(OFFSET($H$3,0,0,'Données projet'!$E$14+1,1))</f>
        <v>352.76625414822473</v>
      </c>
      <c r="DU18" s="59">
        <f t="shared" si="44"/>
        <v>186.48649111821521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25.641025639999999</v>
      </c>
      <c r="EH18" s="12">
        <f>VLOOKUP(A18,'Données projet'!$A$191:$I$211,9,0)</f>
        <v>1.7094017093333334</v>
      </c>
      <c r="EI18" s="12">
        <f t="array" ref="EI18">INDEX(EH:EH,MIN(IF(ISNUMBER(EH18:EH214),ROW(EH18:EH214),"")))</f>
        <v>1.7094017093333334</v>
      </c>
      <c r="EJ18" s="12">
        <f>IF('Données projet'!$A$192&gt;35,EJ17+EI18-ER17,IF(A18&lt;'Données projet'!$A$192,$EG$205^A18,IF(A18='Données projet'!$A$192,'Données projet'!$B$192,EJ17+EI18-ER17)))</f>
        <v>25.641025639999999</v>
      </c>
      <c r="EK18" s="17">
        <f>EJ18*VLOOKUP('Données projet'!$B$15,Paramètres!$A$1:$I$89,3,0)*VLOOKUP('Données projet'!$B$15,Paramètres!$A$1:$I$89,5,0)</f>
        <v>19.9999999992</v>
      </c>
      <c r="EL18" s="13">
        <f t="shared" si="45"/>
        <v>6.5034254921380272</v>
      </c>
      <c r="EM18" s="20">
        <f t="shared" si="19"/>
        <v>46.160132730747058</v>
      </c>
      <c r="EN18" s="59">
        <f t="shared" si="20"/>
        <v>339.49346606408039</v>
      </c>
      <c r="EO18" s="59">
        <f ca="1">AVERAGE(OFFSET($EN$3,0,0,'Données projet'!$E$15+1,1))-AVERAGE(OFFSET($H$3,0,0,'Données projet'!$E$15+1,1))</f>
        <v>130.66539383144681</v>
      </c>
      <c r="EP18" s="59">
        <f t="shared" si="46"/>
        <v>126.36398121441903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1.923076923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2.9235042736666665</v>
      </c>
      <c r="FE18" s="12">
        <f>IF('Données projet'!$A$218&gt;35,FE17+FD18-FM17,IF(A18&lt;'Données projet'!$A$218,$FB$205^A18,IF(A18='Données projet'!$A$218,'Données projet'!$B$218,FE17+FD18-FM17)))</f>
        <v>9.3651016123691768</v>
      </c>
      <c r="FF18" s="17">
        <f>FE18*VLOOKUP('Données projet'!$B$16,Paramètres!$A$1:$I$89,3,0)*VLOOKUP('Données projet'!$B$16,Paramètres!$A$1:$I$89,5,0)</f>
        <v>9.0579262794834694</v>
      </c>
      <c r="FG18" s="13">
        <f t="shared" si="47"/>
        <v>3.2298525510377503</v>
      </c>
      <c r="FH18" s="20">
        <f t="shared" si="22"/>
        <v>21.401214796491121</v>
      </c>
      <c r="FI18" s="59">
        <f t="shared" si="23"/>
        <v>314.73454812982442</v>
      </c>
      <c r="FJ18" s="59">
        <f ca="1">AVERAGE(OFFSET($FI$3,0,0,'Données projet'!$E$16+1,1))-AVERAGE(OFFSET($H$3,0,0,'Données projet'!$E$16+1,1))</f>
        <v>380.43199889536805</v>
      </c>
      <c r="FK18" s="59">
        <f t="shared" si="48"/>
        <v>154.72646317672996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6.2222222222222223</v>
      </c>
      <c r="N19" s="13">
        <f>IF('Données projet'!$A$36&gt;35,N18+M19-V18,IF(A19&lt;'Données projet'!$A$36,$K$205^A19,IF(A19='Données projet'!$A$36,'Données projet'!$B$36,N18+M19-V18)))</f>
        <v>66.302076663695672</v>
      </c>
      <c r="O19" s="13">
        <f>N19*VLOOKUP('Données projet'!$B$9,Paramètres!$A$1:$I$89,3,0)*VLOOKUP('Données projet'!$B$9,Paramètres!$A$1:$I$89,5,0)</f>
        <v>41.372495838146101</v>
      </c>
      <c r="P19" s="13">
        <f t="shared" si="33"/>
        <v>12.361709728704412</v>
      </c>
      <c r="Q19" s="20">
        <f t="shared" si="2"/>
        <v>93.587074695597963</v>
      </c>
      <c r="R19" s="59">
        <f t="shared" si="0"/>
        <v>386.92040802893126</v>
      </c>
      <c r="S19" s="59">
        <f ca="1">AVERAGE(OFFSET($R$3,0,0,'Données projet'!$E$9+1,1))-AVERAGE(OFFSET($H$3,0,0,'Données projet'!$E$9+1,1))</f>
        <v>179.44051550872138</v>
      </c>
      <c r="T19" s="59">
        <f t="shared" si="34"/>
        <v>272.9500808380069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1.9958974359999999</v>
      </c>
      <c r="AI19" s="13">
        <f>IF('Données projet'!$A$62&gt;35,AI18+AH19-AQ18,IF(A19&lt;'Données projet'!$A$62,$AF$205^A19,IF(A19='Données projet'!$A$62,'Données projet'!$B$62,AI18+AH19-AQ18)))</f>
        <v>8.8689400645520564</v>
      </c>
      <c r="AJ19" s="13">
        <f>AI19*VLOOKUP('Données projet'!$B$10,Paramètres!$A$1:$I$89,3,0)*VLOOKUP('Données projet'!$B$10,Paramètres!$A$1:$I$89,5,0)</f>
        <v>4.2659601710495387</v>
      </c>
      <c r="AK19" s="13">
        <f t="shared" si="35"/>
        <v>1.6604848064721764</v>
      </c>
      <c r="AL19" s="20">
        <f t="shared" si="4"/>
        <v>10.321891669183653</v>
      </c>
      <c r="AM19" s="59">
        <f t="shared" si="5"/>
        <v>303.65522500251694</v>
      </c>
      <c r="AN19" s="59">
        <f ca="1">AVERAGE(OFFSET($AM$3,0,0,'Données projet'!$E$10+1,1))-AVERAGE(OFFSET($H$3,0,0,'Données projet'!$E$10+1,1))</f>
        <v>174.18188687702559</v>
      </c>
      <c r="AO19" s="59">
        <f t="shared" si="36"/>
        <v>32.17353897322738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10.169411764705883</v>
      </c>
      <c r="BD19" s="12">
        <f>IF('Données projet'!$A$88&gt;35,BD18+BC19-BL18,IF(A19&lt;'Données projet'!$A$88,$BA$205^A19,IF(A19='Données projet'!$A$88,'Données projet'!$B$88,BD18+BC19-BL18)))</f>
        <v>127.67701173904101</v>
      </c>
      <c r="BE19" s="13">
        <f>BD19*VLOOKUP('Données projet'!$B$11,Paramètres!$A$1:$I$89,3,0)*VLOOKUP('Données projet'!$B$11,Paramètres!$A$1:$I$89,5,0)</f>
        <v>71.371449562123928</v>
      </c>
      <c r="BF19" s="13">
        <f t="shared" si="37"/>
        <v>20.013651286318474</v>
      </c>
      <c r="BG19" s="20">
        <f t="shared" si="7"/>
        <v>159.16238397770385</v>
      </c>
      <c r="BH19" s="59">
        <f t="shared" si="8"/>
        <v>452.4957173110372</v>
      </c>
      <c r="BI19" s="59">
        <f ca="1">AVERAGE(OFFSET($BH$3,0,0,'Données projet'!$E$11+1,1))-AVERAGE(OFFSET($H$3,0,0,'Données projet'!$E$11+1,1))</f>
        <v>350.01600895263641</v>
      </c>
      <c r="BJ19" s="59">
        <f t="shared" si="38"/>
        <v>464.08921044376882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377.79822820455058</v>
      </c>
      <c r="CD19" s="59">
        <f ca="1">AVERAGE(OFFSET($CC$3,0,0,'Données projet'!$E$12+1,1))-AVERAGE(OFFSET($H$3,0,0,'Données projet'!$E$12+1,1))</f>
        <v>279.49721661620544</v>
      </c>
      <c r="CE19" s="59">
        <f t="shared" si="40"/>
        <v>275.18739333988754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2.9235042736666665</v>
      </c>
      <c r="CT19" s="12">
        <f>IF('Données projet'!$A$140&gt;35,CT18+CS19-DB18,IF(A19&lt;'Données projet'!$A$140,$CQ$205^A19,IF(A19='Données projet'!$A$140,'Données projet'!$B$140,CT18+CS19-DB18)))</f>
        <v>10.871262776036788</v>
      </c>
      <c r="CU19" s="17">
        <f>CT19*VLOOKUP('Données projet'!$B$13,Paramètres!$A$1:$I$89,3,0)*VLOOKUP('Données projet'!$B$13,Paramètres!$A$1:$I$89,5,0)</f>
        <v>11.023460454901304</v>
      </c>
      <c r="CV19" s="13">
        <f t="shared" si="41"/>
        <v>3.8418836133432537</v>
      </c>
      <c r="CW19" s="20">
        <f t="shared" si="13"/>
        <v>25.890474252192604</v>
      </c>
      <c r="CX19" s="59">
        <f t="shared" si="14"/>
        <v>319.22380758552595</v>
      </c>
      <c r="CY19" s="59">
        <f ca="1">AVERAGE(OFFSET($CX$3,0,0,'Données projet'!$E$13+1,1))-AVERAGE(OFFSET($H$3,0,0,'Données projet'!$E$13+1,1))</f>
        <v>402.54350692668021</v>
      </c>
      <c r="CZ19" s="59">
        <f t="shared" si="42"/>
        <v>163.60655196884522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1.6</v>
      </c>
      <c r="DO19" s="12">
        <f>IF('Données projet'!$A$166&gt;35,DO18+DN19-DW18,IF(A19&lt;'Données projet'!$A$166,$DL$205^A19,IF(A19='Données projet'!$A$166,'Données projet'!$B$166,DO18+DN19-DW18)))</f>
        <v>15.999999999999986</v>
      </c>
      <c r="DP19" s="17">
        <f>DO19*VLOOKUP('Données projet'!$B$14,Paramètres!$A$1:$I$89,3,0)*VLOOKUP('Données projet'!$B$14,Paramètres!$A$1:$I$89,5,0)</f>
        <v>13.727999999999991</v>
      </c>
      <c r="DQ19" s="13">
        <f t="shared" si="43"/>
        <v>4.6638207366437268</v>
      </c>
      <c r="DR19" s="20">
        <f t="shared" si="16"/>
        <v>32.032421116321139</v>
      </c>
      <c r="DS19" s="59">
        <f t="shared" si="17"/>
        <v>325.36575444965445</v>
      </c>
      <c r="DT19" s="59">
        <f ca="1">AVERAGE(OFFSET($DS$3,0,0,'Données projet'!$E$14+1,1))-AVERAGE(OFFSET($H$3,0,0,'Données projet'!$E$14+1,1))</f>
        <v>352.76625414822473</v>
      </c>
      <c r="DU19" s="59">
        <f t="shared" si="44"/>
        <v>186.48649111821521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6.153846154600001</v>
      </c>
      <c r="EJ19" s="12">
        <f>IF('Données projet'!$A$192&gt;35,EJ18+EI19-ER18,IF(A19&lt;'Données projet'!$A$192,$EG$205^A19,IF(A19='Données projet'!$A$192,'Données projet'!$B$192,EJ18+EI19-ER18)))</f>
        <v>29.871794871599999</v>
      </c>
      <c r="EK19" s="17">
        <f>EJ19*VLOOKUP('Données projet'!$B$15,Paramètres!$A$1:$I$89,3,0)*VLOOKUP('Données projet'!$B$15,Paramètres!$A$1:$I$89,5,0)</f>
        <v>23.299999999848001</v>
      </c>
      <c r="EL19" s="13">
        <f t="shared" si="45"/>
        <v>7.4429955045601801</v>
      </c>
      <c r="EM19" s="20">
        <f t="shared" si="19"/>
        <v>53.54405050351091</v>
      </c>
      <c r="EN19" s="59">
        <f t="shared" si="20"/>
        <v>346.87738383684422</v>
      </c>
      <c r="EO19" s="59">
        <f ca="1">AVERAGE(OFFSET($EN$3,0,0,'Données projet'!$E$15+1,1))-AVERAGE(OFFSET($H$3,0,0,'Données projet'!$E$15+1,1))</f>
        <v>130.66539383144681</v>
      </c>
      <c r="EP19" s="59">
        <f t="shared" si="46"/>
        <v>126.36398121441903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2.9235042736666665</v>
      </c>
      <c r="FE19" s="12">
        <f>IF('Données projet'!$A$218&gt;35,FE18+FD19-FM18,IF(A19&lt;'Données projet'!$A$218,$FB$205^A19,IF(A19='Données projet'!$A$218,'Données projet'!$B$218,FE18+FD19-FM18)))</f>
        <v>10.871262776036788</v>
      </c>
      <c r="FF19" s="17">
        <f>FE19*VLOOKUP('Données projet'!$B$16,Paramètres!$A$1:$I$89,3,0)*VLOOKUP('Données projet'!$B$16,Paramètres!$A$1:$I$89,5,0)</f>
        <v>10.514685356982783</v>
      </c>
      <c r="FG19" s="13">
        <f t="shared" si="47"/>
        <v>3.6847774177791344</v>
      </c>
      <c r="FH19" s="20">
        <f t="shared" si="22"/>
        <v>24.730730999377005</v>
      </c>
      <c r="FI19" s="59">
        <f t="shared" si="23"/>
        <v>318.0640643327103</v>
      </c>
      <c r="FJ19" s="59">
        <f ca="1">AVERAGE(OFFSET($FI$3,0,0,'Données projet'!$E$16+1,1))-AVERAGE(OFFSET($H$3,0,0,'Données projet'!$E$16+1,1))</f>
        <v>380.43199889536805</v>
      </c>
      <c r="FK19" s="59">
        <f t="shared" si="48"/>
        <v>154.72646317672996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6.2222222222222223</v>
      </c>
      <c r="N20" s="13">
        <f>IF('Données projet'!$A$36&gt;35,N19+M20-V19,IF(A20&lt;'Données projet'!$A$36,$K$205^A20,IF(A20='Données projet'!$A$36,'Données projet'!$B$36,N19+M20-V19)))</f>
        <v>86.1732707185582</v>
      </c>
      <c r="O20" s="13">
        <f>N20*VLOOKUP('Données projet'!$B$9,Paramètres!$A$1:$I$89,3,0)*VLOOKUP('Données projet'!$B$9,Paramètres!$A$1:$I$89,5,0)</f>
        <v>53.772120928380318</v>
      </c>
      <c r="P20" s="13">
        <f t="shared" si="33"/>
        <v>15.583764526657339</v>
      </c>
      <c r="Q20" s="20">
        <f t="shared" si="2"/>
        <v>120.79483383419057</v>
      </c>
      <c r="R20" s="59">
        <f t="shared" si="0"/>
        <v>414.12816716752388</v>
      </c>
      <c r="S20" s="59">
        <f ca="1">AVERAGE(OFFSET($R$3,0,0,'Données projet'!$E$9+1,1))-AVERAGE(OFFSET($H$3,0,0,'Données projet'!$E$9+1,1))</f>
        <v>179.44051550872138</v>
      </c>
      <c r="T20" s="59">
        <f t="shared" si="34"/>
        <v>272.9500808380069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1.9958974359999999</v>
      </c>
      <c r="AI20" s="13">
        <f>IF('Données projet'!$A$62&gt;35,AI19+AH20-AQ19,IF(A20&lt;'Données projet'!$A$62,$AF$205^A20,IF(A20='Données projet'!$A$62,'Données projet'!$B$62,AI19+AH20-AQ19)))</f>
        <v>10.165147914172811</v>
      </c>
      <c r="AJ20" s="13">
        <f>AI20*VLOOKUP('Données projet'!$B$10,Paramètres!$A$1:$I$89,3,0)*VLOOKUP('Données projet'!$B$10,Paramètres!$A$1:$I$89,5,0)</f>
        <v>4.8894361467171228</v>
      </c>
      <c r="AK20" s="13">
        <f t="shared" si="35"/>
        <v>1.8731869429479682</v>
      </c>
      <c r="AL20" s="20">
        <f t="shared" si="4"/>
        <v>11.778235214500031</v>
      </c>
      <c r="AM20" s="59">
        <f t="shared" si="5"/>
        <v>305.11156854783337</v>
      </c>
      <c r="AN20" s="59">
        <f ca="1">AVERAGE(OFFSET($AM$3,0,0,'Données projet'!$E$10+1,1))-AVERAGE(OFFSET($H$3,0,0,'Données projet'!$E$10+1,1))</f>
        <v>174.18188687702559</v>
      </c>
      <c r="AO20" s="59">
        <f t="shared" si="36"/>
        <v>32.17353897322738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172.88</v>
      </c>
      <c r="BB20" s="12">
        <f>VLOOKUP(A20,'Données projet'!$A$87:$I$107,9,0)</f>
        <v>10.169411764705883</v>
      </c>
      <c r="BC20" s="12">
        <f t="array" ref="BC20">INDEX(BB:BB,MIN(IF(ISNUMBER(BB20:BB216),ROW(BB20:BB216),"")))</f>
        <v>10.169411764705883</v>
      </c>
      <c r="BD20" s="12">
        <f>IF('Données projet'!$A$88&gt;35,BD19+BC20-BL19,IF(A20&lt;'Données projet'!$A$88,$BA$205^A20,IF(A20='Données projet'!$A$88,'Données projet'!$B$88,BD19+BC20-BL19)))</f>
        <v>172.88</v>
      </c>
      <c r="BE20" s="13">
        <f>BD20*VLOOKUP('Données projet'!$B$11,Paramètres!$A$1:$I$89,3,0)*VLOOKUP('Données projet'!$B$11,Paramètres!$A$1:$I$89,5,0)</f>
        <v>96.639919999999989</v>
      </c>
      <c r="BF20" s="13">
        <f t="shared" si="37"/>
        <v>26.159919476529339</v>
      </c>
      <c r="BG20" s="20">
        <f t="shared" si="7"/>
        <v>213.87638708828857</v>
      </c>
      <c r="BH20" s="59">
        <f t="shared" si="8"/>
        <v>507.20972042162191</v>
      </c>
      <c r="BI20" s="59">
        <f ca="1">AVERAGE(OFFSET($BH$3,0,0,'Données projet'!$E$11+1,1))-AVERAGE(OFFSET($H$3,0,0,'Données projet'!$E$11+1,1))</f>
        <v>350.01600895263641</v>
      </c>
      <c r="BJ20" s="59">
        <f t="shared" si="38"/>
        <v>464.08921044376882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401.95192133084896</v>
      </c>
      <c r="CD20" s="59">
        <f ca="1">AVERAGE(OFFSET($CC$3,0,0,'Données projet'!$E$12+1,1))-AVERAGE(OFFSET($H$3,0,0,'Données projet'!$E$12+1,1))</f>
        <v>279.49721661620544</v>
      </c>
      <c r="CE20" s="59">
        <f t="shared" si="40"/>
        <v>275.18739333988754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2.9235042736666665</v>
      </c>
      <c r="CT20" s="12">
        <f>IF('Données projet'!$A$140&gt;35,CT19+CS20-DB19,IF(A20&lt;'Données projet'!$A$140,$CQ$205^A20,IF(A20='Données projet'!$A$140,'Données projet'!$B$140,CT19+CS20-DB19)))</f>
        <v>12.619655315810814</v>
      </c>
      <c r="CU20" s="17">
        <f>CT20*VLOOKUP('Données projet'!$B$13,Paramètres!$A$1:$I$89,3,0)*VLOOKUP('Données projet'!$B$13,Paramètres!$A$1:$I$89,5,0)</f>
        <v>12.796330490232167</v>
      </c>
      <c r="CV20" s="13">
        <f t="shared" si="41"/>
        <v>4.3830130807780838</v>
      </c>
      <c r="CW20" s="20">
        <f t="shared" si="13"/>
        <v>29.920690052842847</v>
      </c>
      <c r="CX20" s="59">
        <f t="shared" si="14"/>
        <v>323.25402338617619</v>
      </c>
      <c r="CY20" s="59">
        <f ca="1">AVERAGE(OFFSET($CX$3,0,0,'Données projet'!$E$13+1,1))-AVERAGE(OFFSET($H$3,0,0,'Données projet'!$E$13+1,1))</f>
        <v>402.54350692668021</v>
      </c>
      <c r="CZ20" s="59">
        <f t="shared" si="42"/>
        <v>163.60655196884522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1.6</v>
      </c>
      <c r="DO20" s="12">
        <f>IF('Données projet'!$A$166&gt;35,DO19+DN20-DW19,IF(A20&lt;'Données projet'!$A$166,$DL$205^A20,IF(A20='Données projet'!$A$166,'Données projet'!$B$166,DO19+DN20-DW19)))</f>
        <v>19.027313840043519</v>
      </c>
      <c r="DP20" s="17">
        <f>DO20*VLOOKUP('Données projet'!$B$14,Paramètres!$A$1:$I$89,3,0)*VLOOKUP('Données projet'!$B$14,Paramètres!$A$1:$I$89,5,0)</f>
        <v>16.325435274757343</v>
      </c>
      <c r="DQ20" s="13">
        <f t="shared" si="43"/>
        <v>5.4354984361731269</v>
      </c>
      <c r="DR20" s="20">
        <f t="shared" si="16"/>
        <v>37.90029287987057</v>
      </c>
      <c r="DS20" s="59">
        <f t="shared" si="17"/>
        <v>331.23362621320388</v>
      </c>
      <c r="DT20" s="59">
        <f ca="1">AVERAGE(OFFSET($DS$3,0,0,'Données projet'!$E$14+1,1))-AVERAGE(OFFSET($H$3,0,0,'Données projet'!$E$14+1,1))</f>
        <v>352.76625414822473</v>
      </c>
      <c r="DU20" s="59">
        <f t="shared" si="44"/>
        <v>186.48649111821521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6.153846154600001</v>
      </c>
      <c r="EJ20" s="12">
        <f>IF('Données projet'!$A$192&gt;35,EJ19+EI20-ER19,IF(A20&lt;'Données projet'!$A$192,$EG$205^A20,IF(A20='Données projet'!$A$192,'Données projet'!$B$192,EJ19+EI20-ER19)))</f>
        <v>36.025641026199999</v>
      </c>
      <c r="EK20" s="17">
        <f>EJ20*VLOOKUP('Données projet'!$B$15,Paramètres!$A$1:$I$89,3,0)*VLOOKUP('Données projet'!$B$15,Paramètres!$A$1:$I$89,5,0)</f>
        <v>28.100000000436001</v>
      </c>
      <c r="EL20" s="13">
        <f t="shared" si="45"/>
        <v>8.782718621186774</v>
      </c>
      <c r="EM20" s="20">
        <f t="shared" si="19"/>
        <v>64.237401599326333</v>
      </c>
      <c r="EN20" s="59">
        <f t="shared" si="20"/>
        <v>357.57073493265966</v>
      </c>
      <c r="EO20" s="59">
        <f ca="1">AVERAGE(OFFSET($EN$3,0,0,'Données projet'!$E$15+1,1))-AVERAGE(OFFSET($H$3,0,0,'Données projet'!$E$15+1,1))</f>
        <v>130.66539383144681</v>
      </c>
      <c r="EP20" s="59">
        <f t="shared" si="46"/>
        <v>126.36398121441903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2.9235042736666665</v>
      </c>
      <c r="FE20" s="12">
        <f>IF('Données projet'!$A$218&gt;35,FE19+FD20-FM19,IF(A20&lt;'Données projet'!$A$218,$FB$205^A20,IF(A20='Données projet'!$A$218,'Données projet'!$B$218,FE19+FD20-FM19)))</f>
        <v>12.619655315810814</v>
      </c>
      <c r="FF20" s="17">
        <f>FE20*VLOOKUP('Données projet'!$B$16,Paramètres!$A$1:$I$89,3,0)*VLOOKUP('Données projet'!$B$16,Paramètres!$A$1:$I$89,5,0)</f>
        <v>12.205730621452219</v>
      </c>
      <c r="FG20" s="13">
        <f t="shared" si="47"/>
        <v>4.203778471005613</v>
      </c>
      <c r="FH20" s="20">
        <f t="shared" si="22"/>
        <v>28.579895002697388</v>
      </c>
      <c r="FI20" s="59">
        <f t="shared" si="23"/>
        <v>321.91322833603073</v>
      </c>
      <c r="FJ20" s="59">
        <f ca="1">AVERAGE(OFFSET($FI$3,0,0,'Données projet'!$E$16+1,1))-AVERAGE(OFFSET($H$3,0,0,'Données projet'!$E$16+1,1))</f>
        <v>380.43199889536805</v>
      </c>
      <c r="FK20" s="59">
        <f t="shared" si="48"/>
        <v>154.72646317672996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112</v>
      </c>
      <c r="L21" s="12">
        <f>VLOOKUP(A21,'Données projet'!$A$35:$I$55,9,0)</f>
        <v>6.2222222222222223</v>
      </c>
      <c r="M21" s="12">
        <f t="array" ref="M21">INDEX(L:L,MIN(IF(ISNUMBER(L21:L217),ROW(L21:L217),"")))</f>
        <v>6.2222222222222223</v>
      </c>
      <c r="N21" s="13">
        <f>IF('Données projet'!$A$36&gt;35,N20+M21-V20,IF(A21&lt;'Données projet'!$A$36,$K$205^A21,IF(A21='Données projet'!$A$36,'Données projet'!$B$36,N20+M21-V20)))</f>
        <v>112</v>
      </c>
      <c r="O21" s="13">
        <f>N21*VLOOKUP('Données projet'!$B$9,Paramètres!$A$1:$I$89,3,0)*VLOOKUP('Données projet'!$B$9,Paramètres!$A$1:$I$89,5,0)</f>
        <v>69.888000000000005</v>
      </c>
      <c r="P21" s="13">
        <f t="shared" si="33"/>
        <v>19.645641432461961</v>
      </c>
      <c r="Q21" s="20">
        <f t="shared" si="2"/>
        <v>155.93775882820458</v>
      </c>
      <c r="R21" s="59">
        <f t="shared" si="0"/>
        <v>449.27109216153792</v>
      </c>
      <c r="S21" s="59">
        <f ca="1">AVERAGE(OFFSET($R$3,0,0,'Données projet'!$E$9+1,1))-AVERAGE(OFFSET($H$3,0,0,'Données projet'!$E$9+1,1))</f>
        <v>179.44051550872138</v>
      </c>
      <c r="T21" s="59">
        <f t="shared" si="34"/>
        <v>272.9500808380069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20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14.130259073130295</v>
      </c>
      <c r="AC21" s="22">
        <f t="shared" si="3"/>
        <v>14.130259073130295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1.9958974359999999</v>
      </c>
      <c r="AI21" s="13">
        <f>IF('Données projet'!$A$62&gt;35,AI20+AH21-AQ20,IF(A21&lt;'Données projet'!$A$62,$AF$205^A21,IF(A21='Données projet'!$A$62,'Données projet'!$B$62,AI20+AH21-AQ20)))</f>
        <v>11.650798332712688</v>
      </c>
      <c r="AJ21" s="13">
        <f>AI21*VLOOKUP('Données projet'!$B$10,Paramètres!$A$1:$I$89,3,0)*VLOOKUP('Données projet'!$B$10,Paramètres!$A$1:$I$89,5,0)</f>
        <v>5.6040339980348026</v>
      </c>
      <c r="AK21" s="13">
        <f t="shared" si="35"/>
        <v>2.1131354587251683</v>
      </c>
      <c r="AL21" s="20">
        <f t="shared" si="4"/>
        <v>13.440736803856948</v>
      </c>
      <c r="AM21" s="59">
        <f t="shared" si="5"/>
        <v>306.77407013719028</v>
      </c>
      <c r="AN21" s="59">
        <f ca="1">AVERAGE(OFFSET($AM$3,0,0,'Données projet'!$E$10+1,1))-AVERAGE(OFFSET($H$3,0,0,'Données projet'!$E$10+1,1))</f>
        <v>174.18188687702559</v>
      </c>
      <c r="AO21" s="59">
        <f t="shared" si="36"/>
        <v>32.17353897322738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202.42</v>
      </c>
      <c r="BB21" s="12">
        <f>VLOOKUP(A21,'Données projet'!$A$87:$I$107,9,0)</f>
        <v>29.539999999999992</v>
      </c>
      <c r="BC21" s="12">
        <f t="array" ref="BC21">INDEX(BB:BB,MIN(IF(ISNUMBER(BB21:BB217),ROW(BB21:BB217),"")))</f>
        <v>29.539999999999992</v>
      </c>
      <c r="BD21" s="12">
        <f>IF('Données projet'!$A$88&gt;35,BD20+BC21-BL20,IF(A21&lt;'Données projet'!$A$88,$BA$205^A21,IF(A21='Données projet'!$A$88,'Données projet'!$B$88,BD20+BC21-BL20)))</f>
        <v>202.42</v>
      </c>
      <c r="BE21" s="13">
        <f>BD21*VLOOKUP('Données projet'!$B$11,Paramètres!$A$1:$I$89,3,0)*VLOOKUP('Données projet'!$B$11,Paramètres!$A$1:$I$89,5,0)</f>
        <v>113.15278000000001</v>
      </c>
      <c r="BF21" s="13">
        <f t="shared" si="37"/>
        <v>30.072578047950454</v>
      </c>
      <c r="BG21" s="20">
        <f t="shared" si="7"/>
        <v>249.45083193351374</v>
      </c>
      <c r="BH21" s="59">
        <f t="shared" si="8"/>
        <v>542.78416526684703</v>
      </c>
      <c r="BI21" s="59">
        <f ca="1">AVERAGE(OFFSET($BH$3,0,0,'Données projet'!$E$11+1,1))-AVERAGE(OFFSET($H$3,0,0,'Données projet'!$E$11+1,1))</f>
        <v>350.01600895263641</v>
      </c>
      <c r="BJ21" s="59">
        <f t="shared" si="38"/>
        <v>464.08921044376882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74.819999999999993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1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47.354913860019963</v>
      </c>
      <c r="BS21" s="22">
        <f t="shared" si="9"/>
        <v>47.354913860019963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425.97278402784264</v>
      </c>
      <c r="CD21" s="59">
        <f ca="1">AVERAGE(OFFSET($CC$3,0,0,'Données projet'!$E$12+1,1))-AVERAGE(OFFSET($H$3,0,0,'Données projet'!$E$12+1,1))</f>
        <v>279.49721661620544</v>
      </c>
      <c r="CE21" s="59">
        <f t="shared" si="40"/>
        <v>275.18739333988754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2.9235042736666665</v>
      </c>
      <c r="CT21" s="12">
        <f>IF('Données projet'!$A$140&gt;35,CT20+CS21-DB20,IF(A21&lt;'Données projet'!$A$140,$CQ$205^A21,IF(A21='Données projet'!$A$140,'Données projet'!$B$140,CT20+CS21-DB20)))</f>
        <v>14.649236576353841</v>
      </c>
      <c r="CU21" s="17">
        <f>CT21*VLOOKUP('Données projet'!$B$13,Paramètres!$A$1:$I$89,3,0)*VLOOKUP('Données projet'!$B$13,Paramètres!$A$1:$I$89,5,0)</f>
        <v>14.854325888422796</v>
      </c>
      <c r="CV21" s="13">
        <f t="shared" si="41"/>
        <v>5.0003606563068947</v>
      </c>
      <c r="CW21" s="20">
        <f t="shared" si="13"/>
        <v>34.580245732070885</v>
      </c>
      <c r="CX21" s="59">
        <f t="shared" si="14"/>
        <v>327.91357906540418</v>
      </c>
      <c r="CY21" s="59">
        <f ca="1">AVERAGE(OFFSET($CX$3,0,0,'Données projet'!$E$13+1,1))-AVERAGE(OFFSET($H$3,0,0,'Données projet'!$E$13+1,1))</f>
        <v>402.54350692668021</v>
      </c>
      <c r="CZ21" s="59">
        <f t="shared" si="42"/>
        <v>163.60655196884522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1.6</v>
      </c>
      <c r="DO21" s="12">
        <f>IF('Données projet'!$A$166&gt;35,DO20+DN21-DW20,IF(A21&lt;'Données projet'!$A$166,$DL$205^A21,IF(A21='Données projet'!$A$166,'Données projet'!$B$166,DO20+DN21-DW20)))</f>
        <v>22.627416997969497</v>
      </c>
      <c r="DP21" s="17">
        <f>DO21*VLOOKUP('Données projet'!$B$14,Paramètres!$A$1:$I$89,3,0)*VLOOKUP('Données projet'!$B$14,Paramètres!$A$1:$I$89,5,0)</f>
        <v>19.414323784257832</v>
      </c>
      <c r="DQ21" s="13">
        <f t="shared" si="43"/>
        <v>6.3348582456241713</v>
      </c>
      <c r="DR21" s="20">
        <f t="shared" si="16"/>
        <v>44.846492035377821</v>
      </c>
      <c r="DS21" s="59">
        <f t="shared" si="17"/>
        <v>338.17982536871114</v>
      </c>
      <c r="DT21" s="59">
        <f ca="1">AVERAGE(OFFSET($DS$3,0,0,'Données projet'!$E$14+1,1))-AVERAGE(OFFSET($H$3,0,0,'Données projet'!$E$14+1,1))</f>
        <v>352.76625414822473</v>
      </c>
      <c r="DU21" s="59">
        <f t="shared" si="44"/>
        <v>186.48649111821521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6.153846154600001</v>
      </c>
      <c r="EJ21" s="12">
        <f>IF('Données projet'!$A$192&gt;35,EJ20+EI21-ER20,IF(A21&lt;'Données projet'!$A$192,$EG$205^A21,IF(A21='Données projet'!$A$192,'Données projet'!$B$192,EJ20+EI21-ER20)))</f>
        <v>42.179487180800002</v>
      </c>
      <c r="EK21" s="17">
        <f>EJ21*VLOOKUP('Données projet'!$B$15,Paramètres!$A$1:$I$89,3,0)*VLOOKUP('Données projet'!$B$15,Paramètres!$A$1:$I$89,5,0)</f>
        <v>32.900000001024004</v>
      </c>
      <c r="EL21" s="13">
        <f t="shared" si="45"/>
        <v>10.095930687516807</v>
      </c>
      <c r="EM21" s="20">
        <f t="shared" si="19"/>
        <v>74.884579282541907</v>
      </c>
      <c r="EN21" s="59">
        <f t="shared" si="20"/>
        <v>368.21791261587521</v>
      </c>
      <c r="EO21" s="59">
        <f ca="1">AVERAGE(OFFSET($EN$3,0,0,'Données projet'!$E$15+1,1))-AVERAGE(OFFSET($H$3,0,0,'Données projet'!$E$15+1,1))</f>
        <v>130.66539383144681</v>
      </c>
      <c r="EP21" s="59">
        <f t="shared" si="46"/>
        <v>126.36398121441903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2.9235042736666665</v>
      </c>
      <c r="FE21" s="12">
        <f>IF('Données projet'!$A$218&gt;35,FE20+FD21-FM20,IF(A21&lt;'Données projet'!$A$218,$FB$205^A21,IF(A21='Données projet'!$A$218,'Données projet'!$B$218,FE20+FD21-FM20)))</f>
        <v>14.649236576353841</v>
      </c>
      <c r="FF21" s="17">
        <f>FE21*VLOOKUP('Données projet'!$B$16,Paramètres!$A$1:$I$89,3,0)*VLOOKUP('Données projet'!$B$16,Paramètres!$A$1:$I$89,5,0)</f>
        <v>14.168741616649434</v>
      </c>
      <c r="FG21" s="13">
        <f t="shared" si="47"/>
        <v>4.7958808442604148</v>
      </c>
      <c r="FH21" s="20">
        <f t="shared" si="22"/>
        <v>33.030050786084658</v>
      </c>
      <c r="FI21" s="59">
        <f t="shared" si="23"/>
        <v>326.36338411941796</v>
      </c>
      <c r="FJ21" s="59">
        <f ca="1">AVERAGE(OFFSET($FI$3,0,0,'Données projet'!$E$16+1,1))-AVERAGE(OFFSET($H$3,0,0,'Données projet'!$E$16+1,1))</f>
        <v>380.43199889536805</v>
      </c>
      <c r="FK21" s="59">
        <f t="shared" si="48"/>
        <v>154.72646317672996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</v>
      </c>
      <c r="N22" s="13">
        <f>IF('Données projet'!$A$36&gt;35,N21+M22-V21,IF(A22&lt;'Données projet'!$A$36,$K$205^A22,IF(A22='Données projet'!$A$36,'Données projet'!$B$36,N21+M22-V21)))</f>
        <v>110</v>
      </c>
      <c r="O22" s="13">
        <f>N22*VLOOKUP('Données projet'!$B$9,Paramètres!$A$1:$I$89,3,0)*VLOOKUP('Données projet'!$B$9,Paramètres!$A$1:$I$89,5,0)</f>
        <v>68.64</v>
      </c>
      <c r="P22" s="13">
        <f t="shared" si="33"/>
        <v>19.335336956640202</v>
      </c>
      <c r="Q22" s="20">
        <f t="shared" si="2"/>
        <v>153.22371186614836</v>
      </c>
      <c r="R22" s="59">
        <f t="shared" si="0"/>
        <v>446.55704519948165</v>
      </c>
      <c r="S22" s="59">
        <f ca="1">AVERAGE(OFFSET($R$3,0,0,'Données projet'!$E$9+1,1))-AVERAGE(OFFSET($H$3,0,0,'Données projet'!$E$9+1,1))</f>
        <v>179.44051550872138</v>
      </c>
      <c r="T22" s="59">
        <f t="shared" si="34"/>
        <v>272.9500808380069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9.9916020105331729</v>
      </c>
      <c r="AC22" s="22">
        <f t="shared" si="3"/>
        <v>9.9916020105331729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1.9958974359999999</v>
      </c>
      <c r="AI22" s="13">
        <f>IF('Données projet'!$A$62&gt;35,AI21+AH22-AQ21,IF(A22&lt;'Données projet'!$A$62,$AF$205^A22,IF(A22='Données projet'!$A$62,'Données projet'!$B$62,AI21+AH22-AQ21)))</f>
        <v>13.353578613478216</v>
      </c>
      <c r="AJ22" s="13">
        <f>AI22*VLOOKUP('Données projet'!$B$10,Paramètres!$A$1:$I$89,3,0)*VLOOKUP('Données projet'!$B$10,Paramètres!$A$1:$I$89,5,0)</f>
        <v>6.4230713130830228</v>
      </c>
      <c r="AK22" s="13">
        <f t="shared" si="35"/>
        <v>2.38382051707781</v>
      </c>
      <c r="AL22" s="20">
        <f t="shared" si="4"/>
        <v>15.338669937530115</v>
      </c>
      <c r="AM22" s="59">
        <f t="shared" si="5"/>
        <v>308.67200327086346</v>
      </c>
      <c r="AN22" s="59">
        <f ca="1">AVERAGE(OFFSET($AM$3,0,0,'Données projet'!$E$10+1,1))-AVERAGE(OFFSET($H$3,0,0,'Données projet'!$E$10+1,1))</f>
        <v>174.18188687702559</v>
      </c>
      <c r="AO22" s="59">
        <f t="shared" si="36"/>
        <v>32.17353897322738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26.926666666666673</v>
      </c>
      <c r="BD22" s="12">
        <f>IF('Données projet'!$A$88&gt;35,BD21+BC22-BL21,IF(A22&lt;'Données projet'!$A$88,$BA$205^A22,IF(A22='Données projet'!$A$88,'Données projet'!$B$88,BD21+BC22-BL21)))</f>
        <v>154.52666666666667</v>
      </c>
      <c r="BE22" s="13">
        <f>BD22*VLOOKUP('Données projet'!$B$11,Paramètres!$A$1:$I$89,3,0)*VLOOKUP('Données projet'!$B$11,Paramètres!$A$1:$I$89,5,0)</f>
        <v>86.380406666666673</v>
      </c>
      <c r="BF22" s="13">
        <f t="shared" si="37"/>
        <v>23.690191684477199</v>
      </c>
      <c r="BG22" s="20">
        <f t="shared" si="7"/>
        <v>191.70629212824224</v>
      </c>
      <c r="BH22" s="59">
        <f t="shared" si="8"/>
        <v>485.03962546157555</v>
      </c>
      <c r="BI22" s="59">
        <f ca="1">AVERAGE(OFFSET($BH$3,0,0,'Données projet'!$E$11+1,1))-AVERAGE(OFFSET($H$3,0,0,'Données projet'!$E$11+1,1))</f>
        <v>350.01600895263641</v>
      </c>
      <c r="BJ22" s="59">
        <f t="shared" si="38"/>
        <v>464.08921044376882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33.484980712924944</v>
      </c>
      <c r="BS22" s="22">
        <f t="shared" si="9"/>
        <v>33.484980712924944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449.8883803444744</v>
      </c>
      <c r="CD22" s="59">
        <f ca="1">AVERAGE(OFFSET($CC$3,0,0,'Données projet'!$E$12+1,1))-AVERAGE(OFFSET($H$3,0,0,'Données projet'!$E$12+1,1))</f>
        <v>279.49721661620544</v>
      </c>
      <c r="CE22" s="59">
        <f t="shared" si="40"/>
        <v>275.18739333988754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2.9235042736666665</v>
      </c>
      <c r="CT22" s="12">
        <f>IF('Données projet'!$A$140&gt;35,CT21+CS22-DB21,IF(A22&lt;'Données projet'!$A$140,$CQ$205^A22,IF(A22='Données projet'!$A$140,'Données projet'!$B$140,CT21+CS22-DB21)))</f>
        <v>17.005229295059802</v>
      </c>
      <c r="CU22" s="17">
        <f>CT22*VLOOKUP('Données projet'!$B$13,Paramètres!$A$1:$I$89,3,0)*VLOOKUP('Données projet'!$B$13,Paramètres!$A$1:$I$89,5,0)</f>
        <v>17.243302505190641</v>
      </c>
      <c r="CV22" s="13">
        <f t="shared" si="41"/>
        <v>5.704661663638757</v>
      </c>
      <c r="CW22" s="20">
        <f t="shared" si="13"/>
        <v>39.967704260711201</v>
      </c>
      <c r="CX22" s="59">
        <f t="shared" si="14"/>
        <v>333.30103759404449</v>
      </c>
      <c r="CY22" s="59">
        <f ca="1">AVERAGE(OFFSET($CX$3,0,0,'Données projet'!$E$13+1,1))-AVERAGE(OFFSET($H$3,0,0,'Données projet'!$E$13+1,1))</f>
        <v>402.54350692668021</v>
      </c>
      <c r="CZ22" s="59">
        <f t="shared" si="42"/>
        <v>163.60655196884522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1.6</v>
      </c>
      <c r="DO22" s="12">
        <f>IF('Données projet'!$A$166&gt;35,DO21+DN22-DW21,IF(A22&lt;'Données projet'!$A$166,$DL$205^A22,IF(A22='Données projet'!$A$166,'Données projet'!$B$166,DO21+DN22-DW21)))</f>
        <v>26.908685288118836</v>
      </c>
      <c r="DP22" s="17">
        <f>DO22*VLOOKUP('Données projet'!$B$14,Paramètres!$A$1:$I$89,3,0)*VLOOKUP('Données projet'!$B$14,Paramètres!$A$1:$I$89,5,0)</f>
        <v>23.087651977205965</v>
      </c>
      <c r="DQ22" s="13">
        <f t="shared" si="43"/>
        <v>7.3830264994807839</v>
      </c>
      <c r="DR22" s="20">
        <f t="shared" si="16"/>
        <v>53.069765013562751</v>
      </c>
      <c r="DS22" s="59">
        <f t="shared" si="17"/>
        <v>346.40309834689606</v>
      </c>
      <c r="DT22" s="59">
        <f ca="1">AVERAGE(OFFSET($DS$3,0,0,'Données projet'!$E$14+1,1))-AVERAGE(OFFSET($H$3,0,0,'Données projet'!$E$14+1,1))</f>
        <v>352.76625414822473</v>
      </c>
      <c r="DU22" s="59">
        <f t="shared" si="44"/>
        <v>186.48649111821521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6.153846154600001</v>
      </c>
      <c r="EJ22" s="12">
        <f>IF('Données projet'!$A$192&gt;35,EJ21+EI22-ER21,IF(A22&lt;'Données projet'!$A$192,$EG$205^A22,IF(A22='Données projet'!$A$192,'Données projet'!$B$192,EJ21+EI22-ER21)))</f>
        <v>48.333333335400006</v>
      </c>
      <c r="EK22" s="17">
        <f>EJ22*VLOOKUP('Données projet'!$B$15,Paramètres!$A$1:$I$89,3,0)*VLOOKUP('Données projet'!$B$15,Paramètres!$A$1:$I$89,5,0)</f>
        <v>37.700000001612004</v>
      </c>
      <c r="EL22" s="13">
        <f t="shared" si="45"/>
        <v>11.386946545776516</v>
      </c>
      <c r="EM22" s="20">
        <f t="shared" si="19"/>
        <v>85.493098570035002</v>
      </c>
      <c r="EN22" s="59">
        <f t="shared" si="20"/>
        <v>378.8264319033683</v>
      </c>
      <c r="EO22" s="59">
        <f ca="1">AVERAGE(OFFSET($EN$3,0,0,'Données projet'!$E$15+1,1))-AVERAGE(OFFSET($H$3,0,0,'Données projet'!$E$15+1,1))</f>
        <v>130.66539383144681</v>
      </c>
      <c r="EP22" s="59">
        <f t="shared" si="46"/>
        <v>126.36398121441903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2.9235042736666665</v>
      </c>
      <c r="FE22" s="12">
        <f>IF('Données projet'!$A$218&gt;35,FE21+FD22-FM21,IF(A22&lt;'Données projet'!$A$218,$FB$205^A22,IF(A22='Données projet'!$A$218,'Données projet'!$B$218,FE21+FD22-FM21)))</f>
        <v>17.005229295059802</v>
      </c>
      <c r="FF22" s="17">
        <f>FE22*VLOOKUP('Données projet'!$B$16,Paramètres!$A$1:$I$89,3,0)*VLOOKUP('Données projet'!$B$16,Paramètres!$A$1:$I$89,5,0)</f>
        <v>16.447457774181839</v>
      </c>
      <c r="FG22" s="13">
        <f t="shared" si="47"/>
        <v>5.4713808615233477</v>
      </c>
      <c r="FH22" s="20">
        <f t="shared" si="22"/>
        <v>38.1753106238532</v>
      </c>
      <c r="FI22" s="59">
        <f t="shared" si="23"/>
        <v>331.50864395718651</v>
      </c>
      <c r="FJ22" s="59">
        <f ca="1">AVERAGE(OFFSET($FI$3,0,0,'Données projet'!$E$16+1,1))-AVERAGE(OFFSET($H$3,0,0,'Données projet'!$E$16+1,1))</f>
        <v>380.43199889536805</v>
      </c>
      <c r="FK22" s="59">
        <f t="shared" si="48"/>
        <v>154.72646317672996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18</v>
      </c>
      <c r="N23" s="13">
        <f>IF('Données projet'!$A$36&gt;35,N22+M23-V22,IF(A23&lt;'Données projet'!$A$36,$K$205^A23,IF(A23='Données projet'!$A$36,'Données projet'!$B$36,N22+M23-V22)))</f>
        <v>128</v>
      </c>
      <c r="O23" s="13">
        <f>N23*VLOOKUP('Données projet'!$B$9,Paramètres!$A$1:$I$89,3,0)*VLOOKUP('Données projet'!$B$9,Paramètres!$A$1:$I$89,5,0)</f>
        <v>79.872</v>
      </c>
      <c r="P23" s="13">
        <f t="shared" si="33"/>
        <v>22.105884547145418</v>
      </c>
      <c r="Q23" s="20">
        <f t="shared" si="2"/>
        <v>177.61148225294494</v>
      </c>
      <c r="R23" s="59">
        <f t="shared" si="0"/>
        <v>470.94481558627825</v>
      </c>
      <c r="S23" s="59">
        <f ca="1">AVERAGE(OFFSET($R$3,0,0,'Données projet'!$E$9+1,1))-AVERAGE(OFFSET($H$3,0,0,'Données projet'!$E$9+1,1))</f>
        <v>179.44051550872138</v>
      </c>
      <c r="T23" s="59">
        <f t="shared" si="34"/>
        <v>272.9500808380069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7.0651295365651494</v>
      </c>
      <c r="AC23" s="22">
        <f t="shared" si="3"/>
        <v>7.0651295365651494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1.9958974359999999</v>
      </c>
      <c r="AI23" s="13">
        <f>IF('Données projet'!$A$62&gt;35,AI22+AH23-AQ22,IF(A23&lt;'Données projet'!$A$62,$AF$205^A23,IF(A23='Données projet'!$A$62,'Données projet'!$B$62,AI22+AH23-AQ22)))</f>
        <v>15.305222585963728</v>
      </c>
      <c r="AJ23" s="13">
        <f>AI23*VLOOKUP('Données projet'!$B$10,Paramètres!$A$1:$I$89,3,0)*VLOOKUP('Données projet'!$B$10,Paramètres!$A$1:$I$89,5,0)</f>
        <v>7.3618120638485536</v>
      </c>
      <c r="AK23" s="13">
        <f t="shared" si="35"/>
        <v>2.6891793586528365</v>
      </c>
      <c r="AL23" s="20">
        <f t="shared" si="4"/>
        <v>17.505476727523256</v>
      </c>
      <c r="AM23" s="59">
        <f t="shared" si="5"/>
        <v>310.83881006085659</v>
      </c>
      <c r="AN23" s="59">
        <f ca="1">AVERAGE(OFFSET($AM$3,0,0,'Données projet'!$E$10+1,1))-AVERAGE(OFFSET($H$3,0,0,'Données projet'!$E$10+1,1))</f>
        <v>174.18188687702559</v>
      </c>
      <c r="AO23" s="59">
        <f t="shared" si="36"/>
        <v>32.17353897322738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26.926666666666673</v>
      </c>
      <c r="BD23" s="12">
        <f>IF('Données projet'!$A$88&gt;35,BD22+BC23-BL22,IF(A23&lt;'Données projet'!$A$88,$BA$205^A23,IF(A23='Données projet'!$A$88,'Données projet'!$B$88,BD22+BC23-BL22)))</f>
        <v>181.45333333333335</v>
      </c>
      <c r="BE23" s="13">
        <f>BD23*VLOOKUP('Données projet'!$B$11,Paramètres!$A$1:$I$89,3,0)*VLOOKUP('Données projet'!$B$11,Paramètres!$A$1:$I$89,5,0)</f>
        <v>101.43241333333334</v>
      </c>
      <c r="BF23" s="13">
        <f t="shared" si="37"/>
        <v>27.302967287299122</v>
      </c>
      <c r="BG23" s="20">
        <f t="shared" si="7"/>
        <v>224.21412124760153</v>
      </c>
      <c r="BH23" s="59">
        <f t="shared" si="8"/>
        <v>517.54745458093487</v>
      </c>
      <c r="BI23" s="59">
        <f ca="1">AVERAGE(OFFSET($BH$3,0,0,'Données projet'!$E$11+1,1))-AVERAGE(OFFSET($H$3,0,0,'Données projet'!$E$11+1,1))</f>
        <v>350.01600895263641</v>
      </c>
      <c r="BJ23" s="59">
        <f t="shared" si="38"/>
        <v>464.08921044376882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23.677456930009985</v>
      </c>
      <c r="BS23" s="22">
        <f t="shared" si="9"/>
        <v>23.677456930009985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473.71709518907073</v>
      </c>
      <c r="CD23" s="59">
        <f ca="1">AVERAGE(OFFSET($CC$3,0,0,'Données projet'!$E$12+1,1))-AVERAGE(OFFSET($H$3,0,0,'Données projet'!$E$12+1,1))</f>
        <v>279.49721661620544</v>
      </c>
      <c r="CE23" s="59">
        <f t="shared" si="40"/>
        <v>275.18739333988754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2.9235042736666665</v>
      </c>
      <c r="CT23" s="12">
        <f>IF('Données projet'!$A$140&gt;35,CT22+CS23-DB22,IF(A23&lt;'Données projet'!$A$140,$CQ$205^A23,IF(A23='Données projet'!$A$140,'Données projet'!$B$140,CT22+CS23-DB22)))</f>
        <v>19.740129246348467</v>
      </c>
      <c r="CU23" s="17">
        <f>CT23*VLOOKUP('Données projet'!$B$13,Paramètres!$A$1:$I$89,3,0)*VLOOKUP('Données projet'!$B$13,Paramètres!$A$1:$I$89,5,0)</f>
        <v>20.016491055797346</v>
      </c>
      <c r="CV23" s="13">
        <f t="shared" si="41"/>
        <v>6.5081634972756239</v>
      </c>
      <c r="CW23" s="20">
        <f t="shared" si="13"/>
        <v>46.197106679935416</v>
      </c>
      <c r="CX23" s="59">
        <f t="shared" si="14"/>
        <v>339.53044001326873</v>
      </c>
      <c r="CY23" s="59">
        <f ca="1">AVERAGE(OFFSET($CX$3,0,0,'Données projet'!$E$13+1,1))-AVERAGE(OFFSET($H$3,0,0,'Données projet'!$E$13+1,1))</f>
        <v>402.54350692668021</v>
      </c>
      <c r="CZ23" s="59">
        <f t="shared" si="42"/>
        <v>163.60655196884522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32</v>
      </c>
      <c r="DM23" s="12">
        <f>VLOOKUP(A23,'Données projet'!$A$165:$I$185,9,0)</f>
        <v>1.6</v>
      </c>
      <c r="DN23" s="12">
        <f t="array" ref="DN23">INDEX(DM:DM,MIN(IF(ISNUMBER(DM23:DM219),ROW(DM23:DM219),"")))</f>
        <v>1.6</v>
      </c>
      <c r="DO23" s="12">
        <f>IF('Données projet'!$A$166&gt;35,DO22+DN23-DW22,IF(A23&lt;'Données projet'!$A$166,$DL$205^A23,IF(A23='Données projet'!$A$166,'Données projet'!$B$166,DO22+DN23-DW22)))</f>
        <v>32</v>
      </c>
      <c r="DP23" s="17">
        <f>DO23*VLOOKUP('Données projet'!$B$14,Paramètres!$A$1:$I$89,3,0)*VLOOKUP('Données projet'!$B$14,Paramètres!$A$1:$I$89,5,0)</f>
        <v>27.456000000000003</v>
      </c>
      <c r="DQ23" s="13">
        <f t="shared" si="43"/>
        <v>8.604625104229898</v>
      </c>
      <c r="DR23" s="20">
        <f t="shared" si="16"/>
        <v>62.805588723200408</v>
      </c>
      <c r="DS23" s="59">
        <f t="shared" si="17"/>
        <v>356.13892205653372</v>
      </c>
      <c r="DT23" s="59">
        <f ca="1">AVERAGE(OFFSET($DS$3,0,0,'Données projet'!$E$14+1,1))-AVERAGE(OFFSET($H$3,0,0,'Données projet'!$E$14+1,1))</f>
        <v>352.76625414822473</v>
      </c>
      <c r="DU23" s="59">
        <f t="shared" si="44"/>
        <v>186.48649111821521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54.487179490000003</v>
      </c>
      <c r="EH23" s="12">
        <f>VLOOKUP(A23,'Données projet'!$A$191:$I$211,9,0)</f>
        <v>6.153846154600001</v>
      </c>
      <c r="EI23" s="12">
        <f t="array" ref="EI23">INDEX(EH:EH,MIN(IF(ISNUMBER(EH23:EH219),ROW(EH23:EH219),"")))</f>
        <v>6.153846154600001</v>
      </c>
      <c r="EJ23" s="12">
        <f>IF('Données projet'!$A$192&gt;35,EJ22+EI23-ER22,IF(A23&lt;'Données projet'!$A$192,$EG$205^A23,IF(A23='Données projet'!$A$192,'Données projet'!$B$192,EJ22+EI23-ER22)))</f>
        <v>54.48717949000001</v>
      </c>
      <c r="EK23" s="17">
        <f>EJ23*VLOOKUP('Données projet'!$B$15,Paramètres!$A$1:$I$89,3,0)*VLOOKUP('Données projet'!$B$15,Paramètres!$A$1:$I$89,5,0)</f>
        <v>42.500000002200011</v>
      </c>
      <c r="EL23" s="13">
        <f t="shared" si="45"/>
        <v>12.658916158241116</v>
      </c>
      <c r="EM23" s="20">
        <f t="shared" si="19"/>
        <v>96.068445646101623</v>
      </c>
      <c r="EN23" s="59">
        <f t="shared" si="20"/>
        <v>389.40177897943494</v>
      </c>
      <c r="EO23" s="59">
        <f ca="1">AVERAGE(OFFSET($EN$3,0,0,'Données projet'!$E$15+1,1))-AVERAGE(OFFSET($H$3,0,0,'Données projet'!$E$15+1,1))</f>
        <v>130.66539383144681</v>
      </c>
      <c r="EP23" s="59">
        <f t="shared" si="46"/>
        <v>126.36398121441903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16.025641029999999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2.9235042736666665</v>
      </c>
      <c r="FE23" s="12">
        <f>IF('Données projet'!$A$218&gt;35,FE22+FD23-FM22,IF(A23&lt;'Données projet'!$A$218,$FB$205^A23,IF(A23='Données projet'!$A$218,'Données projet'!$B$218,FE22+FD23-FM22)))</f>
        <v>19.740129246348467</v>
      </c>
      <c r="FF23" s="17">
        <f>FE23*VLOOKUP('Données projet'!$B$16,Paramètres!$A$1:$I$89,3,0)*VLOOKUP('Données projet'!$B$16,Paramètres!$A$1:$I$89,5,0)</f>
        <v>19.09265300706824</v>
      </c>
      <c r="FG23" s="13">
        <f t="shared" si="47"/>
        <v>6.2420250844369107</v>
      </c>
      <c r="FH23" s="20">
        <f t="shared" si="22"/>
        <v>44.124564342704808</v>
      </c>
      <c r="FI23" s="59">
        <f t="shared" si="23"/>
        <v>337.4578976760381</v>
      </c>
      <c r="FJ23" s="59">
        <f ca="1">AVERAGE(OFFSET($FI$3,0,0,'Données projet'!$E$16+1,1))-AVERAGE(OFFSET($H$3,0,0,'Données projet'!$E$16+1,1))</f>
        <v>380.43199889536805</v>
      </c>
      <c r="FK23" s="59">
        <f t="shared" si="48"/>
        <v>154.72646317672996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146</v>
      </c>
      <c r="L24" s="12">
        <f>VLOOKUP(A24,'Données projet'!$A$35:$I$55,9,0)</f>
        <v>18</v>
      </c>
      <c r="M24" s="12">
        <f t="array" ref="M24">INDEX(L:L,MIN(IF(ISNUMBER(L24:L220),ROW(L24:L220),"")))</f>
        <v>18</v>
      </c>
      <c r="N24" s="13">
        <f>IF('Données projet'!$A$36&gt;35,N23+M24-V23,IF(A24&lt;'Données projet'!$A$36,$K$205^A24,IF(A24='Données projet'!$A$36,'Données projet'!$B$36,N23+M24-V23)))</f>
        <v>146</v>
      </c>
      <c r="O24" s="13">
        <f>N24*VLOOKUP('Données projet'!$B$9,Paramètres!$A$1:$I$89,3,0)*VLOOKUP('Données projet'!$B$9,Paramètres!$A$1:$I$89,5,0)</f>
        <v>91.103999999999999</v>
      </c>
      <c r="P24" s="13">
        <f t="shared" si="33"/>
        <v>24.831293984707884</v>
      </c>
      <c r="Q24" s="20">
        <f t="shared" si="2"/>
        <v>201.92063702336623</v>
      </c>
      <c r="R24" s="59">
        <f t="shared" si="0"/>
        <v>495.25397035669954</v>
      </c>
      <c r="S24" s="59">
        <f ca="1">AVERAGE(OFFSET($R$3,0,0,'Données projet'!$E$9+1,1))-AVERAGE(OFFSET($H$3,0,0,'Données projet'!$E$9+1,1))</f>
        <v>179.44051550872138</v>
      </c>
      <c r="T24" s="59">
        <f t="shared" si="34"/>
        <v>272.9500808380069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26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0.6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12.862464417003251</v>
      </c>
      <c r="AB24" s="21">
        <f>EXP(-LN(2)/2)*AB23+(1-EXP(-LN(2)/2))/(LN(2)/2)*V24*Y24*VLOOKUP('Données projet'!$B$9,Paramètres!$A$1:$I$89,3,0)*0.475*44/12</f>
        <v>4.9958010052665873</v>
      </c>
      <c r="AC24" s="22">
        <f t="shared" si="3"/>
        <v>17.858265422269838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1.9958974359999999</v>
      </c>
      <c r="AI24" s="13">
        <f>IF('Données projet'!$A$62&gt;35,AI23+AH24-AQ23,IF(A24&lt;'Données projet'!$A$62,$AF$205^A24,IF(A24='Données projet'!$A$62,'Données projet'!$B$62,AI23+AH24-AQ23)))</f>
        <v>17.54210202270858</v>
      </c>
      <c r="AJ24" s="13">
        <f>AI24*VLOOKUP('Données projet'!$B$10,Paramètres!$A$1:$I$89,3,0)*VLOOKUP('Données projet'!$B$10,Paramètres!$A$1:$I$89,5,0)</f>
        <v>8.4377510729228273</v>
      </c>
      <c r="AK24" s="13">
        <f t="shared" si="35"/>
        <v>3.0336535704749252</v>
      </c>
      <c r="AL24" s="20">
        <f t="shared" si="4"/>
        <v>19.979363087251084</v>
      </c>
      <c r="AM24" s="59">
        <f t="shared" si="5"/>
        <v>313.31269642058442</v>
      </c>
      <c r="AN24" s="59">
        <f ca="1">AVERAGE(OFFSET($AM$3,0,0,'Données projet'!$E$10+1,1))-AVERAGE(OFFSET($H$3,0,0,'Données projet'!$E$10+1,1))</f>
        <v>174.18188687702559</v>
      </c>
      <c r="AO24" s="59">
        <f t="shared" si="36"/>
        <v>32.17353897322738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26.926666666666673</v>
      </c>
      <c r="BD24" s="12">
        <f>IF('Données projet'!$A$88&gt;35,BD23+BC24-BL23,IF(A24&lt;'Données projet'!$A$88,$BA$205^A24,IF(A24='Données projet'!$A$88,'Données projet'!$B$88,BD23+BC24-BL23)))</f>
        <v>208.38000000000002</v>
      </c>
      <c r="BE24" s="13">
        <f>BD24*VLOOKUP('Données projet'!$B$11,Paramètres!$A$1:$I$89,3,0)*VLOOKUP('Données projet'!$B$11,Paramètres!$A$1:$I$89,5,0)</f>
        <v>116.48442000000001</v>
      </c>
      <c r="BF24" s="13">
        <f t="shared" si="37"/>
        <v>30.853634445731519</v>
      </c>
      <c r="BG24" s="20">
        <f t="shared" si="7"/>
        <v>256.61377815964903</v>
      </c>
      <c r="BH24" s="59">
        <f t="shared" si="8"/>
        <v>549.94711149298234</v>
      </c>
      <c r="BI24" s="59">
        <f ca="1">AVERAGE(OFFSET($BH$3,0,0,'Données projet'!$E$11+1,1))-AVERAGE(OFFSET($H$3,0,0,'Données projet'!$E$11+1,1))</f>
        <v>350.01600895263641</v>
      </c>
      <c r="BJ24" s="59">
        <f t="shared" si="38"/>
        <v>464.08921044376882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16.742490356462476</v>
      </c>
      <c r="BS24" s="22">
        <f t="shared" si="9"/>
        <v>16.742490356462476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438.80885345866193</v>
      </c>
      <c r="CD24" s="59">
        <f ca="1">AVERAGE(OFFSET($CC$3,0,0,'Données projet'!$E$12+1,1))-AVERAGE(OFFSET($H$3,0,0,'Données projet'!$E$12+1,1))</f>
        <v>279.49721661620544</v>
      </c>
      <c r="CE24" s="59">
        <f t="shared" si="40"/>
        <v>275.18739333988754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2.9235042736666665</v>
      </c>
      <c r="CT24" s="12">
        <f>IF('Données projet'!$A$140&gt;35,CT23+CS24-DB23,IF(A24&lt;'Données projet'!$A$140,$CQ$205^A24,IF(A24='Données projet'!$A$140,'Données projet'!$B$140,CT23+CS24-DB23)))</f>
        <v>22.914874942365291</v>
      </c>
      <c r="CU24" s="17">
        <f>CT24*VLOOKUP('Données projet'!$B$13,Paramètres!$A$1:$I$89,3,0)*VLOOKUP('Données projet'!$B$13,Paramètres!$A$1:$I$89,5,0)</f>
        <v>23.235683191558408</v>
      </c>
      <c r="CV24" s="13">
        <f t="shared" si="41"/>
        <v>7.4248385977466871</v>
      </c>
      <c r="CW24" s="20">
        <f t="shared" si="13"/>
        <v>53.400408783039701</v>
      </c>
      <c r="CX24" s="59">
        <f t="shared" si="14"/>
        <v>346.73374211637304</v>
      </c>
      <c r="CY24" s="59">
        <f ca="1">AVERAGE(OFFSET($CX$3,0,0,'Données projet'!$E$13+1,1))-AVERAGE(OFFSET($H$3,0,0,'Données projet'!$E$13+1,1))</f>
        <v>402.54350692668021</v>
      </c>
      <c r="CZ24" s="59">
        <f t="shared" si="42"/>
        <v>163.60655196884522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8.8000000000000007</v>
      </c>
      <c r="DO24" s="12">
        <f>IF('Données projet'!$A$166&gt;35,DO23+DN24-DW23,IF(A24&lt;'Données projet'!$A$166,$DL$205^A24,IF(A24='Données projet'!$A$166,'Données projet'!$B$166,DO23+DN24-DW23)))</f>
        <v>40.799999999999997</v>
      </c>
      <c r="DP24" s="17">
        <f>DO24*VLOOKUP('Données projet'!$B$14,Paramètres!$A$1:$I$89,3,0)*VLOOKUP('Données projet'!$B$14,Paramètres!$A$1:$I$89,5,0)</f>
        <v>35.006400000000006</v>
      </c>
      <c r="DQ24" s="13">
        <f t="shared" si="43"/>
        <v>10.664997365847841</v>
      </c>
      <c r="DR24" s="20">
        <f t="shared" si="16"/>
        <v>79.544350412184983</v>
      </c>
      <c r="DS24" s="59">
        <f t="shared" si="17"/>
        <v>372.87768374551831</v>
      </c>
      <c r="DT24" s="59">
        <f ca="1">AVERAGE(OFFSET($DS$3,0,0,'Données projet'!$E$14+1,1))-AVERAGE(OFFSET($H$3,0,0,'Données projet'!$E$14+1,1))</f>
        <v>352.76625414822473</v>
      </c>
      <c r="DU24" s="59">
        <f t="shared" si="44"/>
        <v>186.48649111821521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6.7948717960000007</v>
      </c>
      <c r="EJ24" s="12">
        <f>IF('Données projet'!$A$192&gt;35,EJ23+EI24-ER23,IF(A24&lt;'Données projet'!$A$192,$EG$205^A24,IF(A24='Données projet'!$A$192,'Données projet'!$B$192,EJ23+EI24-ER23)))</f>
        <v>45.256410256000009</v>
      </c>
      <c r="EK24" s="17">
        <f>EJ24*VLOOKUP('Données projet'!$B$15,Paramètres!$A$1:$I$89,3,0)*VLOOKUP('Données projet'!$B$15,Paramètres!$A$1:$I$89,5,0)</f>
        <v>35.299999999680011</v>
      </c>
      <c r="EL24" s="13">
        <f t="shared" si="45"/>
        <v>10.743994925693546</v>
      </c>
      <c r="EM24" s="20">
        <f t="shared" si="19"/>
        <v>80.193291161692272</v>
      </c>
      <c r="EN24" s="59">
        <f t="shared" si="20"/>
        <v>373.5266244950256</v>
      </c>
      <c r="EO24" s="59">
        <f ca="1">AVERAGE(OFFSET($EN$3,0,0,'Données projet'!$E$15+1,1))-AVERAGE(OFFSET($H$3,0,0,'Données projet'!$E$15+1,1))</f>
        <v>130.66539383144681</v>
      </c>
      <c r="EP24" s="59">
        <f t="shared" si="46"/>
        <v>126.36398121441903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2.9235042736666665</v>
      </c>
      <c r="FE24" s="12">
        <f>IF('Données projet'!$A$218&gt;35,FE23+FD24-FM23,IF(A24&lt;'Données projet'!$A$218,$FB$205^A24,IF(A24='Données projet'!$A$218,'Données projet'!$B$218,FE23+FD24-FM23)))</f>
        <v>22.914874942365291</v>
      </c>
      <c r="FF24" s="17">
        <f>FE24*VLOOKUP('Données projet'!$B$16,Paramètres!$A$1:$I$89,3,0)*VLOOKUP('Données projet'!$B$16,Paramètres!$A$1:$I$89,5,0)</f>
        <v>22.163267044255711</v>
      </c>
      <c r="FG24" s="13">
        <f t="shared" si="47"/>
        <v>7.1212145783416521</v>
      </c>
      <c r="FH24" s="20">
        <f t="shared" si="22"/>
        <v>51.003805492690397</v>
      </c>
      <c r="FI24" s="59">
        <f t="shared" si="23"/>
        <v>344.3371388260237</v>
      </c>
      <c r="FJ24" s="59">
        <f ca="1">AVERAGE(OFFSET($FI$3,0,0,'Données projet'!$E$16+1,1))-AVERAGE(OFFSET($H$3,0,0,'Données projet'!$E$16+1,1))</f>
        <v>380.43199889536805</v>
      </c>
      <c r="FK24" s="59">
        <f t="shared" si="48"/>
        <v>154.72646317672996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</v>
      </c>
      <c r="N25" s="13">
        <f>IF('Données projet'!$A$36&gt;35,N24+M25-V24,IF(A25&lt;'Données projet'!$A$36,$K$205^A25,IF(A25='Données projet'!$A$36,'Données projet'!$B$36,N24+M25-V24)))</f>
        <v>136</v>
      </c>
      <c r="O25" s="13">
        <f>N25*VLOOKUP('Données projet'!$B$9,Paramètres!$A$1:$I$89,3,0)*VLOOKUP('Données projet'!$B$9,Paramètres!$A$1:$I$89,5,0)</f>
        <v>84.864000000000004</v>
      </c>
      <c r="P25" s="13">
        <f t="shared" si="33"/>
        <v>23.322341364766192</v>
      </c>
      <c r="Q25" s="20">
        <f t="shared" si="2"/>
        <v>188.42454454363443</v>
      </c>
      <c r="R25" s="59">
        <f t="shared" si="0"/>
        <v>481.75787787696777</v>
      </c>
      <c r="S25" s="59">
        <f ca="1">AVERAGE(OFFSET($R$3,0,0,'Données projet'!$E$9+1,1))-AVERAGE(OFFSET($H$3,0,0,'Données projet'!$E$9+1,1))</f>
        <v>179.44051550872138</v>
      </c>
      <c r="T25" s="59">
        <f t="shared" si="34"/>
        <v>272.9500808380069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12.51073965111269</v>
      </c>
      <c r="AB25" s="21">
        <f>EXP(-LN(2)/2)*AB24+(1-EXP(-LN(2)/2))/(LN(2)/2)*V25*Y25*VLOOKUP('Données projet'!$B$9,Paramètres!$A$1:$I$89,3,0)*0.475*44/12</f>
        <v>3.5325647682825752</v>
      </c>
      <c r="AC25" s="22">
        <f t="shared" si="3"/>
        <v>16.043304419395266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1.9958974359999999</v>
      </c>
      <c r="AI25" s="13">
        <f>IF('Données projet'!$A$62&gt;35,AI24+AH25-AQ24,IF(A25&lt;'Données projet'!$A$62,$AF$205^A25,IF(A25='Données projet'!$A$62,'Données projet'!$B$62,AI24+AH25-AQ24)))</f>
        <v>20.105904481084018</v>
      </c>
      <c r="AJ25" s="13">
        <f>AI25*VLOOKUP('Données projet'!$B$10,Paramètres!$A$1:$I$89,3,0)*VLOOKUP('Données projet'!$B$10,Paramètres!$A$1:$I$89,5,0)</f>
        <v>9.6709400554014131</v>
      </c>
      <c r="AK25" s="13">
        <f t="shared" si="35"/>
        <v>3.4222536909050203</v>
      </c>
      <c r="AL25" s="20">
        <f t="shared" si="4"/>
        <v>22.803979108150372</v>
      </c>
      <c r="AM25" s="59">
        <f t="shared" si="5"/>
        <v>316.13731244148369</v>
      </c>
      <c r="AN25" s="59">
        <f ca="1">AVERAGE(OFFSET($AM$3,0,0,'Données projet'!$E$10+1,1))-AVERAGE(OFFSET($H$3,0,0,'Données projet'!$E$10+1,1))</f>
        <v>174.18188687702559</v>
      </c>
      <c r="AO25" s="59">
        <f t="shared" si="36"/>
        <v>32.17353897322738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26.926666666666673</v>
      </c>
      <c r="BD25" s="12">
        <f>IF('Données projet'!$A$88&gt;35,BD24+BC25-BL24,IF(A25&lt;'Données projet'!$A$88,$BA$205^A25,IF(A25='Données projet'!$A$88,'Données projet'!$B$88,BD24+BC25-BL24)))</f>
        <v>235.3066666666667</v>
      </c>
      <c r="BE25" s="13">
        <f>BD25*VLOOKUP('Données projet'!$B$11,Paramètres!$A$1:$I$89,3,0)*VLOOKUP('Données projet'!$B$11,Paramètres!$A$1:$I$89,5,0)</f>
        <v>131.5364266666667</v>
      </c>
      <c r="BF25" s="13">
        <f t="shared" si="37"/>
        <v>34.351139290423262</v>
      </c>
      <c r="BG25" s="20">
        <f t="shared" si="7"/>
        <v>288.92084404193173</v>
      </c>
      <c r="BH25" s="59">
        <f t="shared" si="8"/>
        <v>582.25417737526504</v>
      </c>
      <c r="BI25" s="59">
        <f ca="1">AVERAGE(OFFSET($BH$3,0,0,'Données projet'!$E$11+1,1))-AVERAGE(OFFSET($H$3,0,0,'Données projet'!$E$11+1,1))</f>
        <v>350.01600895263641</v>
      </c>
      <c r="BJ25" s="59">
        <f t="shared" si="38"/>
        <v>464.08921044376882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11.838728465004994</v>
      </c>
      <c r="BS25" s="22">
        <f t="shared" si="9"/>
        <v>11.838728465004994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464.40223643936827</v>
      </c>
      <c r="CD25" s="59">
        <f ca="1">AVERAGE(OFFSET($CC$3,0,0,'Données projet'!$E$12+1,1))-AVERAGE(OFFSET($H$3,0,0,'Données projet'!$E$12+1,1))</f>
        <v>279.49721661620544</v>
      </c>
      <c r="CE25" s="59">
        <f t="shared" si="40"/>
        <v>275.18739333988754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2.9235042736666665</v>
      </c>
      <c r="CT25" s="12">
        <f>IF('Données projet'!$A$140&gt;35,CT24+CS25-DB24,IF(A25&lt;'Données projet'!$A$140,$CQ$205^A25,IF(A25='Données projet'!$A$140,'Données projet'!$B$140,CT24+CS25-DB24)))</f>
        <v>26.600205453131583</v>
      </c>
      <c r="CU25" s="17">
        <f>CT25*VLOOKUP('Données projet'!$B$13,Paramètres!$A$1:$I$89,3,0)*VLOOKUP('Données projet'!$B$13,Paramètres!$A$1:$I$89,5,0)</f>
        <v>26.972608329475424</v>
      </c>
      <c r="CV25" s="13">
        <f t="shared" si="41"/>
        <v>8.4706274244133777</v>
      </c>
      <c r="CW25" s="20">
        <f t="shared" si="13"/>
        <v>61.730302271356322</v>
      </c>
      <c r="CX25" s="59">
        <f t="shared" si="14"/>
        <v>355.06363560468964</v>
      </c>
      <c r="CY25" s="59">
        <f ca="1">AVERAGE(OFFSET($CX$3,0,0,'Données projet'!$E$13+1,1))-AVERAGE(OFFSET($H$3,0,0,'Données projet'!$E$13+1,1))</f>
        <v>402.54350692668021</v>
      </c>
      <c r="CZ25" s="59">
        <f t="shared" si="42"/>
        <v>163.60655196884522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8.8000000000000007</v>
      </c>
      <c r="DO25" s="12">
        <f>IF('Données projet'!$A$166&gt;35,DO24+DN25-DW24,IF(A25&lt;'Données projet'!$A$166,$DL$205^A25,IF(A25='Données projet'!$A$166,'Données projet'!$B$166,DO24+DN25-DW24)))</f>
        <v>49.599999999999994</v>
      </c>
      <c r="DP25" s="17">
        <f>DO25*VLOOKUP('Données projet'!$B$14,Paramètres!$A$1:$I$89,3,0)*VLOOKUP('Données projet'!$B$14,Paramètres!$A$1:$I$89,5,0)</f>
        <v>42.556799999999996</v>
      </c>
      <c r="DQ25" s="13">
        <f t="shared" si="43"/>
        <v>12.673863978067095</v>
      </c>
      <c r="DR25" s="20">
        <f t="shared" si="16"/>
        <v>96.193406428466844</v>
      </c>
      <c r="DS25" s="59">
        <f t="shared" si="17"/>
        <v>389.52673976180017</v>
      </c>
      <c r="DT25" s="59">
        <f ca="1">AVERAGE(OFFSET($DS$3,0,0,'Données projet'!$E$14+1,1))-AVERAGE(OFFSET($H$3,0,0,'Données projet'!$E$14+1,1))</f>
        <v>352.76625414822473</v>
      </c>
      <c r="DU25" s="59">
        <f t="shared" si="44"/>
        <v>186.48649111821521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6.7948717960000007</v>
      </c>
      <c r="EJ25" s="12">
        <f>IF('Données projet'!$A$192&gt;35,EJ24+EI25-ER24,IF(A25&lt;'Données projet'!$A$192,$EG$205^A25,IF(A25='Données projet'!$A$192,'Données projet'!$B$192,EJ24+EI25-ER24)))</f>
        <v>52.051282052000012</v>
      </c>
      <c r="EK25" s="17">
        <f>EJ25*VLOOKUP('Données projet'!$B$15,Paramètres!$A$1:$I$89,3,0)*VLOOKUP('Données projet'!$B$15,Paramètres!$A$1:$I$89,5,0)</f>
        <v>40.600000000560009</v>
      </c>
      <c r="EL25" s="13">
        <f t="shared" si="45"/>
        <v>12.157538908571915</v>
      </c>
      <c r="EM25" s="20">
        <f t="shared" si="19"/>
        <v>91.886046933404771</v>
      </c>
      <c r="EN25" s="59">
        <f t="shared" si="20"/>
        <v>385.21938026673809</v>
      </c>
      <c r="EO25" s="59">
        <f ca="1">AVERAGE(OFFSET($EN$3,0,0,'Données projet'!$E$15+1,1))-AVERAGE(OFFSET($H$3,0,0,'Données projet'!$E$15+1,1))</f>
        <v>130.66539383144681</v>
      </c>
      <c r="EP25" s="59">
        <f t="shared" si="46"/>
        <v>126.36398121441903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2.9235042736666665</v>
      </c>
      <c r="FE25" s="12">
        <f>IF('Données projet'!$A$218&gt;35,FE24+FD25-FM24,IF(A25&lt;'Données projet'!$A$218,$FB$205^A25,IF(A25='Données projet'!$A$218,'Données projet'!$B$218,FE24+FD25-FM24)))</f>
        <v>26.600205453131583</v>
      </c>
      <c r="FF25" s="17">
        <f>FE25*VLOOKUP('Données projet'!$B$16,Paramètres!$A$1:$I$89,3,0)*VLOOKUP('Données projet'!$B$16,Paramètres!$A$1:$I$89,5,0)</f>
        <v>25.727718714268867</v>
      </c>
      <c r="FG25" s="13">
        <f t="shared" si="47"/>
        <v>8.1242379491911922</v>
      </c>
      <c r="FH25" s="20">
        <f t="shared" si="22"/>
        <v>58.958824522192934</v>
      </c>
      <c r="FI25" s="59">
        <f t="shared" si="23"/>
        <v>352.29215785552623</v>
      </c>
      <c r="FJ25" s="59">
        <f ca="1">AVERAGE(OFFSET($FI$3,0,0,'Données projet'!$E$16+1,1))-AVERAGE(OFFSET($H$3,0,0,'Données projet'!$E$16+1,1))</f>
        <v>380.43199889536805</v>
      </c>
      <c r="FK25" s="59">
        <f t="shared" si="48"/>
        <v>154.72646317672996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152</v>
      </c>
      <c r="O26" s="13">
        <f>N26*VLOOKUP('Données projet'!$B$9,Paramètres!$A$1:$I$89,3,0)*VLOOKUP('Données projet'!$B$9,Paramètres!$A$1:$I$89,5,0)</f>
        <v>94.847999999999999</v>
      </c>
      <c r="P26" s="13">
        <f t="shared" si="33"/>
        <v>25.730851751939202</v>
      </c>
      <c r="Q26" s="20">
        <f t="shared" si="2"/>
        <v>210.0081668012941</v>
      </c>
      <c r="R26" s="59">
        <f t="shared" si="0"/>
        <v>503.34150013462738</v>
      </c>
      <c r="S26" s="59">
        <f ca="1">AVERAGE(OFFSET($R$3,0,0,'Données projet'!$E$9+1,1))-AVERAGE(OFFSET($H$3,0,0,'Données projet'!$E$9+1,1))</f>
        <v>179.44051550872138</v>
      </c>
      <c r="T26" s="59">
        <f t="shared" si="34"/>
        <v>272.9500808380069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12.168632817441809</v>
      </c>
      <c r="AB26" s="21">
        <f>EXP(-LN(2)/2)*AB25+(1-EXP(-LN(2)/2))/(LN(2)/2)*V26*Y26*VLOOKUP('Données projet'!$B$9,Paramètres!$A$1:$I$89,3,0)*0.475*44/12</f>
        <v>2.4979005026332941</v>
      </c>
      <c r="AC26" s="22">
        <f t="shared" si="3"/>
        <v>14.666533320075104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1.9958974359999999</v>
      </c>
      <c r="AI26" s="13">
        <f>IF('Données projet'!$A$62&gt;35,AI25+AH26-AQ25,IF(A26&lt;'Données projet'!$A$62,$AF$205^A26,IF(A26='Données projet'!$A$62,'Données projet'!$B$62,AI25+AH26-AQ25)))</f>
        <v>23.044410212594169</v>
      </c>
      <c r="AJ26" s="13">
        <f>AI26*VLOOKUP('Données projet'!$B$10,Paramètres!$A$1:$I$89,3,0)*VLOOKUP('Données projet'!$B$10,Paramètres!$A$1:$I$89,5,0)</f>
        <v>11.084361312257796</v>
      </c>
      <c r="AK26" s="13">
        <f t="shared" si="35"/>
        <v>3.8606320902618831</v>
      </c>
      <c r="AL26" s="20">
        <f t="shared" si="4"/>
        <v>26.02919684272177</v>
      </c>
      <c r="AM26" s="59">
        <f t="shared" si="5"/>
        <v>319.36253017605509</v>
      </c>
      <c r="AN26" s="59">
        <f ca="1">AVERAGE(OFFSET($AM$3,0,0,'Données projet'!$E$10+1,1))-AVERAGE(OFFSET($H$3,0,0,'Données projet'!$E$10+1,1))</f>
        <v>174.18188687702559</v>
      </c>
      <c r="AO26" s="59">
        <f t="shared" si="36"/>
        <v>32.17353897322738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26.926666666666673</v>
      </c>
      <c r="BD26" s="12">
        <f>IF('Données projet'!$A$88&gt;35,BD25+BC26-BL25,IF(A26&lt;'Données projet'!$A$88,$BA$205^A26,IF(A26='Données projet'!$A$88,'Données projet'!$B$88,BD25+BC26-BL25)))</f>
        <v>262.23333333333335</v>
      </c>
      <c r="BE26" s="13">
        <f>BD26*VLOOKUP('Données projet'!$B$11,Paramètres!$A$1:$I$89,3,0)*VLOOKUP('Données projet'!$B$11,Paramètres!$A$1:$I$89,5,0)</f>
        <v>146.58843333333334</v>
      </c>
      <c r="BF26" s="13">
        <f t="shared" si="37"/>
        <v>37.80225981907045</v>
      </c>
      <c r="BG26" s="20">
        <f t="shared" si="7"/>
        <v>321.14712390710332</v>
      </c>
      <c r="BH26" s="59">
        <f t="shared" si="8"/>
        <v>614.48045724043664</v>
      </c>
      <c r="BI26" s="59">
        <f ca="1">AVERAGE(OFFSET($BH$3,0,0,'Données projet'!$E$11+1,1))-AVERAGE(OFFSET($H$3,0,0,'Données projet'!$E$11+1,1))</f>
        <v>350.01600895263641</v>
      </c>
      <c r="BJ26" s="59">
        <f t="shared" si="38"/>
        <v>464.08921044376882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8.3712451782312378</v>
      </c>
      <c r="BS26" s="22">
        <f t="shared" si="9"/>
        <v>8.3712451782312378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489.90535895749758</v>
      </c>
      <c r="CD26" s="59">
        <f ca="1">AVERAGE(OFFSET($CC$3,0,0,'Données projet'!$E$12+1,1))-AVERAGE(OFFSET($H$3,0,0,'Données projet'!$E$12+1,1))</f>
        <v>279.49721661620544</v>
      </c>
      <c r="CE26" s="59">
        <f t="shared" si="40"/>
        <v>275.18739333988754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2.9235042736666665</v>
      </c>
      <c r="CT26" s="12">
        <f>IF('Données projet'!$A$140&gt;35,CT25+CS26-DB25,IF(A26&lt;'Données projet'!$A$140,$CQ$205^A26,IF(A26='Données projet'!$A$140,'Données projet'!$B$140,CT25+CS26-DB25)))</f>
        <v>30.878236600831084</v>
      </c>
      <c r="CU26" s="17">
        <f>CT26*VLOOKUP('Données projet'!$B$13,Paramètres!$A$1:$I$89,3,0)*VLOOKUP('Données projet'!$B$13,Paramètres!$A$1:$I$89,5,0)</f>
        <v>31.31053191324272</v>
      </c>
      <c r="CV26" s="13">
        <f t="shared" si="41"/>
        <v>9.663715651004102</v>
      </c>
      <c r="CW26" s="20">
        <f t="shared" si="13"/>
        <v>71.36348117439654</v>
      </c>
      <c r="CX26" s="59">
        <f t="shared" si="14"/>
        <v>364.69681450772987</v>
      </c>
      <c r="CY26" s="59">
        <f ca="1">AVERAGE(OFFSET($CX$3,0,0,'Données projet'!$E$13+1,1))-AVERAGE(OFFSET($H$3,0,0,'Données projet'!$E$13+1,1))</f>
        <v>402.54350692668021</v>
      </c>
      <c r="CZ26" s="59">
        <f t="shared" si="42"/>
        <v>163.60655196884522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8.8000000000000007</v>
      </c>
      <c r="DO26" s="12">
        <f>IF('Données projet'!$A$166&gt;35,DO25+DN26-DW25,IF(A26&lt;'Données projet'!$A$166,$DL$205^A26,IF(A26='Données projet'!$A$166,'Données projet'!$B$166,DO25+DN26-DW25)))</f>
        <v>58.399999999999991</v>
      </c>
      <c r="DP26" s="17">
        <f>DO26*VLOOKUP('Données projet'!$B$14,Paramètres!$A$1:$I$89,3,0)*VLOOKUP('Données projet'!$B$14,Paramètres!$A$1:$I$89,5,0)</f>
        <v>50.107199999999999</v>
      </c>
      <c r="DQ26" s="13">
        <f t="shared" si="43"/>
        <v>14.641441079141797</v>
      </c>
      <c r="DR26" s="20">
        <f t="shared" si="16"/>
        <v>112.77054987950528</v>
      </c>
      <c r="DS26" s="59">
        <f t="shared" si="17"/>
        <v>406.10388321283858</v>
      </c>
      <c r="DT26" s="59">
        <f ca="1">AVERAGE(OFFSET($DS$3,0,0,'Données projet'!$E$14+1,1))-AVERAGE(OFFSET($H$3,0,0,'Données projet'!$E$14+1,1))</f>
        <v>352.76625414822473</v>
      </c>
      <c r="DU26" s="59">
        <f t="shared" si="44"/>
        <v>186.48649111821521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6.7948717960000007</v>
      </c>
      <c r="EJ26" s="12">
        <f>IF('Données projet'!$A$192&gt;35,EJ25+EI26-ER25,IF(A26&lt;'Données projet'!$A$192,$EG$205^A26,IF(A26='Données projet'!$A$192,'Données projet'!$B$192,EJ25+EI26-ER25)))</f>
        <v>58.846153848000014</v>
      </c>
      <c r="EK26" s="17">
        <f>EJ26*VLOOKUP('Données projet'!$B$15,Paramètres!$A$1:$I$89,3,0)*VLOOKUP('Données projet'!$B$15,Paramètres!$A$1:$I$89,5,0)</f>
        <v>45.900000001440013</v>
      </c>
      <c r="EL26" s="13">
        <f t="shared" si="45"/>
        <v>13.549702311693792</v>
      </c>
      <c r="EM26" s="20">
        <f t="shared" si="19"/>
        <v>103.54156486204137</v>
      </c>
      <c r="EN26" s="59">
        <f t="shared" si="20"/>
        <v>396.87489819537467</v>
      </c>
      <c r="EO26" s="59">
        <f ca="1">AVERAGE(OFFSET($EN$3,0,0,'Données projet'!$E$15+1,1))-AVERAGE(OFFSET($H$3,0,0,'Données projet'!$E$15+1,1))</f>
        <v>130.66539383144681</v>
      </c>
      <c r="EP26" s="59">
        <f t="shared" si="46"/>
        <v>126.36398121441903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2.9235042736666665</v>
      </c>
      <c r="FE26" s="12">
        <f>IF('Données projet'!$A$218&gt;35,FE25+FD26-FM25,IF(A26&lt;'Données projet'!$A$218,$FB$205^A26,IF(A26='Données projet'!$A$218,'Données projet'!$B$218,FE25+FD26-FM25)))</f>
        <v>30.878236600831084</v>
      </c>
      <c r="FF26" s="17">
        <f>FE26*VLOOKUP('Données projet'!$B$16,Paramètres!$A$1:$I$89,3,0)*VLOOKUP('Données projet'!$B$16,Paramètres!$A$1:$I$89,5,0)</f>
        <v>29.865430440323824</v>
      </c>
      <c r="FG26" s="13">
        <f t="shared" si="47"/>
        <v>9.2685372037263853</v>
      </c>
      <c r="FH26" s="20">
        <f t="shared" si="22"/>
        <v>68.158326980054113</v>
      </c>
      <c r="FI26" s="59">
        <f t="shared" si="23"/>
        <v>361.49166031338746</v>
      </c>
      <c r="FJ26" s="59">
        <f ca="1">AVERAGE(OFFSET($FI$3,0,0,'Données projet'!$E$16+1,1))-AVERAGE(OFFSET($H$3,0,0,'Données projet'!$E$16+1,1))</f>
        <v>380.43199889536805</v>
      </c>
      <c r="FK26" s="59">
        <f t="shared" si="48"/>
        <v>154.72646317672996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168</v>
      </c>
      <c r="L27" s="12">
        <f>VLOOKUP(A27,'Données projet'!$A$35:$I$55,9,0)</f>
        <v>16</v>
      </c>
      <c r="M27" s="12">
        <f t="array" ref="M27">INDEX(L:L,MIN(IF(ISNUMBER(L27:L223),ROW(L27:L223),"")))</f>
        <v>16</v>
      </c>
      <c r="N27" s="13">
        <f>IF('Données projet'!$A$36&gt;35,N26+M27-V26,IF(A27&lt;'Données projet'!$A$36,$K$205^A27,IF(A27='Données projet'!$A$36,'Données projet'!$B$36,N26+M27-V26)))</f>
        <v>168</v>
      </c>
      <c r="O27" s="13">
        <f>N27*VLOOKUP('Données projet'!$B$9,Paramètres!$A$1:$I$89,3,0)*VLOOKUP('Données projet'!$B$9,Paramètres!$A$1:$I$89,5,0)</f>
        <v>104.83200000000001</v>
      </c>
      <c r="P27" s="13">
        <f t="shared" si="33"/>
        <v>28.109974371137717</v>
      </c>
      <c r="Q27" s="20">
        <f t="shared" si="2"/>
        <v>231.54060536306486</v>
      </c>
      <c r="R27" s="59">
        <f t="shared" si="0"/>
        <v>524.87393869639823</v>
      </c>
      <c r="S27" s="59">
        <f ca="1">AVERAGE(OFFSET($R$3,0,0,'Données projet'!$E$9+1,1))-AVERAGE(OFFSET($H$3,0,0,'Données projet'!$E$9+1,1))</f>
        <v>179.44051550872138</v>
      </c>
      <c r="T27" s="59">
        <f t="shared" si="34"/>
        <v>272.9500808380069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29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26.182475839785749</v>
      </c>
      <c r="AB27" s="21">
        <f>EXP(-LN(2)/2)*AB26+(1-EXP(-LN(2)/2))/(LN(2)/2)*V27*Y27*VLOOKUP('Données projet'!$B$9,Paramètres!$A$1:$I$89,3,0)*0.475*44/12</f>
        <v>1.7662823841412878</v>
      </c>
      <c r="AC27" s="22">
        <f t="shared" si="3"/>
        <v>27.948758223927037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1.9958974359999999</v>
      </c>
      <c r="AI27" s="13">
        <f>IF('Données projet'!$A$62&gt;35,AI26+AH27-AQ26,IF(A27&lt;'Données projet'!$A$62,$AF$205^A27,IF(A27='Données projet'!$A$62,'Données projet'!$B$62,AI26+AH27-AQ26)))</f>
        <v>26.412382618545241</v>
      </c>
      <c r="AJ27" s="13">
        <f>AI27*VLOOKUP('Données projet'!$B$10,Paramètres!$A$1:$I$89,3,0)*VLOOKUP('Données projet'!$B$10,Paramètres!$A$1:$I$89,5,0)</f>
        <v>12.704356039520261</v>
      </c>
      <c r="AK27" s="13">
        <f t="shared" si="35"/>
        <v>4.3551651871893595</v>
      </c>
      <c r="AL27" s="20">
        <f t="shared" si="4"/>
        <v>29.711999469852586</v>
      </c>
      <c r="AM27" s="59">
        <f t="shared" si="5"/>
        <v>323.04533280318589</v>
      </c>
      <c r="AN27" s="59">
        <f ca="1">AVERAGE(OFFSET($AM$3,0,0,'Données projet'!$E$10+1,1))-AVERAGE(OFFSET($H$3,0,0,'Données projet'!$E$10+1,1))</f>
        <v>174.18188687702559</v>
      </c>
      <c r="AO27" s="59">
        <f t="shared" si="36"/>
        <v>32.17353897322738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289.16000000000003</v>
      </c>
      <c r="BB27" s="12">
        <f>VLOOKUP(A27,'Données projet'!$A$87:$I$107,9,0)</f>
        <v>26.926666666666673</v>
      </c>
      <c r="BC27" s="12">
        <f t="array" ref="BC27">INDEX(BB:BB,MIN(IF(ISNUMBER(BB27:BB223),ROW(BB27:BB223),"")))</f>
        <v>26.926666666666673</v>
      </c>
      <c r="BD27" s="12">
        <f>IF('Données projet'!$A$88&gt;35,BD26+BC27-BL26,IF(A27&lt;'Données projet'!$A$88,$BA$205^A27,IF(A27='Données projet'!$A$88,'Données projet'!$B$88,BD26+BC27-BL26)))</f>
        <v>289.16000000000003</v>
      </c>
      <c r="BE27" s="13">
        <f>BD27*VLOOKUP('Données projet'!$B$11,Paramètres!$A$1:$I$89,3,0)*VLOOKUP('Données projet'!$B$11,Paramètres!$A$1:$I$89,5,0)</f>
        <v>161.64044000000001</v>
      </c>
      <c r="BF27" s="13">
        <f t="shared" si="37"/>
        <v>41.212301279363686</v>
      </c>
      <c r="BG27" s="20">
        <f t="shared" si="7"/>
        <v>353.30185772822512</v>
      </c>
      <c r="BH27" s="59">
        <f t="shared" si="8"/>
        <v>646.63519106155843</v>
      </c>
      <c r="BI27" s="59">
        <f ca="1">AVERAGE(OFFSET($BH$3,0,0,'Données projet'!$E$11+1,1))-AVERAGE(OFFSET($H$3,0,0,'Données projet'!$E$11+1,1))</f>
        <v>350.01600895263641</v>
      </c>
      <c r="BJ27" s="59">
        <f t="shared" si="38"/>
        <v>464.08921044376882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51.39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0.55000000000000004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20.877001064528184</v>
      </c>
      <c r="BR27" s="21">
        <f>EXP(-LN(2)/2)*BR26+(1-EXP(-LN(2)/2))/(LN(2)/2)*BL27*BO27*VLOOKUP('Données projet'!$B$11,Paramètres!$A$1:$I$89,3,0)*0.475*44/12</f>
        <v>5.9193642325024971</v>
      </c>
      <c r="BS27" s="22">
        <f t="shared" si="9"/>
        <v>26.796365297030682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515.33158992115887</v>
      </c>
      <c r="CD27" s="59">
        <f ca="1">AVERAGE(OFFSET($CC$3,0,0,'Données projet'!$E$12+1,1))-AVERAGE(OFFSET($H$3,0,0,'Données projet'!$E$12+1,1))</f>
        <v>279.49721661620544</v>
      </c>
      <c r="CE27" s="59">
        <f t="shared" si="40"/>
        <v>275.18739333988754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2.9235042736666665</v>
      </c>
      <c r="CT27" s="12">
        <f>IF('Données projet'!$A$140&gt;35,CT26+CS27-DB26,IF(A27&lt;'Données projet'!$A$140,$CQ$205^A27,IF(A27='Données projet'!$A$140,'Données projet'!$B$140,CT26+CS27-DB26)))</f>
        <v>35.84429064868953</v>
      </c>
      <c r="CU27" s="17">
        <f>CT27*VLOOKUP('Données projet'!$B$13,Paramètres!$A$1:$I$89,3,0)*VLOOKUP('Données projet'!$B$13,Paramètres!$A$1:$I$89,5,0)</f>
        <v>36.34611071777119</v>
      </c>
      <c r="CV27" s="13">
        <f t="shared" si="41"/>
        <v>11.02485040415163</v>
      </c>
      <c r="CW27" s="20">
        <f t="shared" si="13"/>
        <v>82.504423954015564</v>
      </c>
      <c r="CX27" s="59">
        <f t="shared" si="14"/>
        <v>375.83775728734889</v>
      </c>
      <c r="CY27" s="59">
        <f ca="1">AVERAGE(OFFSET($CX$3,0,0,'Données projet'!$E$13+1,1))-AVERAGE(OFFSET($H$3,0,0,'Données projet'!$E$13+1,1))</f>
        <v>402.54350692668021</v>
      </c>
      <c r="CZ27" s="59">
        <f t="shared" si="42"/>
        <v>163.60655196884522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8.8000000000000007</v>
      </c>
      <c r="DO27" s="12">
        <f>IF('Données projet'!$A$166&gt;35,DO26+DN27-DW26,IF(A27&lt;'Données projet'!$A$166,$DL$205^A27,IF(A27='Données projet'!$A$166,'Données projet'!$B$166,DO26+DN27-DW26)))</f>
        <v>67.199999999999989</v>
      </c>
      <c r="DP27" s="17">
        <f>DO27*VLOOKUP('Données projet'!$B$14,Paramètres!$A$1:$I$89,3,0)*VLOOKUP('Données projet'!$B$14,Paramètres!$A$1:$I$89,5,0)</f>
        <v>57.657599999999995</v>
      </c>
      <c r="DQ27" s="13">
        <f t="shared" si="43"/>
        <v>16.574671209026025</v>
      </c>
      <c r="DR27" s="20">
        <f t="shared" si="16"/>
        <v>129.28787235572034</v>
      </c>
      <c r="DS27" s="59">
        <f t="shared" si="17"/>
        <v>422.62120568905368</v>
      </c>
      <c r="DT27" s="59">
        <f ca="1">AVERAGE(OFFSET($DS$3,0,0,'Données projet'!$E$14+1,1))-AVERAGE(OFFSET($H$3,0,0,'Données projet'!$E$14+1,1))</f>
        <v>352.76625414822473</v>
      </c>
      <c r="DU27" s="59">
        <f t="shared" si="44"/>
        <v>186.48649111821521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6.7948717960000007</v>
      </c>
      <c r="EJ27" s="12">
        <f>IF('Données projet'!$A$192&gt;35,EJ26+EI27-ER26,IF(A27&lt;'Données projet'!$A$192,$EG$205^A27,IF(A27='Données projet'!$A$192,'Données projet'!$B$192,EJ26+EI27-ER26)))</f>
        <v>65.64102564400001</v>
      </c>
      <c r="EK27" s="17">
        <f>EJ27*VLOOKUP('Données projet'!$B$15,Paramètres!$A$1:$I$89,3,0)*VLOOKUP('Données projet'!$B$15,Paramètres!$A$1:$I$89,5,0)</f>
        <v>51.20000000232001</v>
      </c>
      <c r="EL27" s="13">
        <f t="shared" si="45"/>
        <v>14.923235839077046</v>
      </c>
      <c r="EM27" s="20">
        <f t="shared" si="19"/>
        <v>115.16463575709987</v>
      </c>
      <c r="EN27" s="59">
        <f t="shared" si="20"/>
        <v>408.49796909043317</v>
      </c>
      <c r="EO27" s="59">
        <f ca="1">AVERAGE(OFFSET($EN$3,0,0,'Données projet'!$E$15+1,1))-AVERAGE(OFFSET($H$3,0,0,'Données projet'!$E$15+1,1))</f>
        <v>130.66539383144681</v>
      </c>
      <c r="EP27" s="59">
        <f t="shared" si="46"/>
        <v>126.36398121441903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2.9235042736666665</v>
      </c>
      <c r="FE27" s="12">
        <f>IF('Données projet'!$A$218&gt;35,FE26+FD27-FM26,IF(A27&lt;'Données projet'!$A$218,$FB$205^A27,IF(A27='Données projet'!$A$218,'Données projet'!$B$218,FE26+FD27-FM26)))</f>
        <v>35.84429064868953</v>
      </c>
      <c r="FF27" s="17">
        <f>FE27*VLOOKUP('Données projet'!$B$16,Paramètres!$A$1:$I$89,3,0)*VLOOKUP('Données projet'!$B$16,Paramètres!$A$1:$I$89,5,0)</f>
        <v>34.668597915412512</v>
      </c>
      <c r="FG27" s="13">
        <f t="shared" si="47"/>
        <v>10.574011056066187</v>
      </c>
      <c r="FH27" s="20">
        <f t="shared" si="22"/>
        <v>78.79754395865875</v>
      </c>
      <c r="FI27" s="59">
        <f t="shared" si="23"/>
        <v>372.13087729199208</v>
      </c>
      <c r="FJ27" s="59">
        <f ca="1">AVERAGE(OFFSET($FI$3,0,0,'Données projet'!$E$16+1,1))-AVERAGE(OFFSET($H$3,0,0,'Données projet'!$E$16+1,1))</f>
        <v>380.43199889536805</v>
      </c>
      <c r="FK27" s="59">
        <f t="shared" si="48"/>
        <v>154.72646317672996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14.166666666666666</v>
      </c>
      <c r="N28" s="13">
        <f>IF('Données projet'!$A$36&gt;35,N27+M28-V27,IF(A28&lt;'Données projet'!$A$36,$K$205^A28,IF(A28='Données projet'!$A$36,'Données projet'!$B$36,N27+M28-V27)))</f>
        <v>153.16666666666666</v>
      </c>
      <c r="O28" s="13">
        <f>N28*VLOOKUP('Données projet'!$B$9,Paramètres!$A$1:$I$89,3,0)*VLOOKUP('Données projet'!$B$9,Paramètres!$A$1:$I$89,5,0)</f>
        <v>95.575999999999993</v>
      </c>
      <c r="P28" s="13">
        <f t="shared" si="33"/>
        <v>25.905281107545633</v>
      </c>
      <c r="Q28" s="20">
        <f t="shared" si="2"/>
        <v>211.57989792897527</v>
      </c>
      <c r="R28" s="59">
        <f t="shared" si="0"/>
        <v>504.91323126230861</v>
      </c>
      <c r="S28" s="59">
        <f ca="1">AVERAGE(OFFSET($R$3,0,0,'Données projet'!$E$9+1,1))-AVERAGE(OFFSET($H$3,0,0,'Données projet'!$E$9+1,1))</f>
        <v>179.44051550872138</v>
      </c>
      <c r="T28" s="59">
        <f t="shared" si="34"/>
        <v>272.9500808380069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25.466514661070242</v>
      </c>
      <c r="AB28" s="21">
        <f>EXP(-LN(2)/2)*AB27+(1-EXP(-LN(2)/2))/(LN(2)/2)*V28*Y28*VLOOKUP('Données projet'!$B$9,Paramètres!$A$1:$I$89,3,0)*0.475*44/12</f>
        <v>1.2489502513166471</v>
      </c>
      <c r="AC28" s="22">
        <f t="shared" si="3"/>
        <v>26.715464912386889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1.9958974359999999</v>
      </c>
      <c r="AI28" s="13">
        <f>IF('Données projet'!$A$62&gt;35,AI27+AH28-AQ27,IF(A28&lt;'Données projet'!$A$62,$AF$205^A28,IF(A28='Données projet'!$A$62,'Données projet'!$B$62,AI27+AH28-AQ27)))</f>
        <v>30.272588847041643</v>
      </c>
      <c r="AJ28" s="13">
        <f>AI28*VLOOKUP('Données projet'!$B$10,Paramètres!$A$1:$I$89,3,0)*VLOOKUP('Données projet'!$B$10,Paramètres!$A$1:$I$89,5,0)</f>
        <v>14.56111523542703</v>
      </c>
      <c r="AK28" s="13">
        <f t="shared" si="35"/>
        <v>4.9130461966448253</v>
      </c>
      <c r="AL28" s="20">
        <f t="shared" si="4"/>
        <v>33.917497827525146</v>
      </c>
      <c r="AM28" s="59">
        <f t="shared" si="5"/>
        <v>327.25083116085847</v>
      </c>
      <c r="AN28" s="59">
        <f ca="1">AVERAGE(OFFSET($AM$3,0,0,'Données projet'!$E$10+1,1))-AVERAGE(OFFSET($H$3,0,0,'Données projet'!$E$10+1,1))</f>
        <v>174.18188687702559</v>
      </c>
      <c r="AO28" s="59">
        <f t="shared" si="36"/>
        <v>32.17353897322738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28.819999999999993</v>
      </c>
      <c r="BD28" s="12">
        <f>IF('Données projet'!$A$88&gt;35,BD27+BC28-BL27,IF(A28&lt;'Données projet'!$A$88,$BA$205^A28,IF(A28='Données projet'!$A$88,'Données projet'!$B$88,BD27+BC28-BL27)))</f>
        <v>266.59000000000003</v>
      </c>
      <c r="BE28" s="13">
        <f>BD28*VLOOKUP('Données projet'!$B$11,Paramètres!$A$1:$I$89,3,0)*VLOOKUP('Données projet'!$B$11,Paramètres!$A$1:$I$89,5,0)</f>
        <v>149.02381000000003</v>
      </c>
      <c r="BF28" s="13">
        <f t="shared" si="37"/>
        <v>38.356658710715394</v>
      </c>
      <c r="BG28" s="20">
        <f t="shared" si="7"/>
        <v>326.3543163378294</v>
      </c>
      <c r="BH28" s="59">
        <f t="shared" si="8"/>
        <v>619.68764967116272</v>
      </c>
      <c r="BI28" s="59">
        <f ca="1">AVERAGE(OFFSET($BH$3,0,0,'Données projet'!$E$11+1,1))-AVERAGE(OFFSET($H$3,0,0,'Données projet'!$E$11+1,1))</f>
        <v>350.01600895263641</v>
      </c>
      <c r="BJ28" s="59">
        <f t="shared" si="38"/>
        <v>464.08921044376882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20.306118372544891</v>
      </c>
      <c r="BR28" s="21">
        <f>EXP(-LN(2)/2)*BR27+(1-EXP(-LN(2)/2))/(LN(2)/2)*BL28*BO28*VLOOKUP('Données projet'!$B$11,Paramètres!$A$1:$I$89,3,0)*0.475*44/12</f>
        <v>4.1856225891156189</v>
      </c>
      <c r="BS28" s="22">
        <f t="shared" si="9"/>
        <v>24.491740961660511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540.69097697068582</v>
      </c>
      <c r="CD28" s="59">
        <f ca="1">AVERAGE(OFFSET($CC$3,0,0,'Données projet'!$E$12+1,1))-AVERAGE(OFFSET($H$3,0,0,'Données projet'!$E$12+1,1))</f>
        <v>279.49721661620544</v>
      </c>
      <c r="CE28" s="59">
        <f t="shared" si="40"/>
        <v>275.18739333988754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2.9235042736666665</v>
      </c>
      <c r="CT28" s="12">
        <f>IF('Données projet'!$A$140&gt;35,CT27+CS28-DB27,IF(A28&lt;'Données projet'!$A$140,$CQ$205^A28,IF(A28='Données projet'!$A$140,'Données projet'!$B$140,CT27+CS28-DB27)))</f>
        <v>41.609020253221033</v>
      </c>
      <c r="CU28" s="17">
        <f>CT28*VLOOKUP('Données projet'!$B$13,Paramètres!$A$1:$I$89,3,0)*VLOOKUP('Données projet'!$B$13,Paramètres!$A$1:$I$89,5,0)</f>
        <v>42.191546536766133</v>
      </c>
      <c r="CV28" s="13">
        <f t="shared" si="41"/>
        <v>12.577701044141646</v>
      </c>
      <c r="CW28" s="20">
        <f t="shared" si="13"/>
        <v>95.389772870081046</v>
      </c>
      <c r="CX28" s="59">
        <f t="shared" si="14"/>
        <v>388.72310620341437</v>
      </c>
      <c r="CY28" s="59">
        <f ca="1">AVERAGE(OFFSET($CX$3,0,0,'Données projet'!$E$13+1,1))-AVERAGE(OFFSET($H$3,0,0,'Données projet'!$E$13+1,1))</f>
        <v>402.54350692668021</v>
      </c>
      <c r="CZ28" s="59">
        <f t="shared" si="42"/>
        <v>163.60655196884522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76</v>
      </c>
      <c r="DM28" s="12">
        <f>VLOOKUP(A28,'Données projet'!$A$165:$I$185,9,0)</f>
        <v>8.8000000000000007</v>
      </c>
      <c r="DN28" s="12">
        <f t="array" ref="DN28">INDEX(DM:DM,MIN(IF(ISNUMBER(DM28:DM224),ROW(DM28:DM224),"")))</f>
        <v>8.8000000000000007</v>
      </c>
      <c r="DO28" s="12">
        <f>IF('Données projet'!$A$166&gt;35,DO27+DN28-DW27,IF(A28&lt;'Données projet'!$A$166,$DL$205^A28,IF(A28='Données projet'!$A$166,'Données projet'!$B$166,DO27+DN28-DW27)))</f>
        <v>75.999999999999986</v>
      </c>
      <c r="DP28" s="17">
        <f>DO28*VLOOKUP('Données projet'!$B$14,Paramètres!$A$1:$I$89,3,0)*VLOOKUP('Données projet'!$B$14,Paramètres!$A$1:$I$89,5,0)</f>
        <v>65.207999999999998</v>
      </c>
      <c r="DQ28" s="13">
        <f t="shared" si="43"/>
        <v>18.478568429485204</v>
      </c>
      <c r="DR28" s="20">
        <f t="shared" si="16"/>
        <v>145.75410668135339</v>
      </c>
      <c r="DS28" s="59">
        <f t="shared" si="17"/>
        <v>439.08744001468671</v>
      </c>
      <c r="DT28" s="59">
        <f ca="1">AVERAGE(OFFSET($DS$3,0,0,'Données projet'!$E$14+1,1))-AVERAGE(OFFSET($H$3,0,0,'Données projet'!$E$14+1,1))</f>
        <v>352.76625414822473</v>
      </c>
      <c r="DU28" s="59">
        <f t="shared" si="44"/>
        <v>186.48649111821521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72.435897440000005</v>
      </c>
      <c r="EH28" s="12">
        <f>VLOOKUP(A28,'Données projet'!$A$191:$I$211,9,0)</f>
        <v>6.7948717960000007</v>
      </c>
      <c r="EI28" s="12">
        <f t="array" ref="EI28">INDEX(EH:EH,MIN(IF(ISNUMBER(EH28:EH224),ROW(EH28:EH224),"")))</f>
        <v>6.7948717960000007</v>
      </c>
      <c r="EJ28" s="12">
        <f>IF('Données projet'!$A$192&gt;35,EJ27+EI28-ER27,IF(A28&lt;'Données projet'!$A$192,$EG$205^A28,IF(A28='Données projet'!$A$192,'Données projet'!$B$192,EJ27+EI28-ER27)))</f>
        <v>72.435897440000005</v>
      </c>
      <c r="EK28" s="17">
        <f>EJ28*VLOOKUP('Données projet'!$B$15,Paramètres!$A$1:$I$89,3,0)*VLOOKUP('Données projet'!$B$15,Paramètres!$A$1:$I$89,5,0)</f>
        <v>56.500000003200007</v>
      </c>
      <c r="EL28" s="13">
        <f t="shared" si="45"/>
        <v>16.280287626951701</v>
      </c>
      <c r="EM28" s="20">
        <f t="shared" si="19"/>
        <v>126.75900095584753</v>
      </c>
      <c r="EN28" s="59">
        <f t="shared" si="20"/>
        <v>420.09233428918083</v>
      </c>
      <c r="EO28" s="59">
        <f ca="1">AVERAGE(OFFSET($EN$3,0,0,'Données projet'!$E$15+1,1))-AVERAGE(OFFSET($H$3,0,0,'Données projet'!$E$15+1,1))</f>
        <v>130.66539383144681</v>
      </c>
      <c r="EP28" s="59">
        <f t="shared" si="46"/>
        <v>126.36398121441903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17.30769231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2.9235042736666665</v>
      </c>
      <c r="FE28" s="12">
        <f>IF('Données projet'!$A$218&gt;35,FE27+FD28-FM27,IF(A28&lt;'Données projet'!$A$218,$FB$205^A28,IF(A28='Données projet'!$A$218,'Données projet'!$B$218,FE27+FD28-FM27)))</f>
        <v>41.609020253221033</v>
      </c>
      <c r="FF28" s="17">
        <f>FE28*VLOOKUP('Données projet'!$B$16,Paramètres!$A$1:$I$89,3,0)*VLOOKUP('Données projet'!$B$16,Paramètres!$A$1:$I$89,5,0)</f>
        <v>40.244244388915384</v>
      </c>
      <c r="FG28" s="13">
        <f t="shared" si="47"/>
        <v>12.063360955044466</v>
      </c>
      <c r="FH28" s="20">
        <f t="shared" si="22"/>
        <v>91.102412640730066</v>
      </c>
      <c r="FI28" s="59">
        <f t="shared" si="23"/>
        <v>384.43574597406337</v>
      </c>
      <c r="FJ28" s="59">
        <f ca="1">AVERAGE(OFFSET($FI$3,0,0,'Données projet'!$E$16+1,1))-AVERAGE(OFFSET($H$3,0,0,'Données projet'!$E$16+1,1))</f>
        <v>380.43199889536805</v>
      </c>
      <c r="FK28" s="59">
        <f t="shared" si="48"/>
        <v>154.72646317672996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14.166666666666666</v>
      </c>
      <c r="N29" s="13">
        <f>IF('Données projet'!$A$36&gt;35,N28+M29-V28,IF(A29&lt;'Données projet'!$A$36,$K$205^A29,IF(A29='Données projet'!$A$36,'Données projet'!$B$36,N28+M29-V28)))</f>
        <v>167.33333333333331</v>
      </c>
      <c r="O29" s="13">
        <f>N29*VLOOKUP('Données projet'!$B$9,Paramètres!$A$1:$I$89,3,0)*VLOOKUP('Données projet'!$B$9,Paramètres!$A$1:$I$89,5,0)</f>
        <v>104.416</v>
      </c>
      <c r="P29" s="13">
        <f t="shared" si="33"/>
        <v>28.01138818767625</v>
      </c>
      <c r="Q29" s="20">
        <f t="shared" si="2"/>
        <v>230.64436776020281</v>
      </c>
      <c r="R29" s="59">
        <f t="shared" si="0"/>
        <v>523.9777010935361</v>
      </c>
      <c r="S29" s="59">
        <f ca="1">AVERAGE(OFFSET($R$3,0,0,'Données projet'!$E$9+1,1))-AVERAGE(OFFSET($H$3,0,0,'Données projet'!$E$9+1,1))</f>
        <v>179.44051550872138</v>
      </c>
      <c r="T29" s="59">
        <f t="shared" si="34"/>
        <v>272.9500808380069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24.770131478437474</v>
      </c>
      <c r="AB29" s="21">
        <f>EXP(-LN(2)/2)*AB28+(1-EXP(-LN(2)/2))/(LN(2)/2)*V29*Y29*VLOOKUP('Données projet'!$B$9,Paramètres!$A$1:$I$89,3,0)*0.475*44/12</f>
        <v>0.8831411920706439</v>
      </c>
      <c r="AC29" s="22">
        <f t="shared" si="3"/>
        <v>25.653272670508116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1.9958974359999999</v>
      </c>
      <c r="AI29" s="13">
        <f>IF('Données projet'!$A$62&gt;35,AI28+AH29-AQ28,IF(A29&lt;'Données projet'!$A$62,$AF$205^A29,IF(A29='Données projet'!$A$62,'Données projet'!$B$62,AI28+AH29-AQ28)))</f>
        <v>34.696969551643797</v>
      </c>
      <c r="AJ29" s="13">
        <f>AI29*VLOOKUP('Données projet'!$B$10,Paramètres!$A$1:$I$89,3,0)*VLOOKUP('Données projet'!$B$10,Paramètres!$A$1:$I$89,5,0)</f>
        <v>16.689242354340667</v>
      </c>
      <c r="AK29" s="13">
        <f t="shared" si="35"/>
        <v>5.5423897585716784</v>
      </c>
      <c r="AL29" s="20">
        <f t="shared" si="4"/>
        <v>38.720092596655661</v>
      </c>
      <c r="AM29" s="59">
        <f t="shared" si="5"/>
        <v>332.05342592998898</v>
      </c>
      <c r="AN29" s="59">
        <f ca="1">AVERAGE(OFFSET($AM$3,0,0,'Données projet'!$E$10+1,1))-AVERAGE(OFFSET($H$3,0,0,'Données projet'!$E$10+1,1))</f>
        <v>174.18188687702559</v>
      </c>
      <c r="AO29" s="59">
        <f t="shared" si="36"/>
        <v>32.17353897322738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28.819999999999993</v>
      </c>
      <c r="BD29" s="12">
        <f>IF('Données projet'!$A$88&gt;35,BD28+BC29-BL28,IF(A29&lt;'Données projet'!$A$88,$BA$205^A29,IF(A29='Données projet'!$A$88,'Données projet'!$B$88,BD28+BC29-BL28)))</f>
        <v>295.41000000000003</v>
      </c>
      <c r="BE29" s="13">
        <f>BD29*VLOOKUP('Données projet'!$B$11,Paramètres!$A$1:$I$89,3,0)*VLOOKUP('Données projet'!$B$11,Paramètres!$A$1:$I$89,5,0)</f>
        <v>165.13419000000002</v>
      </c>
      <c r="BF29" s="13">
        <f t="shared" si="37"/>
        <v>41.998408993833188</v>
      </c>
      <c r="BG29" s="20">
        <f t="shared" si="7"/>
        <v>360.75594324759282</v>
      </c>
      <c r="BH29" s="59">
        <f t="shared" si="8"/>
        <v>654.08927658092614</v>
      </c>
      <c r="BI29" s="59">
        <f ca="1">AVERAGE(OFFSET($BH$3,0,0,'Données projet'!$E$11+1,1))-AVERAGE(OFFSET($H$3,0,0,'Données projet'!$E$11+1,1))</f>
        <v>350.01600895263641</v>
      </c>
      <c r="BJ29" s="59">
        <f t="shared" si="38"/>
        <v>464.08921044376882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19.750846497795294</v>
      </c>
      <c r="BR29" s="21">
        <f>EXP(-LN(2)/2)*BR28+(1-EXP(-LN(2)/2))/(LN(2)/2)*BL29*BO29*VLOOKUP('Données projet'!$B$11,Paramètres!$A$1:$I$89,3,0)*0.475*44/12</f>
        <v>2.9596821162512486</v>
      </c>
      <c r="BS29" s="22">
        <f t="shared" si="9"/>
        <v>22.710528614046542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505.03222276906223</v>
      </c>
      <c r="CD29" s="59">
        <f ca="1">AVERAGE(OFFSET($CC$3,0,0,'Données projet'!$E$12+1,1))-AVERAGE(OFFSET($H$3,0,0,'Données projet'!$E$12+1,1))</f>
        <v>279.49721661620544</v>
      </c>
      <c r="CE29" s="59">
        <f t="shared" si="40"/>
        <v>275.18739333988754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2.9235042736666665</v>
      </c>
      <c r="CT29" s="12">
        <f>IF('Données projet'!$A$140&gt;35,CT28+CS29-DB28,IF(A29&lt;'Données projet'!$A$140,$CQ$205^A29,IF(A29='Données projet'!$A$140,'Données projet'!$B$140,CT28+CS29-DB28)))</f>
        <v>48.300874005334926</v>
      </c>
      <c r="CU29" s="17">
        <f>CT29*VLOOKUP('Données projet'!$B$13,Paramètres!$A$1:$I$89,3,0)*VLOOKUP('Données projet'!$B$13,Paramètres!$A$1:$I$89,5,0)</f>
        <v>48.977086241409616</v>
      </c>
      <c r="CV29" s="13">
        <f t="shared" si="41"/>
        <v>14.349270761644892</v>
      </c>
      <c r="CW29" s="20">
        <f t="shared" si="13"/>
        <v>110.29340511365326</v>
      </c>
      <c r="CX29" s="59">
        <f t="shared" si="14"/>
        <v>403.62673844698656</v>
      </c>
      <c r="CY29" s="59">
        <f ca="1">AVERAGE(OFFSET($CX$3,0,0,'Données projet'!$E$13+1,1))-AVERAGE(OFFSET($H$3,0,0,'Données projet'!$E$13+1,1))</f>
        <v>402.54350692668021</v>
      </c>
      <c r="CZ29" s="59">
        <f t="shared" si="42"/>
        <v>163.60655196884522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9.4</v>
      </c>
      <c r="DO29" s="12">
        <f>IF('Données projet'!$A$166&gt;35,DO28+DN29-DW28,IF(A29&lt;'Données projet'!$A$166,$DL$205^A29,IF(A29='Données projet'!$A$166,'Données projet'!$B$166,DO28+DN29-DW28)))</f>
        <v>78.399999999999991</v>
      </c>
      <c r="DP29" s="17">
        <f>DO29*VLOOKUP('Données projet'!$B$14,Paramètres!$A$1:$I$89,3,0)*VLOOKUP('Données projet'!$B$14,Paramètres!$A$1:$I$89,5,0)</f>
        <v>67.267200000000003</v>
      </c>
      <c r="DQ29" s="13">
        <f t="shared" si="43"/>
        <v>18.993242158132926</v>
      </c>
      <c r="DR29" s="20">
        <f t="shared" si="16"/>
        <v>150.23693675874819</v>
      </c>
      <c r="DS29" s="59">
        <f t="shared" si="17"/>
        <v>443.5702700920815</v>
      </c>
      <c r="DT29" s="59">
        <f ca="1">AVERAGE(OFFSET($DS$3,0,0,'Données projet'!$E$14+1,1))-AVERAGE(OFFSET($H$3,0,0,'Données projet'!$E$14+1,1))</f>
        <v>352.76625414822473</v>
      </c>
      <c r="DU29" s="59">
        <f t="shared" si="44"/>
        <v>186.48649111821521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7.3717948716666664</v>
      </c>
      <c r="EJ29" s="12">
        <f>IF('Données projet'!$A$192&gt;35,EJ28+EI29-ER28,IF(A29&lt;'Données projet'!$A$192,$EG$205^A29,IF(A29='Données projet'!$A$192,'Données projet'!$B$192,EJ28+EI29-ER28)))</f>
        <v>62.50000000166667</v>
      </c>
      <c r="EK29" s="17">
        <f>EJ29*VLOOKUP('Données projet'!$B$15,Paramètres!$A$1:$I$89,3,0)*VLOOKUP('Données projet'!$B$15,Paramètres!$A$1:$I$89,5,0)</f>
        <v>48.750000001300002</v>
      </c>
      <c r="EL29" s="13">
        <f t="shared" si="45"/>
        <v>14.290467584211772</v>
      </c>
      <c r="EM29" s="20">
        <f t="shared" si="19"/>
        <v>109.79548104476635</v>
      </c>
      <c r="EN29" s="59">
        <f t="shared" si="20"/>
        <v>403.12881437809966</v>
      </c>
      <c r="EO29" s="59">
        <f ca="1">AVERAGE(OFFSET($EN$3,0,0,'Données projet'!$E$15+1,1))-AVERAGE(OFFSET($H$3,0,0,'Données projet'!$E$15+1,1))</f>
        <v>130.66539383144681</v>
      </c>
      <c r="EP29" s="59">
        <f t="shared" si="46"/>
        <v>126.36398121441903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2.9235042736666665</v>
      </c>
      <c r="FE29" s="12">
        <f>IF('Données projet'!$A$218&gt;35,FE28+FD29-FM28,IF(A29&lt;'Données projet'!$A$218,$FB$205^A29,IF(A29='Données projet'!$A$218,'Données projet'!$B$218,FE28+FD29-FM28)))</f>
        <v>48.300874005334926</v>
      </c>
      <c r="FF29" s="17">
        <f>FE29*VLOOKUP('Données projet'!$B$16,Paramètres!$A$1:$I$89,3,0)*VLOOKUP('Données projet'!$B$16,Paramètres!$A$1:$I$89,5,0)</f>
        <v>46.71660533795994</v>
      </c>
      <c r="FG29" s="13">
        <f t="shared" si="47"/>
        <v>13.762485849511725</v>
      </c>
      <c r="FH29" s="20">
        <f t="shared" si="22"/>
        <v>105.33441715151315</v>
      </c>
      <c r="FI29" s="59">
        <f t="shared" si="23"/>
        <v>398.66775048484647</v>
      </c>
      <c r="FJ29" s="59">
        <f ca="1">AVERAGE(OFFSET($FI$3,0,0,'Données projet'!$E$16+1,1))-AVERAGE(OFFSET($H$3,0,0,'Données projet'!$E$16+1,1))</f>
        <v>380.43199889536805</v>
      </c>
      <c r="FK29" s="59">
        <f t="shared" si="48"/>
        <v>154.72646317672996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14.166666666666666</v>
      </c>
      <c r="N30" s="13">
        <f>IF('Données projet'!$A$36&gt;35,N29+M30-V29,IF(A30&lt;'Données projet'!$A$36,$K$205^A30,IF(A30='Données projet'!$A$36,'Données projet'!$B$36,N29+M30-V29)))</f>
        <v>181.49999999999997</v>
      </c>
      <c r="O30" s="13">
        <f>N30*VLOOKUP('Données projet'!$B$9,Paramètres!$A$1:$I$89,3,0)*VLOOKUP('Données projet'!$B$9,Paramètres!$A$1:$I$89,5,0)</f>
        <v>113.25599999999997</v>
      </c>
      <c r="P30" s="13">
        <f t="shared" si="33"/>
        <v>30.096816336106439</v>
      </c>
      <c r="Q30" s="20">
        <f t="shared" si="2"/>
        <v>249.67282178538531</v>
      </c>
      <c r="R30" s="59">
        <f t="shared" si="0"/>
        <v>543.00615511871865</v>
      </c>
      <c r="S30" s="59">
        <f ca="1">AVERAGE(OFFSET($R$3,0,0,'Données projet'!$E$9+1,1))-AVERAGE(OFFSET($H$3,0,0,'Données projet'!$E$9+1,1))</f>
        <v>179.44051550872138</v>
      </c>
      <c r="T30" s="59">
        <f t="shared" si="34"/>
        <v>272.9500808380069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24.092790930555001</v>
      </c>
      <c r="AB30" s="21">
        <f>EXP(-LN(2)/2)*AB29+(1-EXP(-LN(2)/2))/(LN(2)/2)*V30*Y30*VLOOKUP('Données projet'!$B$9,Paramètres!$A$1:$I$89,3,0)*0.475*44/12</f>
        <v>0.62447512565832353</v>
      </c>
      <c r="AC30" s="22">
        <f t="shared" si="3"/>
        <v>24.717266056213326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1.9958974359999999</v>
      </c>
      <c r="AI30" s="13">
        <f>IF('Données projet'!$A$62&gt;35,AI29+AH30-AQ29,IF(A30&lt;'Données projet'!$A$62,$AF$205^A30,IF(A30='Données projet'!$A$62,'Données projet'!$B$62,AI29+AH30-AQ29)))</f>
        <v>39.767979611870715</v>
      </c>
      <c r="AJ30" s="13">
        <f>AI30*VLOOKUP('Données projet'!$B$10,Paramètres!$A$1:$I$89,3,0)*VLOOKUP('Données projet'!$B$10,Paramètres!$A$1:$I$89,5,0)</f>
        <v>19.128398193309813</v>
      </c>
      <c r="AK30" s="13">
        <f t="shared" si="35"/>
        <v>6.2523499691287139</v>
      </c>
      <c r="AL30" s="20">
        <f t="shared" si="4"/>
        <v>44.204803049580441</v>
      </c>
      <c r="AM30" s="59">
        <f t="shared" si="5"/>
        <v>337.53813638291376</v>
      </c>
      <c r="AN30" s="59">
        <f ca="1">AVERAGE(OFFSET($AM$3,0,0,'Données projet'!$E$10+1,1))-AVERAGE(OFFSET($H$3,0,0,'Données projet'!$E$10+1,1))</f>
        <v>174.18188687702559</v>
      </c>
      <c r="AO30" s="59">
        <f t="shared" si="36"/>
        <v>32.17353897322738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28.819999999999993</v>
      </c>
      <c r="BD30" s="12">
        <f>IF('Données projet'!$A$88&gt;35,BD29+BC30-BL29,IF(A30&lt;'Données projet'!$A$88,$BA$205^A30,IF(A30='Données projet'!$A$88,'Données projet'!$B$88,BD29+BC30-BL29)))</f>
        <v>324.23</v>
      </c>
      <c r="BE30" s="13">
        <f>BD30*VLOOKUP('Données projet'!$B$11,Paramètres!$A$1:$I$89,3,0)*VLOOKUP('Données projet'!$B$11,Paramètres!$A$1:$I$89,5,0)</f>
        <v>181.24457000000001</v>
      </c>
      <c r="BF30" s="13">
        <f t="shared" si="37"/>
        <v>45.598968922238527</v>
      </c>
      <c r="BG30" s="20">
        <f t="shared" si="7"/>
        <v>395.08583028956542</v>
      </c>
      <c r="BH30" s="59">
        <f t="shared" si="8"/>
        <v>688.41916362289874</v>
      </c>
      <c r="BI30" s="59">
        <f ca="1">AVERAGE(OFFSET($BH$3,0,0,'Données projet'!$E$11+1,1))-AVERAGE(OFFSET($H$3,0,0,'Données projet'!$E$11+1,1))</f>
        <v>350.01600895263641</v>
      </c>
      <c r="BJ30" s="59">
        <f t="shared" si="38"/>
        <v>464.08921044376882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19.210758561661205</v>
      </c>
      <c r="BR30" s="21">
        <f>EXP(-LN(2)/2)*BR29+(1-EXP(-LN(2)/2))/(LN(2)/2)*BL30*BO30*VLOOKUP('Données projet'!$B$11,Paramètres!$A$1:$I$89,3,0)*0.475*44/12</f>
        <v>2.0928112945578095</v>
      </c>
      <c r="BS30" s="22">
        <f t="shared" si="9"/>
        <v>21.303569856219013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529.38977643813018</v>
      </c>
      <c r="CD30" s="59">
        <f ca="1">AVERAGE(OFFSET($CC$3,0,0,'Données projet'!$E$12+1,1))-AVERAGE(OFFSET($H$3,0,0,'Données projet'!$E$12+1,1))</f>
        <v>279.49721661620544</v>
      </c>
      <c r="CE30" s="59">
        <f t="shared" si="40"/>
        <v>275.18739333988754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2.9235042736666665</v>
      </c>
      <c r="CT30" s="12">
        <f>IF('Données projet'!$A$140&gt;35,CT29+CS30-DB29,IF(A30&lt;'Données projet'!$A$140,$CQ$205^A30,IF(A30='Données projet'!$A$140,'Données projet'!$B$140,CT29+CS30-DB29)))</f>
        <v>56.068958497013391</v>
      </c>
      <c r="CU30" s="17">
        <f>CT30*VLOOKUP('Données projet'!$B$13,Paramètres!$A$1:$I$89,3,0)*VLOOKUP('Données projet'!$B$13,Paramètres!$A$1:$I$89,5,0)</f>
        <v>56.853923915971578</v>
      </c>
      <c r="CV30" s="13">
        <f t="shared" si="41"/>
        <v>16.37036614786614</v>
      </c>
      <c r="CW30" s="20">
        <f t="shared" si="13"/>
        <v>127.53230519451735</v>
      </c>
      <c r="CX30" s="59">
        <f t="shared" si="14"/>
        <v>420.86563852785065</v>
      </c>
      <c r="CY30" s="59">
        <f ca="1">AVERAGE(OFFSET($CX$3,0,0,'Données projet'!$E$13+1,1))-AVERAGE(OFFSET($H$3,0,0,'Données projet'!$E$13+1,1))</f>
        <v>402.54350692668021</v>
      </c>
      <c r="CZ30" s="59">
        <f t="shared" si="42"/>
        <v>163.60655196884522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9.4</v>
      </c>
      <c r="DO30" s="12">
        <f>IF('Données projet'!$A$166&gt;35,DO29+DN30-DW29,IF(A30&lt;'Données projet'!$A$166,$DL$205^A30,IF(A30='Données projet'!$A$166,'Données projet'!$B$166,DO29+DN30-DW29)))</f>
        <v>87.8</v>
      </c>
      <c r="DP30" s="17">
        <f>DO30*VLOOKUP('Données projet'!$B$14,Paramètres!$A$1:$I$89,3,0)*VLOOKUP('Données projet'!$B$14,Paramètres!$A$1:$I$89,5,0)</f>
        <v>75.332400000000007</v>
      </c>
      <c r="DQ30" s="13">
        <f t="shared" si="43"/>
        <v>20.991969498724234</v>
      </c>
      <c r="DR30" s="20">
        <f t="shared" si="16"/>
        <v>167.76494354361137</v>
      </c>
      <c r="DS30" s="59">
        <f t="shared" si="17"/>
        <v>461.09827687694468</v>
      </c>
      <c r="DT30" s="59">
        <f ca="1">AVERAGE(OFFSET($DS$3,0,0,'Données projet'!$E$14+1,1))-AVERAGE(OFFSET($H$3,0,0,'Données projet'!$E$14+1,1))</f>
        <v>352.76625414822473</v>
      </c>
      <c r="DU30" s="59">
        <f t="shared" si="44"/>
        <v>186.48649111821521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7.3717948716666664</v>
      </c>
      <c r="EJ30" s="12">
        <f>IF('Données projet'!$A$192&gt;35,EJ29+EI30-ER29,IF(A30&lt;'Données projet'!$A$192,$EG$205^A30,IF(A30='Données projet'!$A$192,'Données projet'!$B$192,EJ29+EI30-ER29)))</f>
        <v>69.871794873333343</v>
      </c>
      <c r="EK30" s="17">
        <f>EJ30*VLOOKUP('Données projet'!$B$15,Paramètres!$A$1:$I$89,3,0)*VLOOKUP('Données projet'!$B$15,Paramètres!$A$1:$I$89,5,0)</f>
        <v>54.500000001200007</v>
      </c>
      <c r="EL30" s="13">
        <f t="shared" si="45"/>
        <v>15.770011654655841</v>
      </c>
      <c r="EM30" s="20">
        <f t="shared" si="19"/>
        <v>122.38693696728227</v>
      </c>
      <c r="EN30" s="59">
        <f t="shared" si="20"/>
        <v>415.7202703006156</v>
      </c>
      <c r="EO30" s="59">
        <f ca="1">AVERAGE(OFFSET($EN$3,0,0,'Données projet'!$E$15+1,1))-AVERAGE(OFFSET($H$3,0,0,'Données projet'!$E$15+1,1))</f>
        <v>130.66539383144681</v>
      </c>
      <c r="EP30" s="59">
        <f t="shared" si="46"/>
        <v>126.36398121441903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2.9235042736666665</v>
      </c>
      <c r="FE30" s="12">
        <f>IF('Données projet'!$A$218&gt;35,FE29+FD30-FM29,IF(A30&lt;'Données projet'!$A$218,$FB$205^A30,IF(A30='Données projet'!$A$218,'Données projet'!$B$218,FE29+FD30-FM29)))</f>
        <v>56.068958497013391</v>
      </c>
      <c r="FF30" s="17">
        <f>FE30*VLOOKUP('Données projet'!$B$16,Paramètres!$A$1:$I$89,3,0)*VLOOKUP('Données projet'!$B$16,Paramètres!$A$1:$I$89,5,0)</f>
        <v>54.229896658311347</v>
      </c>
      <c r="FG30" s="13">
        <f t="shared" si="47"/>
        <v>15.700932556345959</v>
      </c>
      <c r="FH30" s="20">
        <f t="shared" si="22"/>
        <v>121.79619421552813</v>
      </c>
      <c r="FI30" s="59">
        <f t="shared" si="23"/>
        <v>415.12952754886146</v>
      </c>
      <c r="FJ30" s="59">
        <f ca="1">AVERAGE(OFFSET($FI$3,0,0,'Données projet'!$E$16+1,1))-AVERAGE(OFFSET($H$3,0,0,'Données projet'!$E$16+1,1))</f>
        <v>380.43199889536805</v>
      </c>
      <c r="FK30" s="59">
        <f t="shared" si="48"/>
        <v>154.72646317672996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14.166666666666666</v>
      </c>
      <c r="N31" s="13">
        <f>IF('Données projet'!$A$36&gt;35,N30+M31-V30,IF(A31&lt;'Données projet'!$A$36,$K$205^A31,IF(A31='Données projet'!$A$36,'Données projet'!$B$36,N30+M31-V30)))</f>
        <v>195.66666666666663</v>
      </c>
      <c r="O31" s="13">
        <f>N31*VLOOKUP('Données projet'!$B$9,Paramètres!$A$1:$I$89,3,0)*VLOOKUP('Données projet'!$B$9,Paramètres!$A$1:$I$89,5,0)</f>
        <v>122.09599999999998</v>
      </c>
      <c r="P31" s="13">
        <f t="shared" si="33"/>
        <v>32.163363121463028</v>
      </c>
      <c r="Q31" s="20">
        <f t="shared" si="2"/>
        <v>268.6683907698814</v>
      </c>
      <c r="R31" s="59">
        <f t="shared" si="0"/>
        <v>562.00172410321466</v>
      </c>
      <c r="S31" s="59">
        <f ca="1">AVERAGE(OFFSET($R$3,0,0,'Données projet'!$E$9+1,1))-AVERAGE(OFFSET($H$3,0,0,'Données projet'!$E$9+1,1))</f>
        <v>179.44051550872138</v>
      </c>
      <c r="T31" s="59">
        <f t="shared" si="34"/>
        <v>272.9500808380069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23.433972295574165</v>
      </c>
      <c r="AB31" s="21">
        <f>EXP(-LN(2)/2)*AB30+(1-EXP(-LN(2)/2))/(LN(2)/2)*V31*Y31*VLOOKUP('Données projet'!$B$9,Paramètres!$A$1:$I$89,3,0)*0.475*44/12</f>
        <v>0.44157059603532195</v>
      </c>
      <c r="AC31" s="22">
        <f t="shared" si="3"/>
        <v>23.875542891609488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1.9958974359999999</v>
      </c>
      <c r="AI31" s="13">
        <f>IF('Données projet'!$A$62&gt;35,AI30+AH31-AQ30,IF(A31&lt;'Données projet'!$A$62,$AF$205^A31,IF(A31='Données projet'!$A$62,'Données projet'!$B$62,AI30+AH31-AQ30)))</f>
        <v>45.580124801857231</v>
      </c>
      <c r="AJ31" s="13">
        <f>AI31*VLOOKUP('Données projet'!$B$10,Paramètres!$A$1:$I$89,3,0)*VLOOKUP('Données projet'!$B$10,Paramètres!$A$1:$I$89,5,0)</f>
        <v>21.924040029693327</v>
      </c>
      <c r="AK31" s="13">
        <f t="shared" si="35"/>
        <v>7.0532535312958844</v>
      </c>
      <c r="AL31" s="20">
        <f t="shared" si="4"/>
        <v>50.468786285389541</v>
      </c>
      <c r="AM31" s="59">
        <f t="shared" si="5"/>
        <v>343.80211961872283</v>
      </c>
      <c r="AN31" s="59">
        <f ca="1">AVERAGE(OFFSET($AM$3,0,0,'Données projet'!$E$10+1,1))-AVERAGE(OFFSET($H$3,0,0,'Données projet'!$E$10+1,1))</f>
        <v>174.18188687702559</v>
      </c>
      <c r="AO31" s="59">
        <f t="shared" si="36"/>
        <v>32.17353897322738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28.819999999999993</v>
      </c>
      <c r="BD31" s="12">
        <f>IF('Données projet'!$A$88&gt;35,BD30+BC31-BL30,IF(A31&lt;'Données projet'!$A$88,$BA$205^A31,IF(A31='Données projet'!$A$88,'Données projet'!$B$88,BD30+BC31-BL30)))</f>
        <v>353.05</v>
      </c>
      <c r="BE31" s="13">
        <f>BD31*VLOOKUP('Données projet'!$B$11,Paramètres!$A$1:$I$89,3,0)*VLOOKUP('Données projet'!$B$11,Paramètres!$A$1:$I$89,5,0)</f>
        <v>197.35495</v>
      </c>
      <c r="BF31" s="13">
        <f t="shared" si="37"/>
        <v>49.162416141827357</v>
      </c>
      <c r="BG31" s="20">
        <f t="shared" si="7"/>
        <v>429.35107936368263</v>
      </c>
      <c r="BH31" s="59">
        <f t="shared" si="8"/>
        <v>722.68441269701589</v>
      </c>
      <c r="BI31" s="59">
        <f ca="1">AVERAGE(OFFSET($BH$3,0,0,'Données projet'!$E$11+1,1))-AVERAGE(OFFSET($H$3,0,0,'Données projet'!$E$11+1,1))</f>
        <v>350.01600895263641</v>
      </c>
      <c r="BJ31" s="59">
        <f t="shared" si="38"/>
        <v>464.08921044376882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18.685439358542695</v>
      </c>
      <c r="BR31" s="21">
        <f>EXP(-LN(2)/2)*BR30+(1-EXP(-LN(2)/2))/(LN(2)/2)*BL31*BO31*VLOOKUP('Données projet'!$B$11,Paramètres!$A$1:$I$89,3,0)*0.475*44/12</f>
        <v>1.4798410581256243</v>
      </c>
      <c r="BS31" s="22">
        <f t="shared" si="9"/>
        <v>20.16528041666832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553.69000174719076</v>
      </c>
      <c r="CD31" s="59">
        <f ca="1">AVERAGE(OFFSET($CC$3,0,0,'Données projet'!$E$12+1,1))-AVERAGE(OFFSET($H$3,0,0,'Données projet'!$E$12+1,1))</f>
        <v>279.49721661620544</v>
      </c>
      <c r="CE31" s="59">
        <f t="shared" si="40"/>
        <v>275.18739333988754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2.9235042736666665</v>
      </c>
      <c r="CT31" s="12">
        <f>IF('Données projet'!$A$140&gt;35,CT30+CS31-DB30,IF(A31&lt;'Données projet'!$A$140,$CQ$205^A31,IF(A31='Données projet'!$A$140,'Données projet'!$B$140,CT30+CS31-DB30)))</f>
        <v>65.086360685576395</v>
      </c>
      <c r="CU31" s="17">
        <f>CT31*VLOOKUP('Données projet'!$B$13,Paramètres!$A$1:$I$89,3,0)*VLOOKUP('Données projet'!$B$13,Paramètres!$A$1:$I$89,5,0)</f>
        <v>65.997569735174466</v>
      </c>
      <c r="CV31" s="13">
        <f t="shared" si="41"/>
        <v>18.676132903668314</v>
      </c>
      <c r="CW31" s="20">
        <f t="shared" si="13"/>
        <v>147.47336542931785</v>
      </c>
      <c r="CX31" s="59">
        <f t="shared" si="14"/>
        <v>440.80669876265119</v>
      </c>
      <c r="CY31" s="59">
        <f ca="1">AVERAGE(OFFSET($CX$3,0,0,'Données projet'!$E$13+1,1))-AVERAGE(OFFSET($H$3,0,0,'Données projet'!$E$13+1,1))</f>
        <v>402.54350692668021</v>
      </c>
      <c r="CZ31" s="59">
        <f t="shared" si="42"/>
        <v>163.60655196884522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9.4</v>
      </c>
      <c r="DO31" s="12">
        <f>IF('Données projet'!$A$166&gt;35,DO30+DN31-DW30,IF(A31&lt;'Données projet'!$A$166,$DL$205^A31,IF(A31='Données projet'!$A$166,'Données projet'!$B$166,DO30+DN31-DW30)))</f>
        <v>97.2</v>
      </c>
      <c r="DP31" s="17">
        <f>DO31*VLOOKUP('Données projet'!$B$14,Paramètres!$A$1:$I$89,3,0)*VLOOKUP('Données projet'!$B$14,Paramètres!$A$1:$I$89,5,0)</f>
        <v>83.397600000000011</v>
      </c>
      <c r="DQ31" s="13">
        <f t="shared" si="43"/>
        <v>22.965893371329315</v>
      </c>
      <c r="DR31" s="20">
        <f t="shared" si="16"/>
        <v>185.24975095506522</v>
      </c>
      <c r="DS31" s="59">
        <f t="shared" si="17"/>
        <v>478.58308428839854</v>
      </c>
      <c r="DT31" s="59">
        <f ca="1">AVERAGE(OFFSET($DS$3,0,0,'Données projet'!$E$14+1,1))-AVERAGE(OFFSET($H$3,0,0,'Données projet'!$E$14+1,1))</f>
        <v>352.76625414822473</v>
      </c>
      <c r="DU31" s="59">
        <f t="shared" si="44"/>
        <v>186.48649111821521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7.3717948716666664</v>
      </c>
      <c r="EJ31" s="12">
        <f>IF('Données projet'!$A$192&gt;35,EJ30+EI31-ER30,IF(A31&lt;'Données projet'!$A$192,$EG$205^A31,IF(A31='Données projet'!$A$192,'Données projet'!$B$192,EJ30+EI31-ER30)))</f>
        <v>77.243589745000008</v>
      </c>
      <c r="EK31" s="17">
        <f>EJ31*VLOOKUP('Données projet'!$B$15,Paramètres!$A$1:$I$89,3,0)*VLOOKUP('Données projet'!$B$15,Paramètres!$A$1:$I$89,5,0)</f>
        <v>60.250000001100005</v>
      </c>
      <c r="EL31" s="13">
        <f t="shared" si="45"/>
        <v>17.231461552335357</v>
      </c>
      <c r="EM31" s="20">
        <f t="shared" si="19"/>
        <v>134.94687887223327</v>
      </c>
      <c r="EN31" s="59">
        <f t="shared" si="20"/>
        <v>428.28021220556661</v>
      </c>
      <c r="EO31" s="59">
        <f ca="1">AVERAGE(OFFSET($EN$3,0,0,'Données projet'!$E$15+1,1))-AVERAGE(OFFSET($H$3,0,0,'Données projet'!$E$15+1,1))</f>
        <v>130.66539383144681</v>
      </c>
      <c r="EP31" s="59">
        <f t="shared" si="46"/>
        <v>126.36398121441903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2.9235042736666665</v>
      </c>
      <c r="FE31" s="12">
        <f>IF('Données projet'!$A$218&gt;35,FE30+FD31-FM30,IF(A31&lt;'Données projet'!$A$218,$FB$205^A31,IF(A31='Données projet'!$A$218,'Données projet'!$B$218,FE30+FD31-FM30)))</f>
        <v>65.086360685576395</v>
      </c>
      <c r="FF31" s="17">
        <f>FE31*VLOOKUP('Données projet'!$B$16,Paramètres!$A$1:$I$89,3,0)*VLOOKUP('Données projet'!$B$16,Paramètres!$A$1:$I$89,5,0)</f>
        <v>62.95152805508949</v>
      </c>
      <c r="FG31" s="13">
        <f t="shared" si="47"/>
        <v>17.912409562816791</v>
      </c>
      <c r="FH31" s="20">
        <f t="shared" si="22"/>
        <v>140.83802468452009</v>
      </c>
      <c r="FI31" s="59">
        <f t="shared" si="23"/>
        <v>434.17135801785344</v>
      </c>
      <c r="FJ31" s="59">
        <f ca="1">AVERAGE(OFFSET($FI$3,0,0,'Données projet'!$E$16+1,1))-AVERAGE(OFFSET($H$3,0,0,'Données projet'!$E$16+1,1))</f>
        <v>380.43199889536805</v>
      </c>
      <c r="FK31" s="59">
        <f t="shared" si="48"/>
        <v>154.72646317672996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14.166666666666666</v>
      </c>
      <c r="N32" s="13">
        <f>IF('Données projet'!$A$36&gt;35,N31+M32-V31,IF(A32&lt;'Données projet'!$A$36,$K$205^A32,IF(A32='Données projet'!$A$36,'Données projet'!$B$36,N31+M32-V31)))</f>
        <v>209.83333333333329</v>
      </c>
      <c r="O32" s="13">
        <f>N32*VLOOKUP('Données projet'!$B$9,Paramètres!$A$1:$I$89,3,0)*VLOOKUP('Données projet'!$B$9,Paramètres!$A$1:$I$89,5,0)</f>
        <v>130.93599999999998</v>
      </c>
      <c r="P32" s="13">
        <f t="shared" si="33"/>
        <v>34.21255106176632</v>
      </c>
      <c r="Q32" s="20">
        <f t="shared" si="2"/>
        <v>287.63372643257628</v>
      </c>
      <c r="R32" s="59">
        <f t="shared" si="0"/>
        <v>580.96705976590965</v>
      </c>
      <c r="S32" s="59">
        <f ca="1">AVERAGE(OFFSET($R$3,0,0,'Données projet'!$E$9+1,1))-AVERAGE(OFFSET($H$3,0,0,'Données projet'!$E$9+1,1))</f>
        <v>179.44051550872138</v>
      </c>
      <c r="T32" s="59">
        <f t="shared" si="34"/>
        <v>272.9500808380069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22.793169090812647</v>
      </c>
      <c r="AB32" s="21">
        <f>EXP(-LN(2)/2)*AB31+(1-EXP(-LN(2)/2))/(LN(2)/2)*V32*Y32*VLOOKUP('Données projet'!$B$9,Paramètres!$A$1:$I$89,3,0)*0.475*44/12</f>
        <v>0.31223756282916176</v>
      </c>
      <c r="AC32" s="22">
        <f t="shared" si="3"/>
        <v>23.105406653641808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1.9958974359999999</v>
      </c>
      <c r="AI32" s="13">
        <f>IF('Données projet'!$A$62&gt;35,AI31+AH32-AQ31,IF(A32&lt;'Données projet'!$A$62,$AF$205^A32,IF(A32='Données projet'!$A$62,'Données projet'!$B$62,AI31+AH32-AQ31)))</f>
        <v>52.241723045259612</v>
      </c>
      <c r="AJ32" s="13">
        <f>AI32*VLOOKUP('Données projet'!$B$10,Paramètres!$A$1:$I$89,3,0)*VLOOKUP('Données projet'!$B$10,Paramètres!$A$1:$I$89,5,0)</f>
        <v>25.128268784769872</v>
      </c>
      <c r="AK32" s="13">
        <f t="shared" si="35"/>
        <v>7.9567499615941069</v>
      </c>
      <c r="AL32" s="20">
        <f t="shared" si="4"/>
        <v>57.623074316583931</v>
      </c>
      <c r="AM32" s="59">
        <f t="shared" si="5"/>
        <v>350.95640764991725</v>
      </c>
      <c r="AN32" s="59">
        <f ca="1">AVERAGE(OFFSET($AM$3,0,0,'Données projet'!$E$10+1,1))-AVERAGE(OFFSET($H$3,0,0,'Données projet'!$E$10+1,1))</f>
        <v>174.18188687702559</v>
      </c>
      <c r="AO32" s="59">
        <f t="shared" si="36"/>
        <v>32.17353897322738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28.819999999999993</v>
      </c>
      <c r="BD32" s="12">
        <f>IF('Données projet'!$A$88&gt;35,BD31+BC32-BL31,IF(A32&lt;'Données projet'!$A$88,$BA$205^A32,IF(A32='Données projet'!$A$88,'Données projet'!$B$88,BD31+BC32-BL31)))</f>
        <v>381.87</v>
      </c>
      <c r="BE32" s="13">
        <f>BD32*VLOOKUP('Données projet'!$B$11,Paramètres!$A$1:$I$89,3,0)*VLOOKUP('Données projet'!$B$11,Paramètres!$A$1:$I$89,5,0)</f>
        <v>213.46533000000002</v>
      </c>
      <c r="BF32" s="13">
        <f t="shared" si="37"/>
        <v>52.692124649376929</v>
      </c>
      <c r="BG32" s="20">
        <f t="shared" si="7"/>
        <v>463.55756684766487</v>
      </c>
      <c r="BH32" s="59">
        <f t="shared" si="8"/>
        <v>756.89090018099819</v>
      </c>
      <c r="BI32" s="59">
        <f ca="1">AVERAGE(OFFSET($BH$3,0,0,'Données projet'!$E$11+1,1))-AVERAGE(OFFSET($H$3,0,0,'Données projet'!$E$11+1,1))</f>
        <v>350.01600895263641</v>
      </c>
      <c r="BJ32" s="59">
        <f t="shared" si="38"/>
        <v>464.08921044376882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18.174485036658794</v>
      </c>
      <c r="BR32" s="21">
        <f>EXP(-LN(2)/2)*BR31+(1-EXP(-LN(2)/2))/(LN(2)/2)*BL32*BO32*VLOOKUP('Données projet'!$B$11,Paramètres!$A$1:$I$89,3,0)*0.475*44/12</f>
        <v>1.0464056472789047</v>
      </c>
      <c r="BS32" s="22">
        <f t="shared" si="9"/>
        <v>19.2208906839377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577.93900019122043</v>
      </c>
      <c r="CD32" s="59">
        <f ca="1">AVERAGE(OFFSET($CC$3,0,0,'Données projet'!$E$12+1,1))-AVERAGE(OFFSET($H$3,0,0,'Données projet'!$E$12+1,1))</f>
        <v>279.49721661620544</v>
      </c>
      <c r="CE32" s="59">
        <f t="shared" si="40"/>
        <v>275.18739333988754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2.9235042736666665</v>
      </c>
      <c r="CT32" s="12">
        <f>IF('Données projet'!$A$140&gt;35,CT31+CS32-DB31,IF(A32&lt;'Données projet'!$A$140,$CQ$205^A32,IF(A32='Données projet'!$A$140,'Données projet'!$B$140,CT31+CS32-DB31)))</f>
        <v>75.554004583812542</v>
      </c>
      <c r="CU32" s="17">
        <f>CT32*VLOOKUP('Données projet'!$B$13,Paramètres!$A$1:$I$89,3,0)*VLOOKUP('Données projet'!$B$13,Paramètres!$A$1:$I$89,5,0)</f>
        <v>76.611760647985932</v>
      </c>
      <c r="CV32" s="13">
        <f t="shared" si="41"/>
        <v>21.306667003349062</v>
      </c>
      <c r="CW32" s="20">
        <f t="shared" si="13"/>
        <v>170.54126149274177</v>
      </c>
      <c r="CX32" s="59">
        <f t="shared" si="14"/>
        <v>463.87459482607505</v>
      </c>
      <c r="CY32" s="59">
        <f ca="1">AVERAGE(OFFSET($CX$3,0,0,'Données projet'!$E$13+1,1))-AVERAGE(OFFSET($H$3,0,0,'Données projet'!$E$13+1,1))</f>
        <v>402.54350692668021</v>
      </c>
      <c r="CZ32" s="59">
        <f t="shared" si="42"/>
        <v>163.60655196884522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9.4</v>
      </c>
      <c r="DO32" s="12">
        <f>IF('Données projet'!$A$166&gt;35,DO31+DN32-DW31,IF(A32&lt;'Données projet'!$A$166,$DL$205^A32,IF(A32='Données projet'!$A$166,'Données projet'!$B$166,DO31+DN32-DW31)))</f>
        <v>106.60000000000001</v>
      </c>
      <c r="DP32" s="17">
        <f>DO32*VLOOKUP('Données projet'!$B$14,Paramètres!$A$1:$I$89,3,0)*VLOOKUP('Données projet'!$B$14,Paramètres!$A$1:$I$89,5,0)</f>
        <v>91.462800000000016</v>
      </c>
      <c r="DQ32" s="13">
        <f t="shared" si="43"/>
        <v>24.917685409456144</v>
      </c>
      <c r="DR32" s="20">
        <f t="shared" si="16"/>
        <v>202.69601208813614</v>
      </c>
      <c r="DS32" s="59">
        <f t="shared" si="17"/>
        <v>496.02934542146943</v>
      </c>
      <c r="DT32" s="59">
        <f ca="1">AVERAGE(OFFSET($DS$3,0,0,'Données projet'!$E$14+1,1))-AVERAGE(OFFSET($H$3,0,0,'Données projet'!$E$14+1,1))</f>
        <v>352.76625414822473</v>
      </c>
      <c r="DU32" s="59">
        <f t="shared" si="44"/>
        <v>186.48649111821521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7.3717948716666664</v>
      </c>
      <c r="EJ32" s="12">
        <f>IF('Données projet'!$A$192&gt;35,EJ31+EI32-ER31,IF(A32&lt;'Données projet'!$A$192,$EG$205^A32,IF(A32='Données projet'!$A$192,'Données projet'!$B$192,EJ31+EI32-ER31)))</f>
        <v>84.615384616666674</v>
      </c>
      <c r="EK32" s="17">
        <f>EJ32*VLOOKUP('Données projet'!$B$15,Paramètres!$A$1:$I$89,3,0)*VLOOKUP('Données projet'!$B$15,Paramètres!$A$1:$I$89,5,0)</f>
        <v>66.000000001000004</v>
      </c>
      <c r="EL32" s="13">
        <f t="shared" si="45"/>
        <v>18.676740573349772</v>
      </c>
      <c r="EM32" s="20">
        <f t="shared" si="19"/>
        <v>147.47865650032585</v>
      </c>
      <c r="EN32" s="59">
        <f t="shared" si="20"/>
        <v>440.81198983365914</v>
      </c>
      <c r="EO32" s="59">
        <f ca="1">AVERAGE(OFFSET($EN$3,0,0,'Données projet'!$E$15+1,1))-AVERAGE(OFFSET($H$3,0,0,'Données projet'!$E$15+1,1))</f>
        <v>130.66539383144681</v>
      </c>
      <c r="EP32" s="59">
        <f t="shared" si="46"/>
        <v>126.36398121441903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2.9235042736666665</v>
      </c>
      <c r="FE32" s="12">
        <f>IF('Données projet'!$A$218&gt;35,FE31+FD32-FM31,IF(A32&lt;'Données projet'!$A$218,$FB$205^A32,IF(A32='Données projet'!$A$218,'Données projet'!$B$218,FE31+FD32-FM31)))</f>
        <v>75.554004583812542</v>
      </c>
      <c r="FF32" s="17">
        <f>FE32*VLOOKUP('Données projet'!$B$16,Paramètres!$A$1:$I$89,3,0)*VLOOKUP('Données projet'!$B$16,Paramètres!$A$1:$I$89,5,0)</f>
        <v>73.075833233463499</v>
      </c>
      <c r="FG32" s="13">
        <f t="shared" si="47"/>
        <v>20.435373198033922</v>
      </c>
      <c r="FH32" s="20">
        <f t="shared" si="22"/>
        <v>162.86535120152465</v>
      </c>
      <c r="FI32" s="59">
        <f t="shared" si="23"/>
        <v>456.19868453485799</v>
      </c>
      <c r="FJ32" s="59">
        <f ca="1">AVERAGE(OFFSET($FI$3,0,0,'Données projet'!$E$16+1,1))-AVERAGE(OFFSET($H$3,0,0,'Données projet'!$E$16+1,1))</f>
        <v>380.43199889536805</v>
      </c>
      <c r="FK32" s="59">
        <f t="shared" si="48"/>
        <v>154.72646317672996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224</v>
      </c>
      <c r="L33" s="12">
        <f>VLOOKUP(A33,'Données projet'!$A$35:$I$55,9,0)</f>
        <v>14.166666666666666</v>
      </c>
      <c r="M33" s="12">
        <f t="array" ref="M33">INDEX(L:L,MIN(IF(ISNUMBER(L33:L229),ROW(L33:L229),"")))</f>
        <v>14.166666666666666</v>
      </c>
      <c r="N33" s="13">
        <f>IF('Données projet'!$A$36&gt;35,N32+M33-V32,IF(A33&lt;'Données projet'!$A$36,$K$205^A33,IF(A33='Données projet'!$A$36,'Données projet'!$B$36,N32+M33-V32)))</f>
        <v>223.99999999999994</v>
      </c>
      <c r="O33" s="13">
        <f>N33*VLOOKUP('Données projet'!$B$9,Paramètres!$A$1:$I$89,3,0)*VLOOKUP('Données projet'!$B$9,Paramètres!$A$1:$I$89,5,0)</f>
        <v>139.77599999999995</v>
      </c>
      <c r="P33" s="13">
        <f t="shared" si="33"/>
        <v>36.245685459195258</v>
      </c>
      <c r="Q33" s="20">
        <f t="shared" si="2"/>
        <v>306.57110217476503</v>
      </c>
      <c r="R33" s="59">
        <f t="shared" si="0"/>
        <v>599.90443550809835</v>
      </c>
      <c r="S33" s="59">
        <f ca="1">AVERAGE(OFFSET($R$3,0,0,'Données projet'!$E$9+1,1))-AVERAGE(OFFSET($H$3,0,0,'Données projet'!$E$9+1,1))</f>
        <v>179.44051550872138</v>
      </c>
      <c r="T33" s="59">
        <f t="shared" si="34"/>
        <v>272.9500808380069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0.6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48.389527687274949</v>
      </c>
      <c r="AB33" s="21">
        <f>EXP(-LN(2)/2)*AB32+(1-EXP(-LN(2)/2))/(LN(2)/2)*V33*Y33*VLOOKUP('Données projet'!$B$9,Paramètres!$A$1:$I$89,3,0)*0.475*44/12</f>
        <v>0.22078529801766097</v>
      </c>
      <c r="AC33" s="22">
        <f t="shared" si="3"/>
        <v>48.610312985292609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59.876923079999997</v>
      </c>
      <c r="AG33" s="12">
        <f>VLOOKUP(A33,'Données projet'!$A$61:$I$81,9,0)</f>
        <v>1.9958974359999999</v>
      </c>
      <c r="AH33" s="12">
        <f t="array" ref="AH33">INDEX(AG:AG,MIN(IF(ISNUMBER(AG33:AG229),ROW(AG33:AG229),"")))</f>
        <v>1.9958974359999999</v>
      </c>
      <c r="AI33" s="13">
        <f>IF('Données projet'!$A$62&gt;35,AI32+AH33-AQ32,IF(A33&lt;'Données projet'!$A$62,$AF$205^A33,IF(A33='Données projet'!$A$62,'Données projet'!$B$62,AI32+AH33-AQ32)))</f>
        <v>59.876923079999997</v>
      </c>
      <c r="AJ33" s="13">
        <f>AI33*VLOOKUP('Données projet'!$B$10,Paramètres!$A$1:$I$89,3,0)*VLOOKUP('Données projet'!$B$10,Paramètres!$A$1:$I$89,5,0)</f>
        <v>28.800800001479999</v>
      </c>
      <c r="AK33" s="13">
        <f t="shared" si="35"/>
        <v>8.9759810377461324</v>
      </c>
      <c r="AL33" s="20">
        <f t="shared" si="4"/>
        <v>65.794560309985513</v>
      </c>
      <c r="AM33" s="59">
        <f t="shared" si="5"/>
        <v>359.12789364331883</v>
      </c>
      <c r="AN33" s="59">
        <f ca="1">AVERAGE(OFFSET($AM$3,0,0,'Données projet'!$E$10+1,1))-AVERAGE(OFFSET($H$3,0,0,'Données projet'!$E$10+1,1))</f>
        <v>174.18188687702559</v>
      </c>
      <c r="AO33" s="59">
        <f t="shared" si="36"/>
        <v>32.17353897322738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410.69</v>
      </c>
      <c r="BB33" s="12">
        <f>VLOOKUP(A33,'Données projet'!$A$87:$I$107,9,0)</f>
        <v>28.819999999999993</v>
      </c>
      <c r="BC33" s="12">
        <f t="array" ref="BC33">INDEX(BB:BB,MIN(IF(ISNUMBER(BB33:BB229),ROW(BB33:BB229),"")))</f>
        <v>28.819999999999993</v>
      </c>
      <c r="BD33" s="12">
        <f>IF('Données projet'!$A$88&gt;35,BD32+BC33-BL32,IF(A33&lt;'Données projet'!$A$88,$BA$205^A33,IF(A33='Données projet'!$A$88,'Données projet'!$B$88,BD32+BC33-BL32)))</f>
        <v>410.69</v>
      </c>
      <c r="BE33" s="13">
        <f>BD33*VLOOKUP('Données projet'!$B$11,Paramètres!$A$1:$I$89,3,0)*VLOOKUP('Données projet'!$B$11,Paramètres!$A$1:$I$89,5,0)</f>
        <v>229.57571000000002</v>
      </c>
      <c r="BF33" s="13">
        <f t="shared" si="37"/>
        <v>56.190930256761952</v>
      </c>
      <c r="BG33" s="20">
        <f t="shared" si="7"/>
        <v>497.71023178052701</v>
      </c>
      <c r="BH33" s="59">
        <f t="shared" si="8"/>
        <v>791.04356511386027</v>
      </c>
      <c r="BI33" s="59">
        <f ca="1">AVERAGE(OFFSET($BH$3,0,0,'Données projet'!$E$11+1,1))-AVERAGE(OFFSET($H$3,0,0,'Données projet'!$E$11+1,1))</f>
        <v>350.01600895263641</v>
      </c>
      <c r="BJ33" s="59">
        <f t="shared" si="38"/>
        <v>464.08921044376882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80.97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50.571271540152075</v>
      </c>
      <c r="BR33" s="21">
        <f>EXP(-LN(2)/2)*BR32+(1-EXP(-LN(2)/2))/(LN(2)/2)*BL33*BO33*VLOOKUP('Données projet'!$B$11,Paramètres!$A$1:$I$89,3,0)*0.475*44/12</f>
        <v>0.73992052906281214</v>
      </c>
      <c r="BS33" s="22">
        <f t="shared" si="9"/>
        <v>51.31119206921489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602.14174800997898</v>
      </c>
      <c r="CD33" s="59">
        <f ca="1">AVERAGE(OFFSET($CC$3,0,0,'Données projet'!$E$12+1,1))-AVERAGE(OFFSET($H$3,0,0,'Données projet'!$E$12+1,1))</f>
        <v>279.49721661620544</v>
      </c>
      <c r="CE33" s="59">
        <f t="shared" si="40"/>
        <v>275.18739333988754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87.705128209999998</v>
      </c>
      <c r="CR33" s="12">
        <f>VLOOKUP(A33,'Données projet'!$A$139:$I$159,9,0)</f>
        <v>2.9235042736666665</v>
      </c>
      <c r="CS33" s="12">
        <f t="array" ref="CS33">INDEX(CR:CR,MIN(IF(ISNUMBER(CR33:CR229),ROW(CR33:CR229),"")))</f>
        <v>2.9235042736666665</v>
      </c>
      <c r="CT33" s="12">
        <f>IF('Données projet'!$A$140&gt;35,CT32+CS33-DB32,IF(A33&lt;'Données projet'!$A$140,$CQ$205^A33,IF(A33='Données projet'!$A$140,'Données projet'!$B$140,CT32+CS33-DB32)))</f>
        <v>87.705128209999998</v>
      </c>
      <c r="CU33" s="17">
        <f>CT33*VLOOKUP('Données projet'!$B$13,Paramètres!$A$1:$I$89,3,0)*VLOOKUP('Données projet'!$B$13,Paramètres!$A$1:$I$89,5,0)</f>
        <v>88.933000004939998</v>
      </c>
      <c r="CV33" s="13">
        <f t="shared" si="41"/>
        <v>24.30771194086099</v>
      </c>
      <c r="CW33" s="20">
        <f t="shared" si="13"/>
        <v>197.22757330560339</v>
      </c>
      <c r="CX33" s="59">
        <f t="shared" si="14"/>
        <v>490.56090663893667</v>
      </c>
      <c r="CY33" s="59">
        <f ca="1">AVERAGE(OFFSET($CX$3,0,0,'Données projet'!$E$13+1,1))-AVERAGE(OFFSET($H$3,0,0,'Données projet'!$E$13+1,1))</f>
        <v>402.54350692668021</v>
      </c>
      <c r="CZ33" s="59">
        <f t="shared" si="42"/>
        <v>163.60655196884522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116</v>
      </c>
      <c r="DM33" s="12">
        <f>VLOOKUP(A33,'Données projet'!$A$165:$I$185,9,0)</f>
        <v>9.4</v>
      </c>
      <c r="DN33" s="12">
        <f t="array" ref="DN33">INDEX(DM:DM,MIN(IF(ISNUMBER(DM33:DM229),ROW(DM33:DM229),"")))</f>
        <v>9.4</v>
      </c>
      <c r="DO33" s="12">
        <f>IF('Données projet'!$A$166&gt;35,DO32+DN33-DW32,IF(A33&lt;'Données projet'!$A$166,$DL$205^A33,IF(A33='Données projet'!$A$166,'Données projet'!$B$166,DO32+DN33-DW32)))</f>
        <v>116.00000000000001</v>
      </c>
      <c r="DP33" s="17">
        <f>DO33*VLOOKUP('Données projet'!$B$14,Paramètres!$A$1:$I$89,3,0)*VLOOKUP('Données projet'!$B$14,Paramètres!$A$1:$I$89,5,0)</f>
        <v>99.52800000000002</v>
      </c>
      <c r="DQ33" s="13">
        <f t="shared" si="43"/>
        <v>26.849519112903323</v>
      </c>
      <c r="DR33" s="20">
        <f t="shared" si="16"/>
        <v>220.10751245497332</v>
      </c>
      <c r="DS33" s="59">
        <f t="shared" si="17"/>
        <v>513.44084578830666</v>
      </c>
      <c r="DT33" s="59">
        <f ca="1">AVERAGE(OFFSET($DS$3,0,0,'Données projet'!$E$14+1,1))-AVERAGE(OFFSET($H$3,0,0,'Données projet'!$E$14+1,1))</f>
        <v>352.76625414822473</v>
      </c>
      <c r="DU33" s="59">
        <f t="shared" si="44"/>
        <v>186.48649111821521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7.3717948716666664</v>
      </c>
      <c r="EJ33" s="12">
        <f>IF('Données projet'!$A$192&gt;35,EJ32+EI33-ER32,IF(A33&lt;'Données projet'!$A$192,$EG$205^A33,IF(A33='Données projet'!$A$192,'Données projet'!$B$192,EJ32+EI33-ER32)))</f>
        <v>91.987179488333339</v>
      </c>
      <c r="EK33" s="17">
        <f>EJ33*VLOOKUP('Données projet'!$B$15,Paramètres!$A$1:$I$89,3,0)*VLOOKUP('Données projet'!$B$15,Paramètres!$A$1:$I$89,5,0)</f>
        <v>71.750000000900002</v>
      </c>
      <c r="EL33" s="13">
        <f t="shared" si="45"/>
        <v>20.10741773183333</v>
      </c>
      <c r="EM33" s="20">
        <f t="shared" si="19"/>
        <v>159.98500255117719</v>
      </c>
      <c r="EN33" s="59">
        <f t="shared" si="20"/>
        <v>453.31833588451047</v>
      </c>
      <c r="EO33" s="59">
        <f ca="1">AVERAGE(OFFSET($EN$3,0,0,'Données projet'!$E$15+1,1))-AVERAGE(OFFSET($H$3,0,0,'Données projet'!$E$15+1,1))</f>
        <v>130.66539383144681</v>
      </c>
      <c r="EP33" s="59">
        <f t="shared" si="46"/>
        <v>126.36398121441903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87.705128209999998</v>
      </c>
      <c r="FC33" s="12">
        <f>VLOOKUP(A33,'Données projet'!$A$217:$I$237,9,0)</f>
        <v>2.9235042736666665</v>
      </c>
      <c r="FD33" s="12">
        <f t="array" ref="FD33">INDEX(FC:FC,MIN(IF(ISNUMBER(FC33:FC229),ROW(FC33:FC229),"")))</f>
        <v>2.9235042736666665</v>
      </c>
      <c r="FE33" s="12">
        <f>IF('Données projet'!$A$218&gt;35,FE32+FD33-FM32,IF(A33&lt;'Données projet'!$A$218,$FB$205^A33,IF(A33='Données projet'!$A$218,'Données projet'!$B$218,FE32+FD33-FM32)))</f>
        <v>87.705128209999998</v>
      </c>
      <c r="FF33" s="17">
        <f>FE33*VLOOKUP('Données projet'!$B$16,Paramètres!$A$1:$I$89,3,0)*VLOOKUP('Données projet'!$B$16,Paramètres!$A$1:$I$89,5,0)</f>
        <v>84.828400004712009</v>
      </c>
      <c r="FG33" s="13">
        <f t="shared" si="47"/>
        <v>23.313696366668722</v>
      </c>
      <c r="FH33" s="20">
        <f t="shared" si="22"/>
        <v>188.3474845134881</v>
      </c>
      <c r="FI33" s="59">
        <f t="shared" si="23"/>
        <v>481.68081784682141</v>
      </c>
      <c r="FJ33" s="59">
        <f ca="1">AVERAGE(OFFSET($FI$3,0,0,'Données projet'!$E$16+1,1))-AVERAGE(OFFSET($H$3,0,0,'Données projet'!$E$16+1,1))</f>
        <v>380.43199889536805</v>
      </c>
      <c r="FK33" s="59">
        <f t="shared" si="48"/>
        <v>154.72646317672996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12.833333333333334</v>
      </c>
      <c r="N34" s="13">
        <f>IF('Données projet'!$A$36&gt;35,N33+M34-V33,IF(A34&lt;'Données projet'!$A$36,$K$205^A34,IF(A34='Données projet'!$A$36,'Données projet'!$B$36,N33+M34-V33)))</f>
        <v>183.83333333333329</v>
      </c>
      <c r="O34" s="13">
        <f>N34*VLOOKUP('Données projet'!$B$9,Paramètres!$A$1:$I$89,3,0)*VLOOKUP('Données projet'!$B$9,Paramètres!$A$1:$I$89,5,0)</f>
        <v>114.71199999999997</v>
      </c>
      <c r="P34" s="13">
        <f t="shared" si="33"/>
        <v>30.438443898016164</v>
      </c>
      <c r="Q34" s="20">
        <f t="shared" si="2"/>
        <v>252.80368978904474</v>
      </c>
      <c r="R34" s="59">
        <f t="shared" si="0"/>
        <v>546.13702312237808</v>
      </c>
      <c r="S34" s="59">
        <f ca="1">AVERAGE(OFFSET($R$3,0,0,'Données projet'!$E$9+1,1))-AVERAGE(OFFSET($H$3,0,0,'Données projet'!$E$9+1,1))</f>
        <v>179.44051550872138</v>
      </c>
      <c r="T34" s="59">
        <f t="shared" si="34"/>
        <v>272.9500808380069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47.066313507971749</v>
      </c>
      <c r="AB34" s="21">
        <f>EXP(-LN(2)/2)*AB33+(1-EXP(-LN(2)/2))/(LN(2)/2)*V34*Y34*VLOOKUP('Données projet'!$B$9,Paramètres!$A$1:$I$89,3,0)*0.475*44/12</f>
        <v>0.15611878141458088</v>
      </c>
      <c r="AC34" s="22">
        <f t="shared" si="3"/>
        <v>47.222432289386333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10.298307692000002</v>
      </c>
      <c r="AI34" s="13">
        <f>IF('Données projet'!$A$62&gt;35,AI33+AH34-AQ33,IF(A34&lt;'Données projet'!$A$62,$AF$205^A34,IF(A34='Données projet'!$A$62,'Données projet'!$B$62,AI33+AH34-AQ33)))</f>
        <v>70.175230771999992</v>
      </c>
      <c r="AJ34" s="13">
        <f>AI34*VLOOKUP('Données projet'!$B$10,Paramètres!$A$1:$I$89,3,0)*VLOOKUP('Données projet'!$B$10,Paramètres!$A$1:$I$89,5,0)</f>
        <v>33.754286001331998</v>
      </c>
      <c r="AK34" s="13">
        <f t="shared" si="35"/>
        <v>10.32722178109595</v>
      </c>
      <c r="AL34" s="20">
        <f t="shared" si="4"/>
        <v>76.775292721062002</v>
      </c>
      <c r="AM34" s="59">
        <f t="shared" si="5"/>
        <v>370.1086260543953</v>
      </c>
      <c r="AN34" s="59">
        <f ca="1">AVERAGE(OFFSET($AM$3,0,0,'Données projet'!$E$10+1,1))-AVERAGE(OFFSET($H$3,0,0,'Données projet'!$E$10+1,1))</f>
        <v>174.18188687702559</v>
      </c>
      <c r="AO34" s="59">
        <f t="shared" si="36"/>
        <v>32.17353897322738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28.661666666666662</v>
      </c>
      <c r="BD34" s="12">
        <f>IF('Données projet'!$A$88&gt;35,BD33+BC34-BL33,IF(A34&lt;'Données projet'!$A$88,$BA$205^A34,IF(A34='Données projet'!$A$88,'Données projet'!$B$88,BD33+BC34-BL33)))</f>
        <v>358.38166666666666</v>
      </c>
      <c r="BE34" s="13">
        <f>BD34*VLOOKUP('Données projet'!$B$11,Paramètres!$A$1:$I$89,3,0)*VLOOKUP('Données projet'!$B$11,Paramètres!$A$1:$I$89,5,0)</f>
        <v>200.33535166666667</v>
      </c>
      <c r="BF34" s="13">
        <f t="shared" si="37"/>
        <v>49.817860683914162</v>
      </c>
      <c r="BG34" s="20">
        <f t="shared" si="7"/>
        <v>435.68351151059488</v>
      </c>
      <c r="BH34" s="59">
        <f t="shared" si="8"/>
        <v>729.0168448439282</v>
      </c>
      <c r="BI34" s="59">
        <f ca="1">AVERAGE(OFFSET($BH$3,0,0,'Données projet'!$E$11+1,1))-AVERAGE(OFFSET($H$3,0,0,'Données projet'!$E$11+1,1))</f>
        <v>350.01600895263641</v>
      </c>
      <c r="BJ34" s="59">
        <f t="shared" si="38"/>
        <v>464.08921044376882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49.188397460459029</v>
      </c>
      <c r="BR34" s="21">
        <f>EXP(-LN(2)/2)*BR33+(1-EXP(-LN(2)/2))/(LN(2)/2)*BL34*BO34*VLOOKUP('Données projet'!$B$11,Paramètres!$A$1:$I$89,3,0)*0.475*44/12</f>
        <v>0.52320282363945236</v>
      </c>
      <c r="BS34" s="22">
        <f t="shared" si="9"/>
        <v>49.711600284098481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564.28357776124415</v>
      </c>
      <c r="CD34" s="59">
        <f ca="1">AVERAGE(OFFSET($CC$3,0,0,'Données projet'!$E$12+1,1))-AVERAGE(OFFSET($H$3,0,0,'Données projet'!$E$12+1,1))</f>
        <v>279.49721661620544</v>
      </c>
      <c r="CE34" s="59">
        <f t="shared" si="40"/>
        <v>275.18739333988754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8.147490842142858</v>
      </c>
      <c r="CT34" s="12">
        <f>IF('Données projet'!$A$140&gt;35,CT33+CS34-DB33,IF(A34&lt;'Données projet'!$A$140,$CQ$205^A34,IF(A34='Données projet'!$A$140,'Données projet'!$B$140,CT33+CS34-DB33)))</f>
        <v>95.852619052142856</v>
      </c>
      <c r="CU34" s="17">
        <f>CT34*VLOOKUP('Données projet'!$B$13,Paramètres!$A$1:$I$89,3,0)*VLOOKUP('Données projet'!$B$13,Paramètres!$A$1:$I$89,5,0)</f>
        <v>97.194555718872863</v>
      </c>
      <c r="CV34" s="13">
        <f t="shared" si="41"/>
        <v>26.292536294863783</v>
      </c>
      <c r="CW34" s="20">
        <f t="shared" si="13"/>
        <v>215.07335192392463</v>
      </c>
      <c r="CX34" s="59">
        <f t="shared" si="14"/>
        <v>508.40668525725795</v>
      </c>
      <c r="CY34" s="59">
        <f ca="1">AVERAGE(OFFSET($CX$3,0,0,'Données projet'!$E$13+1,1))-AVERAGE(OFFSET($H$3,0,0,'Données projet'!$E$13+1,1))</f>
        <v>402.54350692668021</v>
      </c>
      <c r="CZ34" s="59">
        <f t="shared" si="42"/>
        <v>163.60655196884522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10.199999999999999</v>
      </c>
      <c r="DO34" s="12">
        <f>IF('Données projet'!$A$166&gt;35,DO33+DN34-DW33,IF(A34&lt;'Données projet'!$A$166,$DL$205^A34,IF(A34='Données projet'!$A$166,'Données projet'!$B$166,DO33+DN34-DW33)))</f>
        <v>98.200000000000017</v>
      </c>
      <c r="DP34" s="17">
        <f>DO34*VLOOKUP('Données projet'!$B$14,Paramètres!$A$1:$I$89,3,0)*VLOOKUP('Données projet'!$B$14,Paramètres!$A$1:$I$89,5,0)</f>
        <v>84.255600000000015</v>
      </c>
      <c r="DQ34" s="13">
        <f t="shared" si="43"/>
        <v>23.174541098743855</v>
      </c>
      <c r="DR34" s="20">
        <f t="shared" si="16"/>
        <v>187.10749574697891</v>
      </c>
      <c r="DS34" s="59">
        <f t="shared" si="17"/>
        <v>480.44082908031226</v>
      </c>
      <c r="DT34" s="59">
        <f ca="1">AVERAGE(OFFSET($DS$3,0,0,'Données projet'!$E$14+1,1))-AVERAGE(OFFSET($H$3,0,0,'Données projet'!$E$14+1,1))</f>
        <v>352.76625414822473</v>
      </c>
      <c r="DU34" s="59">
        <f t="shared" si="44"/>
        <v>186.48649111821521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99.358974360000005</v>
      </c>
      <c r="EH34" s="12">
        <f>VLOOKUP(A34,'Données projet'!$A$191:$I$211,9,0)</f>
        <v>7.3717948716666664</v>
      </c>
      <c r="EI34" s="12">
        <f t="array" ref="EI34">INDEX(EH:EH,MIN(IF(ISNUMBER(EH34:EH230),ROW(EH34:EH230),"")))</f>
        <v>7.3717948716666664</v>
      </c>
      <c r="EJ34" s="12">
        <f>IF('Données projet'!$A$192&gt;35,EJ33+EI34-ER33,IF(A34&lt;'Données projet'!$A$192,$EG$205^A34,IF(A34='Données projet'!$A$192,'Données projet'!$B$192,EJ33+EI34-ER33)))</f>
        <v>99.358974360000005</v>
      </c>
      <c r="EK34" s="17">
        <f>EJ34*VLOOKUP('Données projet'!$B$15,Paramètres!$A$1:$I$89,3,0)*VLOOKUP('Données projet'!$B$15,Paramètres!$A$1:$I$89,5,0)</f>
        <v>77.5000000008</v>
      </c>
      <c r="EL34" s="13">
        <f t="shared" si="45"/>
        <v>21.524796250962588</v>
      </c>
      <c r="EM34" s="20">
        <f t="shared" si="19"/>
        <v>172.46818680515318</v>
      </c>
      <c r="EN34" s="59">
        <f t="shared" si="20"/>
        <v>465.80152013848647</v>
      </c>
      <c r="EO34" s="59">
        <f ca="1">AVERAGE(OFFSET($EN$3,0,0,'Données projet'!$E$15+1,1))-AVERAGE(OFFSET($H$3,0,0,'Données projet'!$E$15+1,1))</f>
        <v>130.66539383144681</v>
      </c>
      <c r="EP34" s="59">
        <f t="shared" si="46"/>
        <v>126.36398121441903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23.07692308</v>
      </c>
      <c r="ES34" s="16">
        <f>IF(ISNA(VLOOKUP(A34,'Données projet'!$A$191:$I$211,5,0)),0%,VLOOKUP(A34,'Données projet'!$A$191:$I$211,5,0)*VLOOKUP('Données projet'!$B$15,Paramètres!$A$1:$I$89,7,0))</f>
        <v>0.43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8.5563407387258792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8.5563407387258792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8.147490842142858</v>
      </c>
      <c r="FE34" s="12">
        <f>IF('Données projet'!$A$218&gt;35,FE33+FD34-FM33,IF(A34&lt;'Données projet'!$A$218,$FB$205^A34,IF(A34='Données projet'!$A$218,'Données projet'!$B$218,FE33+FD34-FM33)))</f>
        <v>95.852619052142856</v>
      </c>
      <c r="FF34" s="17">
        <f>FE34*VLOOKUP('Données projet'!$B$16,Paramètres!$A$1:$I$89,3,0)*VLOOKUP('Données projet'!$B$16,Paramètres!$A$1:$I$89,5,0)</f>
        <v>92.708653147232567</v>
      </c>
      <c r="FG34" s="13">
        <f t="shared" si="47"/>
        <v>25.217355273067277</v>
      </c>
      <c r="FH34" s="20">
        <f t="shared" si="22"/>
        <v>205.38779799868885</v>
      </c>
      <c r="FI34" s="59">
        <f t="shared" si="23"/>
        <v>498.7211313320222</v>
      </c>
      <c r="FJ34" s="59">
        <f ca="1">AVERAGE(OFFSET($FI$3,0,0,'Données projet'!$E$16+1,1))-AVERAGE(OFFSET($H$3,0,0,'Données projet'!$E$16+1,1))</f>
        <v>380.43199889536805</v>
      </c>
      <c r="FK34" s="59">
        <f t="shared" si="48"/>
        <v>154.72646317672996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12.833333333333334</v>
      </c>
      <c r="N35" s="13">
        <f>IF('Données projet'!$A$36&gt;35,N34+M35-V34,IF(A35&lt;'Données projet'!$A$36,$K$205^A35,IF(A35='Données projet'!$A$36,'Données projet'!$B$36,N34+M35-V34)))</f>
        <v>196.66666666666663</v>
      </c>
      <c r="O35" s="13">
        <f>N35*VLOOKUP('Données projet'!$B$9,Paramètres!$A$1:$I$89,3,0)*VLOOKUP('Données projet'!$B$9,Paramètres!$A$1:$I$89,5,0)</f>
        <v>122.71999999999997</v>
      </c>
      <c r="P35" s="13">
        <f t="shared" si="33"/>
        <v>32.308564708068729</v>
      </c>
      <c r="Q35" s="20">
        <f t="shared" ref="Q35:Q66" si="53">(O35+P35)*0.475*44/12</f>
        <v>270.00808353321963</v>
      </c>
      <c r="R35" s="59">
        <f t="shared" si="0"/>
        <v>563.34141686655289</v>
      </c>
      <c r="S35" s="59">
        <f ca="1">AVERAGE(OFFSET($R$3,0,0,'Données projet'!$E$9+1,1))-AVERAGE(OFFSET($H$3,0,0,'Données projet'!$E$9+1,1))</f>
        <v>179.44051550872138</v>
      </c>
      <c r="T35" s="59">
        <f t="shared" si="34"/>
        <v>272.9500808380069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45.779282689986402</v>
      </c>
      <c r="AB35" s="21">
        <f>EXP(-LN(2)/2)*AB34+(1-EXP(-LN(2)/2))/(LN(2)/2)*V35*Y35*VLOOKUP('Données projet'!$B$9,Paramètres!$A$1:$I$89,3,0)*0.475*44/12</f>
        <v>0.11039264900883049</v>
      </c>
      <c r="AC35" s="22">
        <f t="shared" si="3"/>
        <v>45.889675338995232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10.298307692000002</v>
      </c>
      <c r="AI35" s="13">
        <f>IF('Données projet'!$A$62&gt;35,AI34+AH35-AQ34,IF(A35&lt;'Données projet'!$A$62,$AF$205^A35,IF(A35='Données projet'!$A$62,'Données projet'!$B$62,AI34+AH35-AQ34)))</f>
        <v>80.473538464000001</v>
      </c>
      <c r="AJ35" s="13">
        <f>AI35*VLOOKUP('Données projet'!$B$10,Paramètres!$A$1:$I$89,3,0)*VLOOKUP('Données projet'!$B$10,Paramètres!$A$1:$I$89,5,0)</f>
        <v>38.707772001183997</v>
      </c>
      <c r="AK35" s="13">
        <f t="shared" si="35"/>
        <v>11.655489880902627</v>
      </c>
      <c r="AL35" s="20">
        <f t="shared" si="4"/>
        <v>87.716014444634197</v>
      </c>
      <c r="AM35" s="59">
        <f t="shared" si="5"/>
        <v>381.04934777796751</v>
      </c>
      <c r="AN35" s="59">
        <f ca="1">AVERAGE(OFFSET($AM$3,0,0,'Données projet'!$E$10+1,1))-AVERAGE(OFFSET($H$3,0,0,'Données projet'!$E$10+1,1))</f>
        <v>174.18188687702559</v>
      </c>
      <c r="AO35" s="59">
        <f t="shared" si="36"/>
        <v>32.17353897322738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28.661666666666662</v>
      </c>
      <c r="BD35" s="12">
        <f>IF('Données projet'!$A$88&gt;35,BD34+BC35-BL34,IF(A35&lt;'Données projet'!$A$88,$BA$205^A35,IF(A35='Données projet'!$A$88,'Données projet'!$B$88,BD34+BC35-BL34)))</f>
        <v>387.04333333333329</v>
      </c>
      <c r="BE35" s="13">
        <f>BD35*VLOOKUP('Données projet'!$B$11,Paramètres!$A$1:$I$89,3,0)*VLOOKUP('Données projet'!$B$11,Paramètres!$A$1:$I$89,5,0)</f>
        <v>216.35722333333334</v>
      </c>
      <c r="BF35" s="13">
        <f t="shared" si="37"/>
        <v>53.322378483830668</v>
      </c>
      <c r="BG35" s="20">
        <f t="shared" si="7"/>
        <v>469.69197316489391</v>
      </c>
      <c r="BH35" s="59">
        <f t="shared" si="8"/>
        <v>763.02530649822722</v>
      </c>
      <c r="BI35" s="59">
        <f ca="1">AVERAGE(OFFSET($BH$3,0,0,'Données projet'!$E$11+1,1))-AVERAGE(OFFSET($H$3,0,0,'Données projet'!$E$11+1,1))</f>
        <v>350.01600895263641</v>
      </c>
      <c r="BJ35" s="59">
        <f t="shared" si="38"/>
        <v>464.08921044376882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47.843338145197379</v>
      </c>
      <c r="BR35" s="21">
        <f>EXP(-LN(2)/2)*BR34+(1-EXP(-LN(2)/2))/(LN(2)/2)*BL35*BO35*VLOOKUP('Données projet'!$B$11,Paramètres!$A$1:$I$89,3,0)*0.475*44/12</f>
        <v>0.36996026453140607</v>
      </c>
      <c r="BS35" s="22">
        <f t="shared" si="9"/>
        <v>48.213298409728786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586.12516384222022</v>
      </c>
      <c r="CD35" s="59">
        <f ca="1">AVERAGE(OFFSET($CC$3,0,0,'Données projet'!$E$12+1,1))-AVERAGE(OFFSET($H$3,0,0,'Données projet'!$E$12+1,1))</f>
        <v>279.49721661620544</v>
      </c>
      <c r="CE35" s="59">
        <f t="shared" si="40"/>
        <v>275.18739333988754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8.147490842142858</v>
      </c>
      <c r="CT35" s="12">
        <f>IF('Données projet'!$A$140&gt;35,CT34+CS35-DB34,IF(A35&lt;'Données projet'!$A$140,$CQ$205^A35,IF(A35='Données projet'!$A$140,'Données projet'!$B$140,CT34+CS35-DB34)))</f>
        <v>104.00010989428571</v>
      </c>
      <c r="CU35" s="17">
        <f>CT35*VLOOKUP('Données projet'!$B$13,Paramètres!$A$1:$I$89,3,0)*VLOOKUP('Données projet'!$B$13,Paramètres!$A$1:$I$89,5,0)</f>
        <v>105.45611143280571</v>
      </c>
      <c r="CV35" s="13">
        <f t="shared" si="41"/>
        <v>28.257794729639997</v>
      </c>
      <c r="CW35" s="20">
        <f t="shared" si="13"/>
        <v>232.88505323292625</v>
      </c>
      <c r="CX35" s="59">
        <f t="shared" si="14"/>
        <v>526.2183865662596</v>
      </c>
      <c r="CY35" s="59">
        <f ca="1">AVERAGE(OFFSET($CX$3,0,0,'Données projet'!$E$13+1,1))-AVERAGE(OFFSET($H$3,0,0,'Données projet'!$E$13+1,1))</f>
        <v>402.54350692668021</v>
      </c>
      <c r="CZ35" s="59">
        <f t="shared" si="42"/>
        <v>163.60655196884522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10.199999999999999</v>
      </c>
      <c r="DO35" s="12">
        <f>IF('Données projet'!$A$166&gt;35,DO34+DN35-DW34,IF(A35&lt;'Données projet'!$A$166,$DL$205^A35,IF(A35='Données projet'!$A$166,'Données projet'!$B$166,DO34+DN35-DW34)))</f>
        <v>108.40000000000002</v>
      </c>
      <c r="DP35" s="17">
        <f>DO35*VLOOKUP('Données projet'!$B$14,Paramètres!$A$1:$I$89,3,0)*VLOOKUP('Données projet'!$B$14,Paramètres!$A$1:$I$89,5,0)</f>
        <v>93.007200000000026</v>
      </c>
      <c r="DQ35" s="13">
        <f t="shared" si="43"/>
        <v>25.289096064617418</v>
      </c>
      <c r="DR35" s="20">
        <f t="shared" si="16"/>
        <v>206.03271564587536</v>
      </c>
      <c r="DS35" s="59">
        <f t="shared" si="17"/>
        <v>499.3660489792087</v>
      </c>
      <c r="DT35" s="59">
        <f ca="1">AVERAGE(OFFSET($DS$3,0,0,'Données projet'!$E$14+1,1))-AVERAGE(OFFSET($H$3,0,0,'Données projet'!$E$14+1,1))</f>
        <v>352.76625414822473</v>
      </c>
      <c r="DU35" s="59">
        <f t="shared" si="44"/>
        <v>186.48649111821521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7.3717948699999996</v>
      </c>
      <c r="EJ35" s="12">
        <f>IF('Données projet'!$A$192&gt;35,EJ34+EI35-ER34,IF(A35&lt;'Données projet'!$A$192,$EG$205^A35,IF(A35='Données projet'!$A$192,'Données projet'!$B$192,EJ34+EI35-ER34)))</f>
        <v>83.653846150000007</v>
      </c>
      <c r="EK35" s="17">
        <f>EJ35*VLOOKUP('Données projet'!$B$15,Paramètres!$A$1:$I$89,3,0)*VLOOKUP('Données projet'!$B$15,Paramètres!$A$1:$I$89,5,0)</f>
        <v>65.249999997000003</v>
      </c>
      <c r="EL35" s="13">
        <f t="shared" si="45"/>
        <v>18.489084563997466</v>
      </c>
      <c r="EM35" s="20">
        <f t="shared" si="19"/>
        <v>145.8455722770706</v>
      </c>
      <c r="EN35" s="59">
        <f t="shared" si="20"/>
        <v>439.17890561040394</v>
      </c>
      <c r="EO35" s="59">
        <f ca="1">AVERAGE(OFFSET($EN$3,0,0,'Données projet'!$E$15+1,1))-AVERAGE(OFFSET($H$3,0,0,'Données projet'!$E$15+1,1))</f>
        <v>130.66539383144681</v>
      </c>
      <c r="EP35" s="59">
        <f t="shared" si="46"/>
        <v>126.36398121441903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8.3885561156919959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8.3885561156919959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8.147490842142858</v>
      </c>
      <c r="FE35" s="12">
        <f>IF('Données projet'!$A$218&gt;35,FE34+FD35-FM34,IF(A35&lt;'Données projet'!$A$218,$FB$205^A35,IF(A35='Données projet'!$A$218,'Données projet'!$B$218,FE34+FD35-FM34)))</f>
        <v>104.00010989428571</v>
      </c>
      <c r="FF35" s="17">
        <f>FE35*VLOOKUP('Données projet'!$B$16,Paramètres!$A$1:$I$89,3,0)*VLOOKUP('Données projet'!$B$16,Paramètres!$A$1:$I$89,5,0)</f>
        <v>100.58890628975314</v>
      </c>
      <c r="FG35" s="13">
        <f t="shared" si="47"/>
        <v>27.102248369623545</v>
      </c>
      <c r="FH35" s="20">
        <f t="shared" si="22"/>
        <v>222.39542769841435</v>
      </c>
      <c r="FI35" s="59">
        <f t="shared" si="23"/>
        <v>515.72876103174769</v>
      </c>
      <c r="FJ35" s="59">
        <f ca="1">AVERAGE(OFFSET($FI$3,0,0,'Données projet'!$E$16+1,1))-AVERAGE(OFFSET($H$3,0,0,'Données projet'!$E$16+1,1))</f>
        <v>380.43199889536805</v>
      </c>
      <c r="FK35" s="59">
        <f t="shared" si="48"/>
        <v>154.72646317672996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12.833333333333334</v>
      </c>
      <c r="N36" s="13">
        <f>IF('Données projet'!$A$36&gt;35,N35+M36-V35,IF(A36&lt;'Données projet'!$A$36,$K$205^A36,IF(A36='Données projet'!$A$36,'Données projet'!$B$36,N35+M36-V35)))</f>
        <v>209.49999999999997</v>
      </c>
      <c r="O36" s="13">
        <f>N36*VLOOKUP('Données projet'!$B$9,Paramètres!$A$1:$I$89,3,0)*VLOOKUP('Données projet'!$B$9,Paramètres!$A$1:$I$89,5,0)</f>
        <v>130.72799999999998</v>
      </c>
      <c r="P36" s="13">
        <f t="shared" si="33"/>
        <v>34.164524045585857</v>
      </c>
      <c r="Q36" s="20">
        <f t="shared" si="53"/>
        <v>287.18781271272866</v>
      </c>
      <c r="R36" s="59">
        <f t="shared" si="0"/>
        <v>580.52114604606197</v>
      </c>
      <c r="S36" s="59">
        <f ca="1">AVERAGE(OFFSET($R$3,0,0,'Données projet'!$E$9+1,1))-AVERAGE(OFFSET($H$3,0,0,'Données projet'!$E$9+1,1))</f>
        <v>179.44051550872138</v>
      </c>
      <c r="T36" s="59">
        <f t="shared" si="34"/>
        <v>272.9500808380069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44.52744579740088</v>
      </c>
      <c r="AB36" s="21">
        <f>EXP(-LN(2)/2)*AB35+(1-EXP(-LN(2)/2))/(LN(2)/2)*V36*Y36*VLOOKUP('Données projet'!$B$9,Paramètres!$A$1:$I$89,3,0)*0.475*44/12</f>
        <v>7.8059390707290441E-2</v>
      </c>
      <c r="AC36" s="22">
        <f t="shared" si="3"/>
        <v>44.605505188108168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10.298307692000002</v>
      </c>
      <c r="AI36" s="13">
        <f>IF('Données projet'!$A$62&gt;35,AI35+AH36-AQ35,IF(A36&lt;'Données projet'!$A$62,$AF$205^A36,IF(A36='Données projet'!$A$62,'Données projet'!$B$62,AI35+AH36-AQ35)))</f>
        <v>90.771846156000009</v>
      </c>
      <c r="AJ36" s="13">
        <f>AI36*VLOOKUP('Données projet'!$B$10,Paramètres!$A$1:$I$89,3,0)*VLOOKUP('Données projet'!$B$10,Paramètres!$A$1:$I$89,5,0)</f>
        <v>43.661258001036003</v>
      </c>
      <c r="AK36" s="13">
        <f t="shared" si="35"/>
        <v>12.964062220700319</v>
      </c>
      <c r="AL36" s="20">
        <f t="shared" si="4"/>
        <v>98.622432719524099</v>
      </c>
      <c r="AM36" s="59">
        <f t="shared" si="5"/>
        <v>391.95576605285743</v>
      </c>
      <c r="AN36" s="59">
        <f ca="1">AVERAGE(OFFSET($AM$3,0,0,'Données projet'!$E$10+1,1))-AVERAGE(OFFSET($H$3,0,0,'Données projet'!$E$10+1,1))</f>
        <v>174.18188687702559</v>
      </c>
      <c r="AO36" s="59">
        <f t="shared" si="36"/>
        <v>32.17353897322738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28.661666666666662</v>
      </c>
      <c r="BD36" s="12">
        <f>IF('Données projet'!$A$88&gt;35,BD35+BC36-BL35,IF(A36&lt;'Données projet'!$A$88,$BA$205^A36,IF(A36='Données projet'!$A$88,'Données projet'!$B$88,BD35+BC36-BL35)))</f>
        <v>415.70499999999993</v>
      </c>
      <c r="BE36" s="13">
        <f>BD36*VLOOKUP('Données projet'!$B$11,Paramètres!$A$1:$I$89,3,0)*VLOOKUP('Données projet'!$B$11,Paramètres!$A$1:$I$89,5,0)</f>
        <v>232.37909499999998</v>
      </c>
      <c r="BF36" s="13">
        <f t="shared" si="37"/>
        <v>56.796788993130136</v>
      </c>
      <c r="BG36" s="20">
        <f t="shared" si="7"/>
        <v>503.64799795470162</v>
      </c>
      <c r="BH36" s="59">
        <f t="shared" si="8"/>
        <v>796.98133128803488</v>
      </c>
      <c r="BI36" s="59">
        <f ca="1">AVERAGE(OFFSET($BH$3,0,0,'Données projet'!$E$11+1,1))-AVERAGE(OFFSET($H$3,0,0,'Données projet'!$E$11+1,1))</f>
        <v>350.01600895263641</v>
      </c>
      <c r="BJ36" s="59">
        <f t="shared" si="38"/>
        <v>464.08921044376882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46.535059547645147</v>
      </c>
      <c r="BR36" s="21">
        <f>EXP(-LN(2)/2)*BR35+(1-EXP(-LN(2)/2))/(LN(2)/2)*BL36*BO36*VLOOKUP('Données projet'!$B$11,Paramètres!$A$1:$I$89,3,0)*0.475*44/12</f>
        <v>0.26160141181972618</v>
      </c>
      <c r="BS36" s="22">
        <f t="shared" si="9"/>
        <v>46.796660959464873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607.93038188735318</v>
      </c>
      <c r="CD36" s="59">
        <f ca="1">AVERAGE(OFFSET($CC$3,0,0,'Données projet'!$E$12+1,1))-AVERAGE(OFFSET($H$3,0,0,'Données projet'!$E$12+1,1))</f>
        <v>279.49721661620544</v>
      </c>
      <c r="CE36" s="59">
        <f t="shared" si="40"/>
        <v>275.18739333988754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8.147490842142858</v>
      </c>
      <c r="CT36" s="12">
        <f>IF('Données projet'!$A$140&gt;35,CT35+CS36-DB35,IF(A36&lt;'Données projet'!$A$140,$CQ$205^A36,IF(A36='Données projet'!$A$140,'Données projet'!$B$140,CT35+CS36-DB35)))</f>
        <v>112.14760073642857</v>
      </c>
      <c r="CU36" s="17">
        <f>CT36*VLOOKUP('Données projet'!$B$13,Paramètres!$A$1:$I$89,3,0)*VLOOKUP('Données projet'!$B$13,Paramètres!$A$1:$I$89,5,0)</f>
        <v>113.71766714673858</v>
      </c>
      <c r="CV36" s="13">
        <f t="shared" si="41"/>
        <v>30.205194334915642</v>
      </c>
      <c r="CW36" s="20">
        <f t="shared" si="13"/>
        <v>250.66565041388108</v>
      </c>
      <c r="CX36" s="59">
        <f t="shared" si="14"/>
        <v>543.99898374721442</v>
      </c>
      <c r="CY36" s="59">
        <f ca="1">AVERAGE(OFFSET($CX$3,0,0,'Données projet'!$E$13+1,1))-AVERAGE(OFFSET($H$3,0,0,'Données projet'!$E$13+1,1))</f>
        <v>402.54350692668021</v>
      </c>
      <c r="CZ36" s="59">
        <f t="shared" si="42"/>
        <v>163.60655196884522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10.199999999999999</v>
      </c>
      <c r="DO36" s="12">
        <f>IF('Données projet'!$A$166&gt;35,DO35+DN36-DW35,IF(A36&lt;'Données projet'!$A$166,$DL$205^A36,IF(A36='Données projet'!$A$166,'Données projet'!$B$166,DO35+DN36-DW35)))</f>
        <v>118.60000000000002</v>
      </c>
      <c r="DP36" s="17">
        <f>DO36*VLOOKUP('Données projet'!$B$14,Paramètres!$A$1:$I$89,3,0)*VLOOKUP('Données projet'!$B$14,Paramètres!$A$1:$I$89,5,0)</f>
        <v>101.75880000000004</v>
      </c>
      <c r="DQ36" s="13">
        <f t="shared" si="43"/>
        <v>27.380581268956313</v>
      </c>
      <c r="DR36" s="20">
        <f t="shared" si="16"/>
        <v>224.91775571009896</v>
      </c>
      <c r="DS36" s="59">
        <f t="shared" si="17"/>
        <v>518.25108904343233</v>
      </c>
      <c r="DT36" s="59">
        <f ca="1">AVERAGE(OFFSET($DS$3,0,0,'Données projet'!$E$14+1,1))-AVERAGE(OFFSET($H$3,0,0,'Données projet'!$E$14+1,1))</f>
        <v>352.76625414822473</v>
      </c>
      <c r="DU36" s="59">
        <f t="shared" si="44"/>
        <v>186.48649111821521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7.3717948699999996</v>
      </c>
      <c r="EJ36" s="12">
        <f>IF('Données projet'!$A$192&gt;35,EJ35+EI36-ER35,IF(A36&lt;'Données projet'!$A$192,$EG$205^A36,IF(A36='Données projet'!$A$192,'Données projet'!$B$192,EJ35+EI36-ER35)))</f>
        <v>91.025641020000009</v>
      </c>
      <c r="EK36" s="17">
        <f>EJ36*VLOOKUP('Données projet'!$B$15,Paramètres!$A$1:$I$89,3,0)*VLOOKUP('Données projet'!$B$15,Paramètres!$A$1:$I$89,5,0)</f>
        <v>70.999999995600007</v>
      </c>
      <c r="EL36" s="13">
        <f t="shared" si="45"/>
        <v>19.9215874311266</v>
      </c>
      <c r="EM36" s="20">
        <f t="shared" si="19"/>
        <v>158.35509810154883</v>
      </c>
      <c r="EN36" s="59">
        <f t="shared" si="20"/>
        <v>451.68843143488215</v>
      </c>
      <c r="EO36" s="59">
        <f ca="1">AVERAGE(OFFSET($EN$3,0,0,'Données projet'!$E$15+1,1))-AVERAGE(OFFSET($H$3,0,0,'Données projet'!$E$15+1,1))</f>
        <v>130.66539383144681</v>
      </c>
      <c r="EP36" s="59">
        <f t="shared" si="46"/>
        <v>126.36398121441903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8.224061646777292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8.224061646777292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8.147490842142858</v>
      </c>
      <c r="FE36" s="12">
        <f>IF('Données projet'!$A$218&gt;35,FE35+FD36-FM35,IF(A36&lt;'Données projet'!$A$218,$FB$205^A36,IF(A36='Données projet'!$A$218,'Données projet'!$B$218,FE35+FD36-FM35)))</f>
        <v>112.14760073642857</v>
      </c>
      <c r="FF36" s="17">
        <f>FE36*VLOOKUP('Données projet'!$B$16,Paramètres!$A$1:$I$89,3,0)*VLOOKUP('Données projet'!$B$16,Paramètres!$A$1:$I$89,5,0)</f>
        <v>108.46915943227373</v>
      </c>
      <c r="FG36" s="13">
        <f t="shared" si="47"/>
        <v>28.970012938021618</v>
      </c>
      <c r="FH36" s="20">
        <f t="shared" si="22"/>
        <v>239.37322521159771</v>
      </c>
      <c r="FI36" s="59">
        <f t="shared" si="23"/>
        <v>532.706558544931</v>
      </c>
      <c r="FJ36" s="59">
        <f ca="1">AVERAGE(OFFSET($FI$3,0,0,'Données projet'!$E$16+1,1))-AVERAGE(OFFSET($H$3,0,0,'Données projet'!$E$16+1,1))</f>
        <v>380.43199889536805</v>
      </c>
      <c r="FK36" s="59">
        <f t="shared" si="48"/>
        <v>154.72646317672996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12.833333333333334</v>
      </c>
      <c r="N37" s="13">
        <f>IF('Données projet'!$A$36&gt;35,N36+M37-V36,IF(A37&lt;'Données projet'!$A$36,$K$205^A37,IF(A37='Données projet'!$A$36,'Données projet'!$B$36,N36+M37-V36)))</f>
        <v>222.33333333333331</v>
      </c>
      <c r="O37" s="13">
        <f>N37*VLOOKUP('Données projet'!$B$9,Paramètres!$A$1:$I$89,3,0)*VLOOKUP('Données projet'!$B$9,Paramètres!$A$1:$I$89,5,0)</f>
        <v>138.73599999999999</v>
      </c>
      <c r="P37" s="13">
        <f t="shared" si="33"/>
        <v>36.007288175538044</v>
      </c>
      <c r="Q37" s="20">
        <f t="shared" si="53"/>
        <v>304.34456023906205</v>
      </c>
      <c r="R37" s="59">
        <f t="shared" si="0"/>
        <v>597.67789357239531</v>
      </c>
      <c r="S37" s="59">
        <f ca="1">AVERAGE(OFFSET($R$3,0,0,'Données projet'!$E$9+1,1))-AVERAGE(OFFSET($H$3,0,0,'Données projet'!$E$9+1,1))</f>
        <v>179.44051550872138</v>
      </c>
      <c r="T37" s="59">
        <f t="shared" si="34"/>
        <v>272.9500808380069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43.309840450474347</v>
      </c>
      <c r="AB37" s="21">
        <f>EXP(-LN(2)/2)*AB36+(1-EXP(-LN(2)/2))/(LN(2)/2)*V37*Y37*VLOOKUP('Données projet'!$B$9,Paramètres!$A$1:$I$89,3,0)*0.475*44/12</f>
        <v>5.5196324504415244E-2</v>
      </c>
      <c r="AC37" s="22">
        <f t="shared" si="3"/>
        <v>43.365036774978762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10.298307692000002</v>
      </c>
      <c r="AI37" s="13">
        <f>IF('Données projet'!$A$62&gt;35,AI36+AH37-AQ36,IF(A37&lt;'Données projet'!$A$62,$AF$205^A37,IF(A37='Données projet'!$A$62,'Données projet'!$B$62,AI36+AH37-AQ36)))</f>
        <v>101.07015384800002</v>
      </c>
      <c r="AJ37" s="13">
        <f>AI37*VLOOKUP('Données projet'!$B$10,Paramètres!$A$1:$I$89,3,0)*VLOOKUP('Données projet'!$B$10,Paramètres!$A$1:$I$89,5,0)</f>
        <v>48.61474400088801</v>
      </c>
      <c r="AK37" s="13">
        <f t="shared" si="35"/>
        <v>14.255428377776509</v>
      </c>
      <c r="AL37" s="20">
        <f t="shared" si="4"/>
        <v>109.49888355950738</v>
      </c>
      <c r="AM37" s="59">
        <f t="shared" si="5"/>
        <v>402.83221689284068</v>
      </c>
      <c r="AN37" s="59">
        <f ca="1">AVERAGE(OFFSET($AM$3,0,0,'Données projet'!$E$10+1,1))-AVERAGE(OFFSET($H$3,0,0,'Données projet'!$E$10+1,1))</f>
        <v>174.18188687702559</v>
      </c>
      <c r="AO37" s="59">
        <f t="shared" si="36"/>
        <v>32.17353897322738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28.661666666666662</v>
      </c>
      <c r="BD37" s="12">
        <f>IF('Données projet'!$A$88&gt;35,BD36+BC37-BL36,IF(A37&lt;'Données projet'!$A$88,$BA$205^A37,IF(A37='Données projet'!$A$88,'Données projet'!$B$88,BD36+BC37-BL36)))</f>
        <v>444.36666666666656</v>
      </c>
      <c r="BE37" s="13">
        <f>BD37*VLOOKUP('Données projet'!$B$11,Paramètres!$A$1:$I$89,3,0)*VLOOKUP('Données projet'!$B$11,Paramètres!$A$1:$I$89,5,0)</f>
        <v>248.40096666666662</v>
      </c>
      <c r="BF37" s="13">
        <f t="shared" si="37"/>
        <v>60.243404162664191</v>
      </c>
      <c r="BG37" s="20">
        <f t="shared" si="7"/>
        <v>537.55561252775112</v>
      </c>
      <c r="BH37" s="59">
        <f t="shared" si="8"/>
        <v>830.88894586108449</v>
      </c>
      <c r="BI37" s="59">
        <f ca="1">AVERAGE(OFFSET($BH$3,0,0,'Données projet'!$E$11+1,1))-AVERAGE(OFFSET($H$3,0,0,'Données projet'!$E$11+1,1))</f>
        <v>350.01600895263641</v>
      </c>
      <c r="BJ37" s="59">
        <f t="shared" si="38"/>
        <v>464.08921044376882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45.26255589714237</v>
      </c>
      <c r="BR37" s="21">
        <f>EXP(-LN(2)/2)*BR36+(1-EXP(-LN(2)/2))/(LN(2)/2)*BL37*BO37*VLOOKUP('Données projet'!$B$11,Paramètres!$A$1:$I$89,3,0)*0.475*44/12</f>
        <v>0.18498013226570303</v>
      </c>
      <c r="BS37" s="22">
        <f t="shared" si="9"/>
        <v>45.44753602940807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629.70210582741151</v>
      </c>
      <c r="CD37" s="59">
        <f ca="1">AVERAGE(OFFSET($CC$3,0,0,'Données projet'!$E$12+1,1))-AVERAGE(OFFSET($H$3,0,0,'Données projet'!$E$12+1,1))</f>
        <v>279.49721661620544</v>
      </c>
      <c r="CE37" s="59">
        <f t="shared" si="40"/>
        <v>275.18739333988754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8.147490842142858</v>
      </c>
      <c r="CT37" s="12">
        <f>IF('Données projet'!$A$140&gt;35,CT36+CS37-DB36,IF(A37&lt;'Données projet'!$A$140,$CQ$205^A37,IF(A37='Données projet'!$A$140,'Données projet'!$B$140,CT36+CS37-DB36)))</f>
        <v>120.29509157857143</v>
      </c>
      <c r="CU37" s="17">
        <f>CT37*VLOOKUP('Données projet'!$B$13,Paramètres!$A$1:$I$89,3,0)*VLOOKUP('Données projet'!$B$13,Paramètres!$A$1:$I$89,5,0)</f>
        <v>121.97922286067144</v>
      </c>
      <c r="CV37" s="13">
        <f t="shared" si="41"/>
        <v>32.13618009925878</v>
      </c>
      <c r="CW37" s="20">
        <f t="shared" si="13"/>
        <v>268.41766015521176</v>
      </c>
      <c r="CX37" s="59">
        <f t="shared" si="14"/>
        <v>561.75099348854508</v>
      </c>
      <c r="CY37" s="59">
        <f ca="1">AVERAGE(OFFSET($CX$3,0,0,'Données projet'!$E$13+1,1))-AVERAGE(OFFSET($H$3,0,0,'Données projet'!$E$13+1,1))</f>
        <v>402.54350692668021</v>
      </c>
      <c r="CZ37" s="59">
        <f t="shared" si="42"/>
        <v>163.60655196884522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10.199999999999999</v>
      </c>
      <c r="DO37" s="12">
        <f>IF('Données projet'!$A$166&gt;35,DO36+DN37-DW36,IF(A37&lt;'Données projet'!$A$166,$DL$205^A37,IF(A37='Données projet'!$A$166,'Données projet'!$B$166,DO36+DN37-DW36)))</f>
        <v>128.80000000000001</v>
      </c>
      <c r="DP37" s="17">
        <f>DO37*VLOOKUP('Données projet'!$B$14,Paramètres!$A$1:$I$89,3,0)*VLOOKUP('Données projet'!$B$14,Paramètres!$A$1:$I$89,5,0)</f>
        <v>110.51040000000003</v>
      </c>
      <c r="DQ37" s="13">
        <f t="shared" si="43"/>
        <v>29.451206375056412</v>
      </c>
      <c r="DR37" s="20">
        <f t="shared" si="16"/>
        <v>243.76646443655662</v>
      </c>
      <c r="DS37" s="59">
        <f t="shared" si="17"/>
        <v>537.09979776988996</v>
      </c>
      <c r="DT37" s="59">
        <f ca="1">AVERAGE(OFFSET($DS$3,0,0,'Données projet'!$E$14+1,1))-AVERAGE(OFFSET($H$3,0,0,'Données projet'!$E$14+1,1))</f>
        <v>352.76625414822473</v>
      </c>
      <c r="DU37" s="59">
        <f t="shared" si="44"/>
        <v>186.48649111821521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7.3717948699999996</v>
      </c>
      <c r="EJ37" s="12">
        <f>IF('Données projet'!$A$192&gt;35,EJ36+EI37-ER36,IF(A37&lt;'Données projet'!$A$192,$EG$205^A37,IF(A37='Données projet'!$A$192,'Données projet'!$B$192,EJ36+EI37-ER36)))</f>
        <v>98.397435890000011</v>
      </c>
      <c r="EK37" s="17">
        <f>EJ37*VLOOKUP('Données projet'!$B$15,Paramètres!$A$1:$I$89,3,0)*VLOOKUP('Données projet'!$B$15,Paramètres!$A$1:$I$89,5,0)</f>
        <v>76.74999999420001</v>
      </c>
      <c r="EL37" s="13">
        <f t="shared" si="45"/>
        <v>21.340634369569766</v>
      </c>
      <c r="EM37" s="20">
        <f t="shared" si="19"/>
        <v>170.84118818356569</v>
      </c>
      <c r="EN37" s="59">
        <f t="shared" si="20"/>
        <v>464.17452151689901</v>
      </c>
      <c r="EO37" s="59">
        <f ca="1">AVERAGE(OFFSET($EN$3,0,0,'Données projet'!$E$15+1,1))-AVERAGE(OFFSET($H$3,0,0,'Données projet'!$E$15+1,1))</f>
        <v>130.66539383144681</v>
      </c>
      <c r="EP37" s="59">
        <f t="shared" si="46"/>
        <v>126.36398121441903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8.0627928140662863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8.0627928140662863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8.147490842142858</v>
      </c>
      <c r="FE37" s="12">
        <f>IF('Données projet'!$A$218&gt;35,FE36+FD37-FM36,IF(A37&lt;'Données projet'!$A$218,$FB$205^A37,IF(A37='Données projet'!$A$218,'Données projet'!$B$218,FE36+FD37-FM36)))</f>
        <v>120.29509157857143</v>
      </c>
      <c r="FF37" s="17">
        <f>FE37*VLOOKUP('Données projet'!$B$16,Paramètres!$A$1:$I$89,3,0)*VLOOKUP('Données projet'!$B$16,Paramètres!$A$1:$I$89,5,0)</f>
        <v>116.3494125747943</v>
      </c>
      <c r="FG37" s="13">
        <f t="shared" si="47"/>
        <v>30.822034876893653</v>
      </c>
      <c r="FH37" s="20">
        <f t="shared" si="22"/>
        <v>256.32360431168985</v>
      </c>
      <c r="FI37" s="59">
        <f t="shared" si="23"/>
        <v>549.65693764502316</v>
      </c>
      <c r="FJ37" s="59">
        <f ca="1">AVERAGE(OFFSET($FI$3,0,0,'Données projet'!$E$16+1,1))-AVERAGE(OFFSET($H$3,0,0,'Données projet'!$E$16+1,1))</f>
        <v>380.43199889536805</v>
      </c>
      <c r="FK37" s="59">
        <f t="shared" si="48"/>
        <v>154.72646317672996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235.16666666666666</v>
      </c>
      <c r="O38" s="13">
        <f>N38*VLOOKUP('Données projet'!$B$9,Paramètres!$A$1:$I$89,3,0)*VLOOKUP('Données projet'!$B$9,Paramètres!$A$1:$I$89,5,0)</f>
        <v>146.744</v>
      </c>
      <c r="P38" s="13">
        <f t="shared" si="33"/>
        <v>37.837705514258651</v>
      </c>
      <c r="Q38" s="20">
        <f t="shared" si="53"/>
        <v>321.47980377066716</v>
      </c>
      <c r="R38" s="59">
        <f t="shared" si="0"/>
        <v>614.81313710400048</v>
      </c>
      <c r="S38" s="59">
        <f ca="1">AVERAGE(OFFSET($R$3,0,0,'Données projet'!$E$9+1,1))-AVERAGE(OFFSET($H$3,0,0,'Données projet'!$E$9+1,1))</f>
        <v>179.44051550872138</v>
      </c>
      <c r="T38" s="59">
        <f t="shared" si="34"/>
        <v>272.9500808380069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42.1255305857906</v>
      </c>
      <c r="AB38" s="21">
        <f>EXP(-LN(2)/2)*AB37+(1-EXP(-LN(2)/2))/(LN(2)/2)*V38*Y38*VLOOKUP('Données projet'!$B$9,Paramètres!$A$1:$I$89,3,0)*0.475*44/12</f>
        <v>3.902969535364522E-2</v>
      </c>
      <c r="AC38" s="22">
        <f t="shared" si="3"/>
        <v>42.164560281144247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10.298307692000002</v>
      </c>
      <c r="AI38" s="13">
        <f>IF('Données projet'!$A$62&gt;35,AI37+AH38-AQ37,IF(A38&lt;'Données projet'!$A$62,$AF$205^A38,IF(A38='Données projet'!$A$62,'Données projet'!$B$62,AI37+AH38-AQ37)))</f>
        <v>111.36846154000003</v>
      </c>
      <c r="AJ38" s="13">
        <f>AI38*VLOOKUP('Données projet'!$B$10,Paramètres!$A$1:$I$89,3,0)*VLOOKUP('Données projet'!$B$10,Paramètres!$A$1:$I$89,5,0)</f>
        <v>53.568230000740016</v>
      </c>
      <c r="AK38" s="13">
        <f t="shared" si="35"/>
        <v>15.531541169741136</v>
      </c>
      <c r="AL38" s="20">
        <f t="shared" si="4"/>
        <v>120.34876812192131</v>
      </c>
      <c r="AM38" s="59">
        <f t="shared" si="5"/>
        <v>413.68210145525461</v>
      </c>
      <c r="AN38" s="59">
        <f ca="1">AVERAGE(OFFSET($AM$3,0,0,'Données projet'!$E$10+1,1))-AVERAGE(OFFSET($H$3,0,0,'Données projet'!$E$10+1,1))</f>
        <v>174.18188687702559</v>
      </c>
      <c r="AO38" s="59">
        <f t="shared" si="36"/>
        <v>32.17353897322738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28.661666666666662</v>
      </c>
      <c r="BD38" s="12">
        <f>IF('Données projet'!$A$88&gt;35,BD37+BC38-BL37,IF(A38&lt;'Données projet'!$A$88,$BA$205^A38,IF(A38='Données projet'!$A$88,'Données projet'!$B$88,BD37+BC38-BL37)))</f>
        <v>473.02833333333319</v>
      </c>
      <c r="BE38" s="13">
        <f>BD38*VLOOKUP('Données projet'!$B$11,Paramètres!$A$1:$I$89,3,0)*VLOOKUP('Données projet'!$B$11,Paramètres!$A$1:$I$89,5,0)</f>
        <v>264.42283833333329</v>
      </c>
      <c r="BF38" s="13">
        <f t="shared" si="37"/>
        <v>63.664220837814945</v>
      </c>
      <c r="BG38" s="20">
        <f t="shared" si="7"/>
        <v>571.41829472308314</v>
      </c>
      <c r="BH38" s="59">
        <f t="shared" si="8"/>
        <v>864.75162805641639</v>
      </c>
      <c r="BI38" s="59">
        <f ca="1">AVERAGE(OFFSET($BH$3,0,0,'Données projet'!$E$11+1,1))-AVERAGE(OFFSET($H$3,0,0,'Données projet'!$E$11+1,1))</f>
        <v>350.01600895263641</v>
      </c>
      <c r="BJ38" s="59">
        <f t="shared" si="38"/>
        <v>464.08921044376882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44.024848925880647</v>
      </c>
      <c r="BR38" s="21">
        <f>EXP(-LN(2)/2)*BR37+(1-EXP(-LN(2)/2))/(LN(2)/2)*BL38*BO38*VLOOKUP('Données projet'!$B$11,Paramètres!$A$1:$I$89,3,0)*0.475*44/12</f>
        <v>0.13080070590986309</v>
      </c>
      <c r="BS38" s="22">
        <f t="shared" si="9"/>
        <v>44.15564963179051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651.44280724068744</v>
      </c>
      <c r="CD38" s="59">
        <f ca="1">AVERAGE(OFFSET($CC$3,0,0,'Données projet'!$E$12+1,1))-AVERAGE(OFFSET($H$3,0,0,'Données projet'!$E$12+1,1))</f>
        <v>279.49721661620544</v>
      </c>
      <c r="CE38" s="59">
        <f t="shared" si="40"/>
        <v>275.18739333988754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16.314951939891504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16.314951939891504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8.147490842142858</v>
      </c>
      <c r="CT38" s="12">
        <f>IF('Données projet'!$A$140&gt;35,CT37+CS38-DB37,IF(A38&lt;'Données projet'!$A$140,$CQ$205^A38,IF(A38='Données projet'!$A$140,'Données projet'!$B$140,CT37+CS38-DB37)))</f>
        <v>128.4425824207143</v>
      </c>
      <c r="CU38" s="17">
        <f>CT38*VLOOKUP('Données projet'!$B$13,Paramètres!$A$1:$I$89,3,0)*VLOOKUP('Données projet'!$B$13,Paramètres!$A$1:$I$89,5,0)</f>
        <v>130.24077857460429</v>
      </c>
      <c r="CV38" s="13">
        <f t="shared" si="41"/>
        <v>34.051990198278084</v>
      </c>
      <c r="CW38" s="20">
        <f t="shared" si="13"/>
        <v>286.14323894610345</v>
      </c>
      <c r="CX38" s="59">
        <f t="shared" si="14"/>
        <v>579.47657227943682</v>
      </c>
      <c r="CY38" s="59">
        <f ca="1">AVERAGE(OFFSET($CX$3,0,0,'Données projet'!$E$13+1,1))-AVERAGE(OFFSET($H$3,0,0,'Données projet'!$E$13+1,1))</f>
        <v>402.54350692668021</v>
      </c>
      <c r="CZ38" s="59">
        <f t="shared" si="42"/>
        <v>163.60655196884522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139</v>
      </c>
      <c r="DM38" s="12">
        <f>VLOOKUP(A38,'Données projet'!$A$165:$I$185,9,0)</f>
        <v>10.199999999999999</v>
      </c>
      <c r="DN38" s="12">
        <f t="array" ref="DN38">INDEX(DM:DM,MIN(IF(ISNUMBER(DM38:DM234),ROW(DM38:DM234),"")))</f>
        <v>10.199999999999999</v>
      </c>
      <c r="DO38" s="12">
        <f>IF('Données projet'!$A$166&gt;35,DO37+DN38-DW37,IF(A38&lt;'Données projet'!$A$166,$DL$205^A38,IF(A38='Données projet'!$A$166,'Données projet'!$B$166,DO37+DN38-DW37)))</f>
        <v>139</v>
      </c>
      <c r="DP38" s="17">
        <f>DO38*VLOOKUP('Données projet'!$B$14,Paramètres!$A$1:$I$89,3,0)*VLOOKUP('Données projet'!$B$14,Paramètres!$A$1:$I$89,5,0)</f>
        <v>119.26200000000001</v>
      </c>
      <c r="DQ38" s="13">
        <f t="shared" si="43"/>
        <v>31.502811162802828</v>
      </c>
      <c r="DR38" s="20">
        <f t="shared" si="16"/>
        <v>262.58204610854824</v>
      </c>
      <c r="DS38" s="59">
        <f t="shared" si="17"/>
        <v>555.91537944188156</v>
      </c>
      <c r="DT38" s="59">
        <f ca="1">AVERAGE(OFFSET($DS$3,0,0,'Données projet'!$E$14+1,1))-AVERAGE(OFFSET($H$3,0,0,'Données projet'!$E$14+1,1))</f>
        <v>352.76625414822473</v>
      </c>
      <c r="DU38" s="59">
        <f t="shared" si="44"/>
        <v>186.48649111821521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0.53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14.075644810886788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14.075644810886788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7.3717948699999996</v>
      </c>
      <c r="EJ38" s="12">
        <f>IF('Données projet'!$A$192&gt;35,EJ37+EI38-ER37,IF(A38&lt;'Données projet'!$A$192,$EG$205^A38,IF(A38='Données projet'!$A$192,'Données projet'!$B$192,EJ37+EI38-ER37)))</f>
        <v>105.76923076000001</v>
      </c>
      <c r="EK38" s="17">
        <f>EJ38*VLOOKUP('Données projet'!$B$15,Paramètres!$A$1:$I$89,3,0)*VLOOKUP('Données projet'!$B$15,Paramètres!$A$1:$I$89,5,0)</f>
        <v>82.499999992800014</v>
      </c>
      <c r="EL38" s="13">
        <f t="shared" si="45"/>
        <v>22.747348107942088</v>
      </c>
      <c r="EM38" s="20">
        <f t="shared" si="19"/>
        <v>183.30579794212579</v>
      </c>
      <c r="EN38" s="59">
        <f t="shared" si="20"/>
        <v>476.63913127545914</v>
      </c>
      <c r="EO38" s="59">
        <f ca="1">AVERAGE(OFFSET($EN$3,0,0,'Données projet'!$E$15+1,1))-AVERAGE(OFFSET($H$3,0,0,'Données projet'!$E$15+1,1))</f>
        <v>130.66539383144681</v>
      </c>
      <c r="EP38" s="59">
        <f t="shared" si="46"/>
        <v>126.36398121441903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7.9046863648004688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7.9046863648004688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8.147490842142858</v>
      </c>
      <c r="FE38" s="12">
        <f>IF('Données projet'!$A$218&gt;35,FE37+FD38-FM37,IF(A38&lt;'Données projet'!$A$218,$FB$205^A38,IF(A38='Données projet'!$A$218,'Données projet'!$B$218,FE37+FD38-FM37)))</f>
        <v>128.4425824207143</v>
      </c>
      <c r="FF38" s="17">
        <f>FE38*VLOOKUP('Données projet'!$B$16,Paramètres!$A$1:$I$89,3,0)*VLOOKUP('Données projet'!$B$16,Paramètres!$A$1:$I$89,5,0)</f>
        <v>124.22966571731487</v>
      </c>
      <c r="FG38" s="13">
        <f t="shared" si="47"/>
        <v>32.659501729117295</v>
      </c>
      <c r="FH38" s="20">
        <f t="shared" si="22"/>
        <v>273.24863330253601</v>
      </c>
      <c r="FI38" s="59">
        <f t="shared" si="23"/>
        <v>566.58196663586932</v>
      </c>
      <c r="FJ38" s="59">
        <f ca="1">AVERAGE(OFFSET($FI$3,0,0,'Données projet'!$E$16+1,1))-AVERAGE(OFFSET($H$3,0,0,'Données projet'!$E$16+1,1))</f>
        <v>380.43199889536805</v>
      </c>
      <c r="FK38" s="59">
        <f t="shared" si="48"/>
        <v>154.72646317672996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248</v>
      </c>
      <c r="L39" s="12">
        <f>VLOOKUP(A39,'Données projet'!$A$35:$I$55,9,0)</f>
        <v>12.833333333333334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248</v>
      </c>
      <c r="O39" s="13">
        <f>N39*VLOOKUP('Données projet'!$B$9,Paramètres!$A$1:$I$89,3,0)*VLOOKUP('Données projet'!$B$9,Paramètres!$A$1:$I$89,5,0)</f>
        <v>154.75199999999998</v>
      </c>
      <c r="P39" s="13">
        <f t="shared" si="33"/>
        <v>39.656526650076415</v>
      </c>
      <c r="Q39" s="20">
        <f t="shared" si="53"/>
        <v>338.5948505822164</v>
      </c>
      <c r="R39" s="59">
        <f t="shared" si="0"/>
        <v>631.92818391554965</v>
      </c>
      <c r="S39" s="59">
        <f ca="1">AVERAGE(OFFSET($R$3,0,0,'Données projet'!$E$9+1,1))-AVERAGE(OFFSET($H$3,0,0,'Données projet'!$E$9+1,1))</f>
        <v>179.44051550872138</v>
      </c>
      <c r="T39" s="59">
        <f t="shared" si="34"/>
        <v>272.9500808380069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62</v>
      </c>
      <c r="W39" s="16">
        <f>IF(ISNA(VLOOKUP(A39,'Données projet'!$A$35:$I$55,5,0)),0%,VLOOKUP(A39,'Données projet'!$A$35:$I$55,5,0)*VLOOKUP('Données projet'!$B$9,Paramètres!$A$1:$I$89,7,0))</f>
        <v>0.6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30.79327539122696</v>
      </c>
      <c r="AA39" s="21">
        <f>EXP(-LN(2)/25)*AA38+(1-EXP(-LN(2)/25))/(LN(2)/25)*Calculateur!V39*Calculateur!X39*VLOOKUP('Données projet'!$B$9,Paramètres!$A$1:$I$89,3,0)*0.475*44/12</f>
        <v>40.973605736636785</v>
      </c>
      <c r="AB39" s="21">
        <f>EXP(-LN(2)/2)*AB38+(1-EXP(-LN(2)/2))/(LN(2)/2)*V39*Y39*VLOOKUP('Données projet'!$B$9,Paramètres!$A$1:$I$89,3,0)*0.475*44/12</f>
        <v>2.7598162252207622E-2</v>
      </c>
      <c r="AC39" s="22">
        <f t="shared" si="3"/>
        <v>71.794479290115945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10.298307692000002</v>
      </c>
      <c r="AI39" s="13">
        <f>IF('Données projet'!$A$62&gt;35,AI38+AH39-AQ38,IF(A39&lt;'Données projet'!$A$62,$AF$205^A39,IF(A39='Données projet'!$A$62,'Données projet'!$B$62,AI38+AH39-AQ38)))</f>
        <v>121.66676923200004</v>
      </c>
      <c r="AJ39" s="13">
        <f>AI39*VLOOKUP('Données projet'!$B$10,Paramètres!$A$1:$I$89,3,0)*VLOOKUP('Données projet'!$B$10,Paramètres!$A$1:$I$89,5,0)</f>
        <v>58.521716000592015</v>
      </c>
      <c r="AK39" s="13">
        <f t="shared" si="35"/>
        <v>16.793971514557231</v>
      </c>
      <c r="AL39" s="20">
        <f t="shared" si="4"/>
        <v>131.17482242221828</v>
      </c>
      <c r="AM39" s="59">
        <f t="shared" si="5"/>
        <v>424.50815575555157</v>
      </c>
      <c r="AN39" s="59">
        <f ca="1">AVERAGE(OFFSET($AM$3,0,0,'Données projet'!$E$10+1,1))-AVERAGE(OFFSET($H$3,0,0,'Données projet'!$E$10+1,1))</f>
        <v>174.18188687702559</v>
      </c>
      <c r="AO39" s="59">
        <f t="shared" si="36"/>
        <v>32.17353897322738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501.69</v>
      </c>
      <c r="BB39" s="12">
        <f>VLOOKUP(A39,'Données projet'!$A$87:$I$107,9,0)</f>
        <v>28.661666666666662</v>
      </c>
      <c r="BC39" s="12">
        <f t="array" ref="BC39">INDEX(BB:BB,MIN(IF(ISNUMBER(BB39:BB235),ROW(BB39:BB235),"")))</f>
        <v>28.661666666666662</v>
      </c>
      <c r="BD39" s="12">
        <f>IF('Données projet'!$A$88&gt;35,BD38+BC39-BL38,IF(A39&lt;'Données projet'!$A$88,$BA$205^A39,IF(A39='Données projet'!$A$88,'Données projet'!$B$88,BD38+BC39-BL38)))</f>
        <v>501.68999999999983</v>
      </c>
      <c r="BE39" s="13">
        <f>BD39*VLOOKUP('Données projet'!$B$11,Paramètres!$A$1:$I$89,3,0)*VLOOKUP('Données projet'!$B$11,Paramètres!$A$1:$I$89,5,0)</f>
        <v>280.44470999999987</v>
      </c>
      <c r="BF39" s="13">
        <f t="shared" si="37"/>
        <v>67.06098020598759</v>
      </c>
      <c r="BG39" s="20">
        <f t="shared" si="7"/>
        <v>605.23907710876153</v>
      </c>
      <c r="BH39" s="59">
        <f t="shared" si="8"/>
        <v>898.57241044209491</v>
      </c>
      <c r="BI39" s="59">
        <f ca="1">AVERAGE(OFFSET($BH$3,0,0,'Données projet'!$E$11+1,1))-AVERAGE(OFFSET($H$3,0,0,'Données projet'!$E$11+1,1))</f>
        <v>350.01600895263641</v>
      </c>
      <c r="BJ39" s="59">
        <f t="shared" si="38"/>
        <v>464.08921044376882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85.88</v>
      </c>
      <c r="BM39" s="16">
        <f>IF(ISNA(VLOOKUP(A39,'Données projet'!$A$87:$I$107,5,0)),0%,VLOOKUP(A39,'Données projet'!$A$87:$I$107,5,0)*VLOOKUP('Données projet'!$B$11,Paramètres!$A$1:$I$89,7,0))</f>
        <v>0.55000000000000004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35.026350527921267</v>
      </c>
      <c r="BQ39" s="21">
        <f>EXP(-LN(2)/25)*BQ38+(1-EXP(-LN(2)/25))/(LN(2)/25)*Calculateur!BL39*Calculateur!BN39*VLOOKUP('Données projet'!$B$11,Paramètres!$A$1:$I$89,3,0)*0.475*44/12</f>
        <v>42.820987116836257</v>
      </c>
      <c r="BR39" s="21">
        <f>EXP(-LN(2)/2)*BR38+(1-EXP(-LN(2)/2))/(LN(2)/2)*BL39*BO39*VLOOKUP('Données projet'!$B$11,Paramètres!$A$1:$I$89,3,0)*0.475*44/12</f>
        <v>9.2490066132851517E-2</v>
      </c>
      <c r="BS39" s="22">
        <f t="shared" si="9"/>
        <v>77.93982771089037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611.33435455871222</v>
      </c>
      <c r="CD39" s="59">
        <f ca="1">AVERAGE(OFFSET($CC$3,0,0,'Données projet'!$E$12+1,1))-AVERAGE(OFFSET($H$3,0,0,'Données projet'!$E$12+1,1))</f>
        <v>279.49721661620544</v>
      </c>
      <c r="CE39" s="59">
        <f t="shared" si="40"/>
        <v>275.18739333988754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15.995025683488322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15.995025683488322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8.147490842142858</v>
      </c>
      <c r="CT39" s="12">
        <f>IF('Données projet'!$A$140&gt;35,CT38+CS39-DB38,IF(A39&lt;'Données projet'!$A$140,$CQ$205^A39,IF(A39='Données projet'!$A$140,'Données projet'!$B$140,CT38+CS39-DB38)))</f>
        <v>136.59007326285717</v>
      </c>
      <c r="CU39" s="17">
        <f>CT39*VLOOKUP('Données projet'!$B$13,Paramètres!$A$1:$I$89,3,0)*VLOOKUP('Données projet'!$B$13,Paramètres!$A$1:$I$89,5,0)</f>
        <v>138.50233428853718</v>
      </c>
      <c r="CV39" s="13">
        <f t="shared" si="41"/>
        <v>35.953696845415493</v>
      </c>
      <c r="CW39" s="20">
        <f t="shared" si="13"/>
        <v>303.84425422496753</v>
      </c>
      <c r="CX39" s="59">
        <f t="shared" si="14"/>
        <v>597.17758755830084</v>
      </c>
      <c r="CY39" s="59">
        <f ca="1">AVERAGE(OFFSET($CX$3,0,0,'Données projet'!$E$13+1,1))-AVERAGE(OFFSET($H$3,0,0,'Données projet'!$E$13+1,1))</f>
        <v>402.54350692668021</v>
      </c>
      <c r="CZ39" s="59">
        <f t="shared" si="42"/>
        <v>163.60655196884522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10.4</v>
      </c>
      <c r="DO39" s="12">
        <f>IF('Données projet'!$A$166&gt;35,DO38+DN39-DW38,IF(A39&lt;'Données projet'!$A$166,$DL$205^A39,IF(A39='Données projet'!$A$166,'Données projet'!$B$166,DO38+DN39-DW38)))</f>
        <v>121.4</v>
      </c>
      <c r="DP39" s="17">
        <f>DO39*VLOOKUP('Données projet'!$B$14,Paramètres!$A$1:$I$89,3,0)*VLOOKUP('Données projet'!$B$14,Paramètres!$A$1:$I$89,5,0)</f>
        <v>104.16120000000002</v>
      </c>
      <c r="DQ39" s="13">
        <f t="shared" si="43"/>
        <v>27.95098158074293</v>
      </c>
      <c r="DR39" s="20">
        <f t="shared" si="16"/>
        <v>230.09538291979393</v>
      </c>
      <c r="DS39" s="59">
        <f t="shared" si="17"/>
        <v>523.42871625312728</v>
      </c>
      <c r="DT39" s="59">
        <f ca="1">AVERAGE(OFFSET($DS$3,0,0,'Données projet'!$E$14+1,1))-AVERAGE(OFFSET($H$3,0,0,'Données projet'!$E$14+1,1))</f>
        <v>352.76625414822473</v>
      </c>
      <c r="DU39" s="59">
        <f t="shared" si="44"/>
        <v>186.48649111821521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13.799630001440905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13.799630001440905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7.3717948699999996</v>
      </c>
      <c r="EJ39" s="12">
        <f>IF('Données projet'!$A$192&gt;35,EJ38+EI39-ER38,IF(A39&lt;'Données projet'!$A$192,$EG$205^A39,IF(A39='Données projet'!$A$192,'Données projet'!$B$192,EJ38+EI39-ER38)))</f>
        <v>113.14102563000002</v>
      </c>
      <c r="EK39" s="17">
        <f>EJ39*VLOOKUP('Données projet'!$B$15,Paramètres!$A$1:$I$89,3,0)*VLOOKUP('Données projet'!$B$15,Paramètres!$A$1:$I$89,5,0)</f>
        <v>88.249999991400017</v>
      </c>
      <c r="EL39" s="13">
        <f t="shared" si="45"/>
        <v>24.14268601084925</v>
      </c>
      <c r="EM39" s="20">
        <f t="shared" si="19"/>
        <v>195.75059478725078</v>
      </c>
      <c r="EN39" s="59">
        <f t="shared" si="20"/>
        <v>489.08392812058412</v>
      </c>
      <c r="EO39" s="59">
        <f ca="1">AVERAGE(OFFSET($EN$3,0,0,'Données projet'!$E$15+1,1))-AVERAGE(OFFSET($H$3,0,0,'Données projet'!$E$15+1,1))</f>
        <v>130.66539383144681</v>
      </c>
      <c r="EP39" s="59">
        <f t="shared" si="46"/>
        <v>126.36398121441903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7.7496802865693422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7.7496802865693422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8.147490842142858</v>
      </c>
      <c r="FE39" s="12">
        <f>IF('Données projet'!$A$218&gt;35,FE38+FD39-FM38,IF(A39&lt;'Données projet'!$A$218,$FB$205^A39,IF(A39='Données projet'!$A$218,'Données projet'!$B$218,FE38+FD39-FM38)))</f>
        <v>136.59007326285717</v>
      </c>
      <c r="FF39" s="17">
        <f>FE39*VLOOKUP('Données projet'!$B$16,Paramètres!$A$1:$I$89,3,0)*VLOOKUP('Données projet'!$B$16,Paramètres!$A$1:$I$89,5,0)</f>
        <v>132.10991885983546</v>
      </c>
      <c r="FG39" s="13">
        <f t="shared" si="47"/>
        <v>34.483441862096655</v>
      </c>
      <c r="FH39" s="20">
        <f t="shared" si="22"/>
        <v>290.15010325736512</v>
      </c>
      <c r="FI39" s="59">
        <f t="shared" si="23"/>
        <v>583.48343659069837</v>
      </c>
      <c r="FJ39" s="59">
        <f ca="1">AVERAGE(OFFSET($FI$3,0,0,'Données projet'!$E$16+1,1))-AVERAGE(OFFSET($H$3,0,0,'Données projet'!$E$16+1,1))</f>
        <v>380.43199889536805</v>
      </c>
      <c r="FK39" s="59">
        <f t="shared" si="48"/>
        <v>154.72646317672996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11.5</v>
      </c>
      <c r="N40" s="13">
        <f>IF('Données projet'!$A$36&gt;35,N39+M40-V39,IF(A40&lt;'Données projet'!$A$36,$K$205^A40,IF(A40='Données projet'!$A$36,'Données projet'!$B$36,N39+M40-V39)))</f>
        <v>197.5</v>
      </c>
      <c r="O40" s="13">
        <f>N40*VLOOKUP('Données projet'!$B$9,Paramètres!$A$1:$I$89,3,0)*VLOOKUP('Données projet'!$B$9,Paramètres!$A$1:$I$89,5,0)</f>
        <v>123.24</v>
      </c>
      <c r="P40" s="13">
        <f t="shared" si="33"/>
        <v>32.429500380369056</v>
      </c>
      <c r="Q40" s="20">
        <f t="shared" si="53"/>
        <v>271.12437982914275</v>
      </c>
      <c r="R40" s="59">
        <f t="shared" si="0"/>
        <v>564.45771316247601</v>
      </c>
      <c r="S40" s="59">
        <f ca="1">AVERAGE(OFFSET($R$3,0,0,'Données projet'!$E$9+1,1))-AVERAGE(OFFSET($H$3,0,0,'Données projet'!$E$9+1,1))</f>
        <v>179.44051550872138</v>
      </c>
      <c r="T40" s="59">
        <f t="shared" si="34"/>
        <v>272.9500808380069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30.189438042848415</v>
      </c>
      <c r="AA40" s="21">
        <f>EXP(-LN(2)/25)*AA39+(1-EXP(-LN(2)/25))/(LN(2)/25)*Calculateur!V40*Calculateur!X40*VLOOKUP('Données projet'!$B$9,Paramètres!$A$1:$I$89,3,0)*0.475*44/12</f>
        <v>39.853180333060173</v>
      </c>
      <c r="AB40" s="21">
        <f>EXP(-LN(2)/2)*AB39+(1-EXP(-LN(2)/2))/(LN(2)/2)*V40*Y40*VLOOKUP('Données projet'!$B$9,Paramètres!$A$1:$I$89,3,0)*0.475*44/12</f>
        <v>1.951484767682261E-2</v>
      </c>
      <c r="AC40" s="22">
        <f t="shared" si="3"/>
        <v>70.062133223585406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10.298307692000002</v>
      </c>
      <c r="AI40" s="13">
        <f>IF('Données projet'!$A$62&gt;35,AI39+AH40-AQ39,IF(A40&lt;'Données projet'!$A$62,$AF$205^A40,IF(A40='Données projet'!$A$62,'Données projet'!$B$62,AI39+AH40-AQ39)))</f>
        <v>131.96507692400004</v>
      </c>
      <c r="AJ40" s="13">
        <f>AI40*VLOOKUP('Données projet'!$B$10,Paramètres!$A$1:$I$89,3,0)*VLOOKUP('Données projet'!$B$10,Paramètres!$A$1:$I$89,5,0)</f>
        <v>63.475202000444021</v>
      </c>
      <c r="AK40" s="13">
        <f t="shared" si="35"/>
        <v>18.044009215503383</v>
      </c>
      <c r="AL40" s="20">
        <f t="shared" si="4"/>
        <v>141.97929286777506</v>
      </c>
      <c r="AM40" s="59">
        <f t="shared" si="5"/>
        <v>435.3126262011084</v>
      </c>
      <c r="AN40" s="59">
        <f ca="1">AVERAGE(OFFSET($AM$3,0,0,'Données projet'!$E$10+1,1))-AVERAGE(OFFSET($H$3,0,0,'Données projet'!$E$10+1,1))</f>
        <v>174.18188687702559</v>
      </c>
      <c r="AO40" s="59">
        <f t="shared" si="36"/>
        <v>32.17353897322738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28.093333333333334</v>
      </c>
      <c r="BD40" s="12">
        <f>IF('Données projet'!$A$88&gt;35,BD39+BC40-BL39,IF(A40&lt;'Données projet'!$A$88,$BA$205^A40,IF(A40='Données projet'!$A$88,'Données projet'!$B$88,BD39+BC40-BL39)))</f>
        <v>443.90333333333319</v>
      </c>
      <c r="BE40" s="13">
        <f>BD40*VLOOKUP('Données projet'!$B$11,Paramètres!$A$1:$I$89,3,0)*VLOOKUP('Données projet'!$B$11,Paramètres!$A$1:$I$89,5,0)</f>
        <v>248.14196333333328</v>
      </c>
      <c r="BF40" s="13">
        <f t="shared" si="37"/>
        <v>60.187897687681328</v>
      </c>
      <c r="BG40" s="20">
        <f t="shared" si="7"/>
        <v>537.00784127826716</v>
      </c>
      <c r="BH40" s="59">
        <f t="shared" si="8"/>
        <v>830.34117461160054</v>
      </c>
      <c r="BI40" s="59">
        <f ca="1">AVERAGE(OFFSET($BH$3,0,0,'Données projet'!$E$11+1,1))-AVERAGE(OFFSET($H$3,0,0,'Données projet'!$E$11+1,1))</f>
        <v>350.01600895263641</v>
      </c>
      <c r="BJ40" s="59">
        <f t="shared" si="38"/>
        <v>464.08921044376882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34.339505158033035</v>
      </c>
      <c r="BQ40" s="21">
        <f>EXP(-LN(2)/25)*BQ39+(1-EXP(-LN(2)/25))/(LN(2)/25)*Calculateur!BL40*Calculateur!BN40*VLOOKUP('Données projet'!$B$11,Paramètres!$A$1:$I$89,3,0)*0.475*44/12</f>
        <v>41.650044972268525</v>
      </c>
      <c r="BR40" s="21">
        <f>EXP(-LN(2)/2)*BR39+(1-EXP(-LN(2)/2))/(LN(2)/2)*BL40*BO40*VLOOKUP('Données projet'!$B$11,Paramètres!$A$1:$I$89,3,0)*0.475*44/12</f>
        <v>6.5400352954931545E-2</v>
      </c>
      <c r="BS40" s="22">
        <f t="shared" si="9"/>
        <v>76.054950483256491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630.72187634629779</v>
      </c>
      <c r="CD40" s="59">
        <f ca="1">AVERAGE(OFFSET($CC$3,0,0,'Données projet'!$E$12+1,1))-AVERAGE(OFFSET($H$3,0,0,'Données projet'!$E$12+1,1))</f>
        <v>279.49721661620544</v>
      </c>
      <c r="CE40" s="59">
        <f t="shared" si="40"/>
        <v>275.18739333988754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15.681372985837458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15.681372985837458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8.147490842142858</v>
      </c>
      <c r="CT40" s="12">
        <f>IF('Données projet'!$A$140&gt;35,CT39+CS40-DB39,IF(A40&lt;'Données projet'!$A$140,$CQ$205^A40,IF(A40='Données projet'!$A$140,'Données projet'!$B$140,CT39+CS40-DB39)))</f>
        <v>144.73756410500005</v>
      </c>
      <c r="CU40" s="17">
        <f>CT40*VLOOKUP('Données projet'!$B$13,Paramètres!$A$1:$I$89,3,0)*VLOOKUP('Données projet'!$B$13,Paramètres!$A$1:$I$89,5,0)</f>
        <v>146.76389000247005</v>
      </c>
      <c r="CV40" s="13">
        <f t="shared" si="41"/>
        <v>37.842237114155481</v>
      </c>
      <c r="CW40" s="20">
        <f t="shared" si="13"/>
        <v>321.52233806145614</v>
      </c>
      <c r="CX40" s="59">
        <f t="shared" si="14"/>
        <v>614.8556713947894</v>
      </c>
      <c r="CY40" s="59">
        <f ca="1">AVERAGE(OFFSET($CX$3,0,0,'Données projet'!$E$13+1,1))-AVERAGE(OFFSET($H$3,0,0,'Données projet'!$E$13+1,1))</f>
        <v>402.54350692668021</v>
      </c>
      <c r="CZ40" s="59">
        <f t="shared" si="42"/>
        <v>163.60655196884522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10.4</v>
      </c>
      <c r="DO40" s="12">
        <f>IF('Données projet'!$A$166&gt;35,DO39+DN40-DW39,IF(A40&lt;'Données projet'!$A$166,$DL$205^A40,IF(A40='Données projet'!$A$166,'Données projet'!$B$166,DO39+DN40-DW39)))</f>
        <v>131.80000000000001</v>
      </c>
      <c r="DP40" s="17">
        <f>DO40*VLOOKUP('Données projet'!$B$14,Paramètres!$A$1:$I$89,3,0)*VLOOKUP('Données projet'!$B$14,Paramètres!$A$1:$I$89,5,0)</f>
        <v>113.08440000000002</v>
      </c>
      <c r="DQ40" s="13">
        <f t="shared" si="43"/>
        <v>30.05651952806824</v>
      </c>
      <c r="DR40" s="20">
        <f t="shared" si="16"/>
        <v>249.3037681780522</v>
      </c>
      <c r="DS40" s="59">
        <f t="shared" si="17"/>
        <v>542.63710151138548</v>
      </c>
      <c r="DT40" s="59">
        <f ca="1">AVERAGE(OFFSET($DS$3,0,0,'Données projet'!$E$14+1,1))-AVERAGE(OFFSET($H$3,0,0,'Données projet'!$E$14+1,1))</f>
        <v>352.76625414822473</v>
      </c>
      <c r="DU40" s="59">
        <f t="shared" si="44"/>
        <v>186.48649111821521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13.529027674055845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13.529027674055845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120.5128205</v>
      </c>
      <c r="EH40" s="12">
        <f>VLOOKUP(A40,'Données projet'!$A$191:$I$211,9,0)</f>
        <v>7.3717948699999996</v>
      </c>
      <c r="EI40" s="12">
        <f t="array" ref="EI40">INDEX(EH:EH,MIN(IF(ISNUMBER(EH40:EH236),ROW(EH40:EH236),"")))</f>
        <v>7.3717948699999996</v>
      </c>
      <c r="EJ40" s="12">
        <f>IF('Données projet'!$A$192&gt;35,EJ39+EI40-ER39,IF(A40&lt;'Données projet'!$A$192,$EG$205^A40,IF(A40='Données projet'!$A$192,'Données projet'!$B$192,EJ39+EI40-ER39)))</f>
        <v>120.51282050000002</v>
      </c>
      <c r="EK40" s="17">
        <f>EJ40*VLOOKUP('Données projet'!$B$15,Paramètres!$A$1:$I$89,3,0)*VLOOKUP('Données projet'!$B$15,Paramètres!$A$1:$I$89,5,0)</f>
        <v>93.99999999000002</v>
      </c>
      <c r="EL40" s="13">
        <f t="shared" si="45"/>
        <v>25.527473631949714</v>
      </c>
      <c r="EM40" s="20">
        <f t="shared" si="19"/>
        <v>208.1770165582291</v>
      </c>
      <c r="EN40" s="59">
        <f t="shared" si="20"/>
        <v>501.51034989156244</v>
      </c>
      <c r="EO40" s="59">
        <f ca="1">AVERAGE(OFFSET($EN$3,0,0,'Données projet'!$E$15+1,1))-AVERAGE(OFFSET($H$3,0,0,'Données projet'!$E$15+1,1))</f>
        <v>130.66539383144681</v>
      </c>
      <c r="EP40" s="59">
        <f t="shared" si="46"/>
        <v>126.36398121441903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23.07692308</v>
      </c>
      <c r="ES40" s="16">
        <f>IF(ISNA(VLOOKUP(A40,'Données projet'!$A$191:$I$211,5,0)),0%,VLOOKUP(A40,'Données projet'!$A$191:$I$211,5,0)*VLOOKUP('Données projet'!$B$15,Paramètres!$A$1:$I$89,7,0))</f>
        <v>0.43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16.154054521713835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16.154054521713835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8.147490842142858</v>
      </c>
      <c r="FE40" s="12">
        <f>IF('Données projet'!$A$218&gt;35,FE39+FD40-FM39,IF(A40&lt;'Données projet'!$A$218,$FB$205^A40,IF(A40='Données projet'!$A$218,'Données projet'!$B$218,FE39+FD40-FM39)))</f>
        <v>144.73756410500005</v>
      </c>
      <c r="FF40" s="17">
        <f>FE40*VLOOKUP('Données projet'!$B$16,Paramètres!$A$1:$I$89,3,0)*VLOOKUP('Données projet'!$B$16,Paramètres!$A$1:$I$89,5,0)</f>
        <v>139.99017200235605</v>
      </c>
      <c r="FG40" s="13">
        <f t="shared" si="47"/>
        <v>36.29475402955817</v>
      </c>
      <c r="FH40" s="20">
        <f t="shared" si="22"/>
        <v>307.02957950558391</v>
      </c>
      <c r="FI40" s="59">
        <f t="shared" si="23"/>
        <v>600.36291283891728</v>
      </c>
      <c r="FJ40" s="59">
        <f ca="1">AVERAGE(OFFSET($FI$3,0,0,'Données projet'!$E$16+1,1))-AVERAGE(OFFSET($H$3,0,0,'Données projet'!$E$16+1,1))</f>
        <v>380.43199889536805</v>
      </c>
      <c r="FK40" s="59">
        <f t="shared" si="48"/>
        <v>154.72646317672996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11.5</v>
      </c>
      <c r="N41" s="13">
        <f>IF('Données projet'!$A$36&gt;35,N40+M41-V40,IF(A41&lt;'Données projet'!$A$36,$K$205^A41,IF(A41='Données projet'!$A$36,'Données projet'!$B$36,N40+M41-V40)))</f>
        <v>209</v>
      </c>
      <c r="O41" s="13">
        <f>N41*VLOOKUP('Données projet'!$B$9,Paramètres!$A$1:$I$89,3,0)*VLOOKUP('Données projet'!$B$9,Paramètres!$A$1:$I$89,5,0)</f>
        <v>130.416</v>
      </c>
      <c r="P41" s="13">
        <f t="shared" si="33"/>
        <v>34.092466837179941</v>
      </c>
      <c r="Q41" s="20">
        <f t="shared" si="53"/>
        <v>286.51891307475506</v>
      </c>
      <c r="R41" s="59">
        <f t="shared" si="0"/>
        <v>579.85224640808838</v>
      </c>
      <c r="S41" s="59">
        <f ca="1">AVERAGE(OFFSET($R$3,0,0,'Données projet'!$E$9+1,1))-AVERAGE(OFFSET($H$3,0,0,'Données projet'!$E$9+1,1))</f>
        <v>179.44051550872138</v>
      </c>
      <c r="T41" s="59">
        <f t="shared" si="34"/>
        <v>272.9500808380069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29.59744157656716</v>
      </c>
      <c r="AA41" s="21">
        <f>EXP(-LN(2)/25)*AA40+(1-EXP(-LN(2)/25))/(LN(2)/25)*Calculateur!V41*Calculateur!X41*VLOOKUP('Données projet'!$B$9,Paramètres!$A$1:$I$89,3,0)*0.475*44/12</f>
        <v>38.763393021064978</v>
      </c>
      <c r="AB41" s="21">
        <f>EXP(-LN(2)/2)*AB40+(1-EXP(-LN(2)/2))/(LN(2)/2)*V41*Y41*VLOOKUP('Données projet'!$B$9,Paramètres!$A$1:$I$89,3,0)*0.475*44/12</f>
        <v>1.3799081126103811E-2</v>
      </c>
      <c r="AC41" s="22">
        <f t="shared" si="3"/>
        <v>68.374633678758244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10.298307692000002</v>
      </c>
      <c r="AI41" s="13">
        <f>IF('Données projet'!$A$62&gt;35,AI40+AH41-AQ40,IF(A41&lt;'Données projet'!$A$62,$AF$205^A41,IF(A41='Données projet'!$A$62,'Données projet'!$B$62,AI40+AH41-AQ40)))</f>
        <v>142.26338461600005</v>
      </c>
      <c r="AJ41" s="13">
        <f>AI41*VLOOKUP('Données projet'!$B$10,Paramètres!$A$1:$I$89,3,0)*VLOOKUP('Données projet'!$B$10,Paramètres!$A$1:$I$89,5,0)</f>
        <v>68.428688000296034</v>
      </c>
      <c r="AK41" s="13">
        <f t="shared" si="35"/>
        <v>19.282731325817089</v>
      </c>
      <c r="AL41" s="20">
        <f t="shared" si="4"/>
        <v>152.76405532631367</v>
      </c>
      <c r="AM41" s="59">
        <f t="shared" si="5"/>
        <v>446.09738865964698</v>
      </c>
      <c r="AN41" s="59">
        <f ca="1">AVERAGE(OFFSET($AM$3,0,0,'Données projet'!$E$10+1,1))-AVERAGE(OFFSET($H$3,0,0,'Données projet'!$E$10+1,1))</f>
        <v>174.18188687702559</v>
      </c>
      <c r="AO41" s="59">
        <f t="shared" si="36"/>
        <v>32.17353897322738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28.093333333333334</v>
      </c>
      <c r="BD41" s="12">
        <f>IF('Données projet'!$A$88&gt;35,BD40+BC41-BL40,IF(A41&lt;'Données projet'!$A$88,$BA$205^A41,IF(A41='Données projet'!$A$88,'Données projet'!$B$88,BD40+BC41-BL40)))</f>
        <v>471.99666666666656</v>
      </c>
      <c r="BE41" s="13">
        <f>BD41*VLOOKUP('Données projet'!$B$11,Paramètres!$A$1:$I$89,3,0)*VLOOKUP('Données projet'!$B$11,Paramètres!$A$1:$I$89,5,0)</f>
        <v>263.84613666666661</v>
      </c>
      <c r="BF41" s="13">
        <f t="shared" si="37"/>
        <v>63.541516886809745</v>
      </c>
      <c r="BG41" s="20">
        <f t="shared" si="7"/>
        <v>570.20016327230462</v>
      </c>
      <c r="BH41" s="59">
        <f t="shared" si="8"/>
        <v>863.53349660563799</v>
      </c>
      <c r="BI41" s="59">
        <f ca="1">AVERAGE(OFFSET($BH$3,0,0,'Données projet'!$E$11+1,1))-AVERAGE(OFFSET($H$3,0,0,'Données projet'!$E$11+1,1))</f>
        <v>350.01600895263641</v>
      </c>
      <c r="BJ41" s="59">
        <f t="shared" si="38"/>
        <v>464.08921044376882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33.666128406914005</v>
      </c>
      <c r="BQ41" s="21">
        <f>EXP(-LN(2)/25)*BQ40+(1-EXP(-LN(2)/25))/(LN(2)/25)*Calculateur!BL41*Calculateur!BN41*VLOOKUP('Données projet'!$B$11,Paramètres!$A$1:$I$89,3,0)*0.475*44/12</f>
        <v>40.511122302221168</v>
      </c>
      <c r="BR41" s="21">
        <f>EXP(-LN(2)/2)*BR40+(1-EXP(-LN(2)/2))/(LN(2)/2)*BL41*BO41*VLOOKUP('Données projet'!$B$11,Paramètres!$A$1:$I$89,3,0)*0.475*44/12</f>
        <v>4.6245033066425759E-2</v>
      </c>
      <c r="BS41" s="22">
        <f t="shared" si="9"/>
        <v>74.223495742201592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650.08488020006189</v>
      </c>
      <c r="CD41" s="59">
        <f ca="1">AVERAGE(OFFSET($CC$3,0,0,'Données projet'!$E$12+1,1))-AVERAGE(OFFSET($H$3,0,0,'Données projet'!$E$12+1,1))</f>
        <v>279.49721661620544</v>
      </c>
      <c r="CE41" s="59">
        <f t="shared" si="40"/>
        <v>275.18739333988754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15.373870826278271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15.373870826278271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8.147490842142858</v>
      </c>
      <c r="CT41" s="12">
        <f>IF('Données projet'!$A$140&gt;35,CT40+CS41-DB40,IF(A41&lt;'Données projet'!$A$140,$CQ$205^A41,IF(A41='Données projet'!$A$140,'Données projet'!$B$140,CT40+CS41-DB40)))</f>
        <v>152.88505494714292</v>
      </c>
      <c r="CU41" s="17">
        <f>CT41*VLOOKUP('Données projet'!$B$13,Paramètres!$A$1:$I$89,3,0)*VLOOKUP('Données projet'!$B$13,Paramètres!$A$1:$I$89,5,0)</f>
        <v>155.02544571640294</v>
      </c>
      <c r="CV41" s="13">
        <f t="shared" si="41"/>
        <v>39.718436620886735</v>
      </c>
      <c r="CW41" s="20">
        <f t="shared" si="13"/>
        <v>339.17892840411287</v>
      </c>
      <c r="CX41" s="59">
        <f t="shared" si="14"/>
        <v>632.51226173744612</v>
      </c>
      <c r="CY41" s="59">
        <f ca="1">AVERAGE(OFFSET($CX$3,0,0,'Données projet'!$E$13+1,1))-AVERAGE(OFFSET($H$3,0,0,'Données projet'!$E$13+1,1))</f>
        <v>402.54350692668021</v>
      </c>
      <c r="CZ41" s="59">
        <f t="shared" si="42"/>
        <v>163.60655196884522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10.4</v>
      </c>
      <c r="DO41" s="12">
        <f>IF('Données projet'!$A$166&gt;35,DO40+DN41-DW40,IF(A41&lt;'Données projet'!$A$166,$DL$205^A41,IF(A41='Données projet'!$A$166,'Données projet'!$B$166,DO40+DN41-DW40)))</f>
        <v>142.20000000000002</v>
      </c>
      <c r="DP41" s="17">
        <f>DO41*VLOOKUP('Données projet'!$B$14,Paramètres!$A$1:$I$89,3,0)*VLOOKUP('Données projet'!$B$14,Paramètres!$A$1:$I$89,5,0)</f>
        <v>122.00760000000004</v>
      </c>
      <c r="DQ41" s="13">
        <f t="shared" si="43"/>
        <v>32.142785920703616</v>
      </c>
      <c r="DR41" s="20">
        <f t="shared" si="16"/>
        <v>268.47858881189217</v>
      </c>
      <c r="DS41" s="59">
        <f t="shared" si="17"/>
        <v>561.81192214522548</v>
      </c>
      <c r="DT41" s="59">
        <f ca="1">AVERAGE(OFFSET($DS$3,0,0,'Données projet'!$E$14+1,1))-AVERAGE(OFFSET($H$3,0,0,'Données projet'!$E$14+1,1))</f>
        <v>352.76625414822473</v>
      </c>
      <c r="DU41" s="59">
        <f t="shared" si="44"/>
        <v>186.48649111821521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13.263731693259684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13.263731693259684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7.1428571399999976</v>
      </c>
      <c r="EJ41" s="12">
        <f>IF('Données projet'!$A$192&gt;35,EJ40+EI41-ER40,IF(A41&lt;'Données projet'!$A$192,$EG$205^A41,IF(A41='Données projet'!$A$192,'Données projet'!$B$192,EJ40+EI41-ER40)))</f>
        <v>104.57875456000002</v>
      </c>
      <c r="EK41" s="17">
        <f>EJ41*VLOOKUP('Données projet'!$B$15,Paramètres!$A$1:$I$89,3,0)*VLOOKUP('Données projet'!$B$15,Paramètres!$A$1:$I$89,5,0)</f>
        <v>81.571428556800015</v>
      </c>
      <c r="EL41" s="13">
        <f t="shared" si="45"/>
        <v>22.52097050943059</v>
      </c>
      <c r="EM41" s="20">
        <f t="shared" si="19"/>
        <v>181.29426170701831</v>
      </c>
      <c r="EN41" s="59">
        <f t="shared" si="20"/>
        <v>474.62759504035159</v>
      </c>
      <c r="EO41" s="59">
        <f ca="1">AVERAGE(OFFSET($EN$3,0,0,'Données projet'!$E$15+1,1))-AVERAGE(OFFSET($H$3,0,0,'Données projet'!$E$15+1,1))</f>
        <v>130.66539383144681</v>
      </c>
      <c r="EP41" s="59">
        <f t="shared" si="46"/>
        <v>126.36398121441903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15.837283365543382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15.837283365543382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8.147490842142858</v>
      </c>
      <c r="FE41" s="12">
        <f>IF('Données projet'!$A$218&gt;35,FE40+FD41-FM40,IF(A41&lt;'Données projet'!$A$218,$FB$205^A41,IF(A41='Données projet'!$A$218,'Données projet'!$B$218,FE40+FD41-FM40)))</f>
        <v>152.88505494714292</v>
      </c>
      <c r="FF41" s="17">
        <f>FE41*VLOOKUP('Données projet'!$B$16,Paramètres!$A$1:$I$89,3,0)*VLOOKUP('Données projet'!$B$16,Paramètres!$A$1:$I$89,5,0)</f>
        <v>147.87042514487663</v>
      </c>
      <c r="FG41" s="13">
        <f t="shared" si="47"/>
        <v>38.094230085949022</v>
      </c>
      <c r="FH41" s="20">
        <f t="shared" si="22"/>
        <v>323.88844119368798</v>
      </c>
      <c r="FI41" s="59">
        <f t="shared" si="23"/>
        <v>617.22177452702135</v>
      </c>
      <c r="FJ41" s="59">
        <f ca="1">AVERAGE(OFFSET($FI$3,0,0,'Données projet'!$E$16+1,1))-AVERAGE(OFFSET($H$3,0,0,'Données projet'!$E$16+1,1))</f>
        <v>380.43199889536805</v>
      </c>
      <c r="FK41" s="59">
        <f t="shared" si="48"/>
        <v>154.72646317672996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11.5</v>
      </c>
      <c r="N42" s="13">
        <f>IF('Données projet'!$A$36&gt;35,N41+M42-V41,IF(A42&lt;'Données projet'!$A$36,$K$205^A42,IF(A42='Données projet'!$A$36,'Données projet'!$B$36,N41+M42-V41)))</f>
        <v>220.5</v>
      </c>
      <c r="O42" s="13">
        <f>N42*VLOOKUP('Données projet'!$B$9,Paramètres!$A$1:$I$89,3,0)*VLOOKUP('Données projet'!$B$9,Paramètres!$A$1:$I$89,5,0)</f>
        <v>137.59199999999998</v>
      </c>
      <c r="P42" s="13">
        <f t="shared" si="33"/>
        <v>35.744810729505772</v>
      </c>
      <c r="Q42" s="20">
        <f t="shared" si="53"/>
        <v>301.89494535388923</v>
      </c>
      <c r="R42" s="59">
        <f t="shared" si="0"/>
        <v>595.22827868722254</v>
      </c>
      <c r="S42" s="59">
        <f ca="1">AVERAGE(OFFSET($R$3,0,0,'Données projet'!$E$9+1,1))-AVERAGE(OFFSET($H$3,0,0,'Données projet'!$E$9+1,1))</f>
        <v>179.44051550872138</v>
      </c>
      <c r="T42" s="59">
        <f t="shared" si="34"/>
        <v>272.9500808380069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29.017053799907487</v>
      </c>
      <c r="AA42" s="21">
        <f>EXP(-LN(2)/25)*AA41+(1-EXP(-LN(2)/25))/(LN(2)/25)*Calculateur!V42*Calculateur!X42*VLOOKUP('Données projet'!$B$9,Paramètres!$A$1:$I$89,3,0)*0.475*44/12</f>
        <v>37.703406000425716</v>
      </c>
      <c r="AB42" s="21">
        <f>EXP(-LN(2)/2)*AB41+(1-EXP(-LN(2)/2))/(LN(2)/2)*V42*Y42*VLOOKUP('Données projet'!$B$9,Paramètres!$A$1:$I$89,3,0)*0.475*44/12</f>
        <v>9.7574238384113051E-3</v>
      </c>
      <c r="AC42" s="22">
        <f t="shared" si="3"/>
        <v>66.730217224171611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10.298307692000002</v>
      </c>
      <c r="AI42" s="13">
        <f>IF('Données projet'!$A$62&gt;35,AI41+AH42-AQ41,IF(A42&lt;'Données projet'!$A$62,$AF$205^A42,IF(A42='Données projet'!$A$62,'Données projet'!$B$62,AI41+AH42-AQ41)))</f>
        <v>152.56169230800006</v>
      </c>
      <c r="AJ42" s="13">
        <f>AI42*VLOOKUP('Données projet'!$B$10,Paramètres!$A$1:$I$89,3,0)*VLOOKUP('Données projet'!$B$10,Paramètres!$A$1:$I$89,5,0)</f>
        <v>73.382174000148026</v>
      </c>
      <c r="AK42" s="13">
        <f t="shared" si="35"/>
        <v>20.511050125727582</v>
      </c>
      <c r="AL42" s="20">
        <f t="shared" si="4"/>
        <v>163.53069868590001</v>
      </c>
      <c r="AM42" s="59">
        <f t="shared" si="5"/>
        <v>456.86403201923332</v>
      </c>
      <c r="AN42" s="59">
        <f ca="1">AVERAGE(OFFSET($AM$3,0,0,'Données projet'!$E$10+1,1))-AVERAGE(OFFSET($H$3,0,0,'Données projet'!$E$10+1,1))</f>
        <v>174.18188687702559</v>
      </c>
      <c r="AO42" s="59">
        <f t="shared" si="36"/>
        <v>32.17353897322738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28.093333333333334</v>
      </c>
      <c r="BD42" s="12">
        <f>IF('Données projet'!$A$88&gt;35,BD41+BC42-BL41,IF(A42&lt;'Données projet'!$A$88,$BA$205^A42,IF(A42='Données projet'!$A$88,'Données projet'!$B$88,BD41+BC42-BL41)))</f>
        <v>500.08999999999992</v>
      </c>
      <c r="BE42" s="13">
        <f>BD42*VLOOKUP('Données projet'!$B$11,Paramètres!$A$1:$I$89,3,0)*VLOOKUP('Données projet'!$B$11,Paramètres!$A$1:$I$89,5,0)</f>
        <v>279.55030999999997</v>
      </c>
      <c r="BF42" s="13">
        <f t="shared" si="37"/>
        <v>66.871967568934934</v>
      </c>
      <c r="BG42" s="20">
        <f t="shared" si="7"/>
        <v>603.35213343256157</v>
      </c>
      <c r="BH42" s="59">
        <f t="shared" si="8"/>
        <v>896.68546676589494</v>
      </c>
      <c r="BI42" s="59">
        <f ca="1">AVERAGE(OFFSET($BH$3,0,0,'Données projet'!$E$11+1,1))-AVERAGE(OFFSET($H$3,0,0,'Données projet'!$E$11+1,1))</f>
        <v>350.01600895263641</v>
      </c>
      <c r="BJ42" s="59">
        <f t="shared" si="38"/>
        <v>464.08921044376882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33.005956163165152</v>
      </c>
      <c r="BQ42" s="21">
        <f>EXP(-LN(2)/25)*BQ41+(1-EXP(-LN(2)/25))/(LN(2)/25)*Calculateur!BL42*Calculateur!BN42*VLOOKUP('Données projet'!$B$11,Paramètres!$A$1:$I$89,3,0)*0.475*44/12</f>
        <v>39.403343532479596</v>
      </c>
      <c r="BR42" s="21">
        <f>EXP(-LN(2)/2)*BR41+(1-EXP(-LN(2)/2))/(LN(2)/2)*BL42*BO42*VLOOKUP('Données projet'!$B$11,Paramètres!$A$1:$I$89,3,0)*0.475*44/12</f>
        <v>3.2700176477465773E-2</v>
      </c>
      <c r="BS42" s="22">
        <f t="shared" si="9"/>
        <v>72.44199987212221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669.42488347382482</v>
      </c>
      <c r="CD42" s="59">
        <f ca="1">AVERAGE(OFFSET($CC$3,0,0,'Données projet'!$E$12+1,1))-AVERAGE(OFFSET($H$3,0,0,'Données projet'!$E$12+1,1))</f>
        <v>279.49721661620544</v>
      </c>
      <c r="CE42" s="59">
        <f t="shared" si="40"/>
        <v>275.18739333988754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15.072398596510244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15.072398596510244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8.147490842142858</v>
      </c>
      <c r="CT42" s="12">
        <f>IF('Données projet'!$A$140&gt;35,CT41+CS42-DB41,IF(A42&lt;'Données projet'!$A$140,$CQ$205^A42,IF(A42='Données projet'!$A$140,'Données projet'!$B$140,CT41+CS42-DB41)))</f>
        <v>161.03254578928579</v>
      </c>
      <c r="CU42" s="17">
        <f>CT42*VLOOKUP('Données projet'!$B$13,Paramètres!$A$1:$I$89,3,0)*VLOOKUP('Données projet'!$B$13,Paramètres!$A$1:$I$89,5,0)</f>
        <v>163.28700143033581</v>
      </c>
      <c r="CV42" s="13">
        <f t="shared" si="41"/>
        <v>41.583028015201648</v>
      </c>
      <c r="CW42" s="20">
        <f t="shared" si="13"/>
        <v>356.81530128431109</v>
      </c>
      <c r="CX42" s="59">
        <f t="shared" si="14"/>
        <v>650.14863461764435</v>
      </c>
      <c r="CY42" s="59">
        <f ca="1">AVERAGE(OFFSET($CX$3,0,0,'Données projet'!$E$13+1,1))-AVERAGE(OFFSET($H$3,0,0,'Données projet'!$E$13+1,1))</f>
        <v>402.54350692668021</v>
      </c>
      <c r="CZ42" s="59">
        <f t="shared" si="42"/>
        <v>163.60655196884522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10.4</v>
      </c>
      <c r="DO42" s="12">
        <f>IF('Données projet'!$A$166&gt;35,DO41+DN42-DW41,IF(A42&lt;'Données projet'!$A$166,$DL$205^A42,IF(A42='Données projet'!$A$166,'Données projet'!$B$166,DO41+DN42-DW41)))</f>
        <v>152.60000000000002</v>
      </c>
      <c r="DP42" s="17">
        <f>DO42*VLOOKUP('Données projet'!$B$14,Paramètres!$A$1:$I$89,3,0)*VLOOKUP('Données projet'!$B$14,Paramètres!$A$1:$I$89,5,0)</f>
        <v>130.93080000000003</v>
      </c>
      <c r="DQ42" s="13">
        <f t="shared" si="43"/>
        <v>34.211350494649842</v>
      </c>
      <c r="DR42" s="20">
        <f t="shared" si="16"/>
        <v>287.62257877818189</v>
      </c>
      <c r="DS42" s="59">
        <f t="shared" si="17"/>
        <v>580.9559121115152</v>
      </c>
      <c r="DT42" s="59">
        <f ca="1">AVERAGE(OFFSET($DS$3,0,0,'Données projet'!$E$14+1,1))-AVERAGE(OFFSET($H$3,0,0,'Données projet'!$E$14+1,1))</f>
        <v>352.76625414822473</v>
      </c>
      <c r="DU42" s="59">
        <f t="shared" si="44"/>
        <v>186.48649111821521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13.003638004832366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13.003638004832366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7.1428571399999976</v>
      </c>
      <c r="EJ42" s="12">
        <f>IF('Données projet'!$A$192&gt;35,EJ41+EI42-ER41,IF(A42&lt;'Données projet'!$A$192,$EG$205^A42,IF(A42='Données projet'!$A$192,'Données projet'!$B$192,EJ41+EI42-ER41)))</f>
        <v>111.72161170000003</v>
      </c>
      <c r="EK42" s="17">
        <f>EJ42*VLOOKUP('Données projet'!$B$15,Paramètres!$A$1:$I$89,3,0)*VLOOKUP('Données projet'!$B$15,Paramètres!$A$1:$I$89,5,0)</f>
        <v>87.142857126000024</v>
      </c>
      <c r="EL42" s="13">
        <f t="shared" si="45"/>
        <v>23.874862487799231</v>
      </c>
      <c r="EM42" s="20">
        <f t="shared" si="19"/>
        <v>193.35586166070036</v>
      </c>
      <c r="EN42" s="59">
        <f t="shared" si="20"/>
        <v>486.68919499403364</v>
      </c>
      <c r="EO42" s="59">
        <f ca="1">AVERAGE(OFFSET($EN$3,0,0,'Données projet'!$E$15+1,1))-AVERAGE(OFFSET($H$3,0,0,'Données projet'!$E$15+1,1))</f>
        <v>130.66539383144681</v>
      </c>
      <c r="EP42" s="59">
        <f t="shared" si="46"/>
        <v>126.36398121441903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15.526723898534105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15.526723898534105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8.147490842142858</v>
      </c>
      <c r="FE42" s="12">
        <f>IF('Données projet'!$A$218&gt;35,FE41+FD42-FM41,IF(A42&lt;'Données projet'!$A$218,$FB$205^A42,IF(A42='Données projet'!$A$218,'Données projet'!$B$218,FE41+FD42-FM41)))</f>
        <v>161.03254578928579</v>
      </c>
      <c r="FF42" s="17">
        <f>FE42*VLOOKUP('Données projet'!$B$16,Paramètres!$A$1:$I$89,3,0)*VLOOKUP('Données projet'!$B$16,Paramètres!$A$1:$I$89,5,0)</f>
        <v>155.75067828739722</v>
      </c>
      <c r="FG42" s="13">
        <f t="shared" si="47"/>
        <v>39.882572720612579</v>
      </c>
      <c r="FH42" s="20">
        <f t="shared" si="22"/>
        <v>340.72791217228371</v>
      </c>
      <c r="FI42" s="59">
        <f t="shared" si="23"/>
        <v>634.06124550561708</v>
      </c>
      <c r="FJ42" s="59">
        <f ca="1">AVERAGE(OFFSET($FI$3,0,0,'Données projet'!$E$16+1,1))-AVERAGE(OFFSET($H$3,0,0,'Données projet'!$E$16+1,1))</f>
        <v>380.43199889536805</v>
      </c>
      <c r="FK42" s="59">
        <f t="shared" si="48"/>
        <v>154.72646317672996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11.5</v>
      </c>
      <c r="N43" s="13">
        <f>IF('Données projet'!$A$36&gt;35,N42+M43-V42,IF(A43&lt;'Données projet'!$A$36,$K$205^A43,IF(A43='Données projet'!$A$36,'Données projet'!$B$36,N42+M43-V42)))</f>
        <v>232</v>
      </c>
      <c r="O43" s="13">
        <f>N43*VLOOKUP('Données projet'!$B$9,Paramètres!$A$1:$I$89,3,0)*VLOOKUP('Données projet'!$B$9,Paramètres!$A$1:$I$89,5,0)</f>
        <v>144.768</v>
      </c>
      <c r="P43" s="13">
        <f t="shared" si="33"/>
        <v>37.387149255707826</v>
      </c>
      <c r="Q43" s="20">
        <f t="shared" si="53"/>
        <v>317.25355162035777</v>
      </c>
      <c r="R43" s="59">
        <f t="shared" si="0"/>
        <v>610.58688495369108</v>
      </c>
      <c r="S43" s="59">
        <f ca="1">AVERAGE(OFFSET($R$3,0,0,'Données projet'!$E$9+1,1))-AVERAGE(OFFSET($H$3,0,0,'Données projet'!$E$9+1,1))</f>
        <v>179.44051550872138</v>
      </c>
      <c r="T43" s="59">
        <f t="shared" si="34"/>
        <v>272.9500808380069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28.448047073546523</v>
      </c>
      <c r="AA43" s="21">
        <f>EXP(-LN(2)/25)*AA42+(1-EXP(-LN(2)/25))/(LN(2)/25)*Calculateur!V43*Calculateur!X43*VLOOKUP('Données projet'!$B$9,Paramètres!$A$1:$I$89,3,0)*0.475*44/12</f>
        <v>36.672404380608128</v>
      </c>
      <c r="AB43" s="21">
        <f>EXP(-LN(2)/2)*AB42+(1-EXP(-LN(2)/2))/(LN(2)/2)*V43*Y43*VLOOKUP('Données projet'!$B$9,Paramètres!$A$1:$I$89,3,0)*0.475*44/12</f>
        <v>6.8995405630519055E-3</v>
      </c>
      <c r="AC43" s="22">
        <f t="shared" si="3"/>
        <v>65.127350994717702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162.86000000000001</v>
      </c>
      <c r="AG43" s="12">
        <f>VLOOKUP(A43,'Données projet'!$A$61:$I$81,9,0)</f>
        <v>10.298307692000002</v>
      </c>
      <c r="AH43" s="12">
        <f t="array" ref="AH43">INDEX(AG:AG,MIN(IF(ISNUMBER(AG43:AG239),ROW(AG43:AG239),"")))</f>
        <v>10.298307692000002</v>
      </c>
      <c r="AI43" s="13">
        <f>IF('Données projet'!$A$62&gt;35,AI42+AH43-AQ42,IF(A43&lt;'Données projet'!$A$62,$AF$205^A43,IF(A43='Données projet'!$A$62,'Données projet'!$B$62,AI42+AH43-AQ42)))</f>
        <v>162.86000000000007</v>
      </c>
      <c r="AJ43" s="13">
        <f>AI43*VLOOKUP('Données projet'!$B$10,Paramètres!$A$1:$I$89,3,0)*VLOOKUP('Données projet'!$B$10,Paramètres!$A$1:$I$89,5,0)</f>
        <v>78.335660000000033</v>
      </c>
      <c r="AK43" s="13">
        <f t="shared" si="35"/>
        <v>21.729747763373336</v>
      </c>
      <c r="AL43" s="20">
        <f t="shared" si="4"/>
        <v>174.28058518787529</v>
      </c>
      <c r="AM43" s="59">
        <f t="shared" si="5"/>
        <v>467.61391852120857</v>
      </c>
      <c r="AN43" s="59">
        <f ca="1">AVERAGE(OFFSET($AM$3,0,0,'Données projet'!$E$10+1,1))-AVERAGE(OFFSET($H$3,0,0,'Données projet'!$E$10+1,1))</f>
        <v>174.18188687702559</v>
      </c>
      <c r="AO43" s="59">
        <f t="shared" si="36"/>
        <v>32.17353897322738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28.093333333333334</v>
      </c>
      <c r="BD43" s="12">
        <f>IF('Données projet'!$A$88&gt;35,BD42+BC43-BL42,IF(A43&lt;'Données projet'!$A$88,$BA$205^A43,IF(A43='Données projet'!$A$88,'Données projet'!$B$88,BD42+BC43-BL42)))</f>
        <v>528.18333333333328</v>
      </c>
      <c r="BE43" s="13">
        <f>BD43*VLOOKUP('Données projet'!$B$11,Paramètres!$A$1:$I$89,3,0)*VLOOKUP('Données projet'!$B$11,Paramètres!$A$1:$I$89,5,0)</f>
        <v>295.25448333333333</v>
      </c>
      <c r="BF43" s="13">
        <f t="shared" si="37"/>
        <v>70.180699585942122</v>
      </c>
      <c r="BG43" s="20">
        <f t="shared" si="7"/>
        <v>636.46627691773801</v>
      </c>
      <c r="BH43" s="59">
        <f t="shared" si="8"/>
        <v>929.79961025107127</v>
      </c>
      <c r="BI43" s="59">
        <f ca="1">AVERAGE(OFFSET($BH$3,0,0,'Données projet'!$E$11+1,1))-AVERAGE(OFFSET($H$3,0,0,'Données projet'!$E$11+1,1))</f>
        <v>350.01600895263641</v>
      </c>
      <c r="BJ43" s="59">
        <f t="shared" si="38"/>
        <v>464.08921044376882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32.358729494450905</v>
      </c>
      <c r="BQ43" s="21">
        <f>EXP(-LN(2)/25)*BQ42+(1-EXP(-LN(2)/25))/(LN(2)/25)*Calculateur!BL43*Calculateur!BN43*VLOOKUP('Données projet'!$B$11,Paramètres!$A$1:$I$89,3,0)*0.475*44/12</f>
        <v>38.325857031452159</v>
      </c>
      <c r="BR43" s="21">
        <f>EXP(-LN(2)/2)*BR42+(1-EXP(-LN(2)/2))/(LN(2)/2)*BL43*BO43*VLOOKUP('Données projet'!$B$11,Paramètres!$A$1:$I$89,3,0)*0.475*44/12</f>
        <v>2.3122516533212879E-2</v>
      </c>
      <c r="BS43" s="22">
        <f t="shared" si="9"/>
        <v>70.707709042436264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688.74323477892699</v>
      </c>
      <c r="CD43" s="59">
        <f ca="1">AVERAGE(OFFSET($CC$3,0,0,'Données projet'!$E$12+1,1))-AVERAGE(OFFSET($H$3,0,0,'Données projet'!$E$12+1,1))</f>
        <v>279.49721661620544</v>
      </c>
      <c r="CE43" s="59">
        <f t="shared" si="40"/>
        <v>275.18739333988754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31.091789993179567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31.091789993179567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8.147490842142858</v>
      </c>
      <c r="CT43" s="12">
        <f>IF('Données projet'!$A$140&gt;35,CT42+CS43-DB42,IF(A43&lt;'Données projet'!$A$140,$CQ$205^A43,IF(A43='Données projet'!$A$140,'Données projet'!$B$140,CT42+CS43-DB42)))</f>
        <v>169.18003663142866</v>
      </c>
      <c r="CU43" s="17">
        <f>CT43*VLOOKUP('Données projet'!$B$13,Paramètres!$A$1:$I$89,3,0)*VLOOKUP('Données projet'!$B$13,Paramètres!$A$1:$I$89,5,0)</f>
        <v>171.54855714426867</v>
      </c>
      <c r="CV43" s="13">
        <f t="shared" si="41"/>
        <v>43.436665621675537</v>
      </c>
      <c r="CW43" s="20">
        <f t="shared" si="13"/>
        <v>374.43259631735282</v>
      </c>
      <c r="CX43" s="59">
        <f t="shared" si="14"/>
        <v>667.76592965068608</v>
      </c>
      <c r="CY43" s="59">
        <f ca="1">AVERAGE(OFFSET($CX$3,0,0,'Données projet'!$E$13+1,1))-AVERAGE(OFFSET($H$3,0,0,'Données projet'!$E$13+1,1))</f>
        <v>402.54350692668021</v>
      </c>
      <c r="CZ43" s="59">
        <f t="shared" si="42"/>
        <v>163.60655196884522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163</v>
      </c>
      <c r="DM43" s="12">
        <f>VLOOKUP(A43,'Données projet'!$A$165:$I$185,9,0)</f>
        <v>10.4</v>
      </c>
      <c r="DN43" s="12">
        <f t="array" ref="DN43">INDEX(DM:DM,MIN(IF(ISNUMBER(DM43:DM239),ROW(DM43:DM239),"")))</f>
        <v>10.4</v>
      </c>
      <c r="DO43" s="12">
        <f>IF('Données projet'!$A$166&gt;35,DO42+DN43-DW42,IF(A43&lt;'Données projet'!$A$166,$DL$205^A43,IF(A43='Données projet'!$A$166,'Données projet'!$B$166,DO42+DN43-DW42)))</f>
        <v>163.00000000000003</v>
      </c>
      <c r="DP43" s="17">
        <f>DO43*VLOOKUP('Données projet'!$B$14,Paramètres!$A$1:$I$89,3,0)*VLOOKUP('Données projet'!$B$14,Paramètres!$A$1:$I$89,5,0)</f>
        <v>139.85400000000004</v>
      </c>
      <c r="DQ43" s="13">
        <f t="shared" si="43"/>
        <v>36.263556914404674</v>
      </c>
      <c r="DR43" s="20">
        <f t="shared" si="16"/>
        <v>306.73807829258823</v>
      </c>
      <c r="DS43" s="59">
        <f t="shared" si="17"/>
        <v>600.07141162592154</v>
      </c>
      <c r="DT43" s="59">
        <f ca="1">AVERAGE(OFFSET($DS$3,0,0,'Données projet'!$E$14+1,1))-AVERAGE(OFFSET($H$3,0,0,'Données projet'!$E$14+1,1))</f>
        <v>352.76625414822473</v>
      </c>
      <c r="DU43" s="59">
        <f t="shared" si="44"/>
        <v>186.48649111821521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0.53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26.82428940588041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26.82428940588041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7.1428571399999976</v>
      </c>
      <c r="EJ43" s="12">
        <f>IF('Données projet'!$A$192&gt;35,EJ42+EI43-ER42,IF(A43&lt;'Données projet'!$A$192,$EG$205^A43,IF(A43='Données projet'!$A$192,'Données projet'!$B$192,EJ42+EI43-ER42)))</f>
        <v>118.86446884000003</v>
      </c>
      <c r="EK43" s="17">
        <f>EJ43*VLOOKUP('Données projet'!$B$15,Paramètres!$A$1:$I$89,3,0)*VLOOKUP('Données projet'!$B$15,Paramètres!$A$1:$I$89,5,0)</f>
        <v>92.714285695200033</v>
      </c>
      <c r="EL43" s="13">
        <f t="shared" si="45"/>
        <v>25.21870902264989</v>
      </c>
      <c r="EM43" s="20">
        <f t="shared" si="19"/>
        <v>205.39996580025527</v>
      </c>
      <c r="EN43" s="59">
        <f t="shared" si="20"/>
        <v>498.73329913358862</v>
      </c>
      <c r="EO43" s="59">
        <f ca="1">AVERAGE(OFFSET($EN$3,0,0,'Données projet'!$E$15+1,1))-AVERAGE(OFFSET($H$3,0,0,'Données projet'!$E$15+1,1))</f>
        <v>130.66539383144681</v>
      </c>
      <c r="EP43" s="59">
        <f t="shared" si="46"/>
        <v>126.36398121441903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15.222254313250307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15.222254313250307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8.147490842142858</v>
      </c>
      <c r="FE43" s="12">
        <f>IF('Données projet'!$A$218&gt;35,FE42+FD43-FM42,IF(A43&lt;'Données projet'!$A$218,$FB$205^A43,IF(A43='Données projet'!$A$218,'Données projet'!$B$218,FE42+FD43-FM42)))</f>
        <v>169.18003663142866</v>
      </c>
      <c r="FF43" s="17">
        <f>FE43*VLOOKUP('Données projet'!$B$16,Paramètres!$A$1:$I$89,3,0)*VLOOKUP('Données projet'!$B$16,Paramètres!$A$1:$I$89,5,0)</f>
        <v>163.63093142991781</v>
      </c>
      <c r="FG43" s="13">
        <f t="shared" si="47"/>
        <v>41.660409500820826</v>
      </c>
      <c r="FH43" s="20">
        <f t="shared" si="22"/>
        <v>357.54908545436979</v>
      </c>
      <c r="FI43" s="59">
        <f t="shared" si="23"/>
        <v>650.88241878770305</v>
      </c>
      <c r="FJ43" s="59">
        <f ca="1">AVERAGE(OFFSET($FI$3,0,0,'Données projet'!$E$16+1,1))-AVERAGE(OFFSET($H$3,0,0,'Données projet'!$E$16+1,1))</f>
        <v>380.43199889536805</v>
      </c>
      <c r="FK43" s="59">
        <f t="shared" si="48"/>
        <v>154.72646317672996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243.5</v>
      </c>
      <c r="O44" s="13">
        <f>N44*VLOOKUP('Données projet'!$B$9,Paramètres!$A$1:$I$89,3,0)*VLOOKUP('Données projet'!$B$9,Paramètres!$A$1:$I$89,5,0)</f>
        <v>151.94399999999999</v>
      </c>
      <c r="P44" s="13">
        <f t="shared" si="33"/>
        <v>39.02003496976517</v>
      </c>
      <c r="Q44" s="20">
        <f t="shared" si="53"/>
        <v>332.59569423900763</v>
      </c>
      <c r="R44" s="59">
        <f t="shared" si="0"/>
        <v>625.92902757234094</v>
      </c>
      <c r="S44" s="59">
        <f ca="1">AVERAGE(OFFSET($R$3,0,0,'Données projet'!$E$9+1,1))-AVERAGE(OFFSET($H$3,0,0,'Données projet'!$E$9+1,1))</f>
        <v>179.44051550872138</v>
      </c>
      <c r="T44" s="59">
        <f t="shared" si="34"/>
        <v>272.9500808380069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27.890198222029664</v>
      </c>
      <c r="AA44" s="21">
        <f>EXP(-LN(2)/25)*AA43+(1-EXP(-LN(2)/25))/(LN(2)/25)*Calculateur!V44*Calculateur!X44*VLOOKUP('Données projet'!$B$9,Paramètres!$A$1:$I$89,3,0)*0.475*44/12</f>
        <v>35.669595554302468</v>
      </c>
      <c r="AB44" s="21">
        <f>EXP(-LN(2)/2)*AB43+(1-EXP(-LN(2)/2))/(LN(2)/2)*V44*Y44*VLOOKUP('Données projet'!$B$9,Paramètres!$A$1:$I$89,3,0)*0.475*44/12</f>
        <v>4.8787119192056526E-3</v>
      </c>
      <c r="AC44" s="22">
        <f t="shared" si="3"/>
        <v>63.564672488251333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19.005999999999993</v>
      </c>
      <c r="AI44" s="13">
        <f>IF('Données projet'!$A$62&gt;35,AI43+AH44-AQ43,IF(A44&lt;'Données projet'!$A$62,$AF$205^A44,IF(A44='Données projet'!$A$62,'Données projet'!$B$62,AI43+AH44-AQ43)))</f>
        <v>181.86600000000007</v>
      </c>
      <c r="AJ44" s="13">
        <f>AI44*VLOOKUP('Données projet'!$B$10,Paramètres!$A$1:$I$89,3,0)*VLOOKUP('Données projet'!$B$10,Paramètres!$A$1:$I$89,5,0)</f>
        <v>87.477546000000032</v>
      </c>
      <c r="AK44" s="13">
        <f t="shared" si="35"/>
        <v>23.955866982471886</v>
      </c>
      <c r="AL44" s="20">
        <f t="shared" si="4"/>
        <v>194.0798609444719</v>
      </c>
      <c r="AM44" s="59">
        <f t="shared" si="5"/>
        <v>487.41319427780525</v>
      </c>
      <c r="AN44" s="59">
        <f ca="1">AVERAGE(OFFSET($AM$3,0,0,'Données projet'!$E$10+1,1))-AVERAGE(OFFSET($H$3,0,0,'Données projet'!$E$10+1,1))</f>
        <v>174.18188687702559</v>
      </c>
      <c r="AO44" s="59">
        <f t="shared" si="36"/>
        <v>32.17353897322738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28.093333333333334</v>
      </c>
      <c r="BD44" s="12">
        <f>IF('Données projet'!$A$88&gt;35,BD43+BC44-BL43,IF(A44&lt;'Données projet'!$A$88,$BA$205^A44,IF(A44='Données projet'!$A$88,'Données projet'!$B$88,BD43+BC44-BL43)))</f>
        <v>556.27666666666664</v>
      </c>
      <c r="BE44" s="13">
        <f>BD44*VLOOKUP('Données projet'!$B$11,Paramètres!$A$1:$I$89,3,0)*VLOOKUP('Données projet'!$B$11,Paramètres!$A$1:$I$89,5,0)</f>
        <v>310.95865666666663</v>
      </c>
      <c r="BF44" s="13">
        <f t="shared" si="37"/>
        <v>73.468999847738303</v>
      </c>
      <c r="BG44" s="20">
        <f t="shared" si="7"/>
        <v>669.54483509592194</v>
      </c>
      <c r="BH44" s="59">
        <f t="shared" si="8"/>
        <v>962.87816842925531</v>
      </c>
      <c r="BI44" s="59">
        <f ca="1">AVERAGE(OFFSET($BH$3,0,0,'Données projet'!$E$11+1,1))-AVERAGE(OFFSET($H$3,0,0,'Données projet'!$E$11+1,1))</f>
        <v>350.01600895263641</v>
      </c>
      <c r="BJ44" s="59">
        <f t="shared" si="38"/>
        <v>464.08921044376882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31.724194545940861</v>
      </c>
      <c r="BQ44" s="21">
        <f>EXP(-LN(2)/25)*BQ43+(1-EXP(-LN(2)/25))/(LN(2)/25)*Calculateur!BL44*Calculateur!BN44*VLOOKUP('Données projet'!$B$11,Paramètres!$A$1:$I$89,3,0)*0.475*44/12</f>
        <v>37.277834455457871</v>
      </c>
      <c r="BR44" s="21">
        <f>EXP(-LN(2)/2)*BR43+(1-EXP(-LN(2)/2))/(LN(2)/2)*BL44*BO44*VLOOKUP('Données projet'!$B$11,Paramètres!$A$1:$I$89,3,0)*0.475*44/12</f>
        <v>1.6350088238732886E-2</v>
      </c>
      <c r="BS44" s="22">
        <f t="shared" si="9"/>
        <v>69.018379089637477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646.01041789551812</v>
      </c>
      <c r="CD44" s="59">
        <f ca="1">AVERAGE(OFFSET($CC$3,0,0,'Données projet'!$E$12+1,1))-AVERAGE(OFFSET($H$3,0,0,'Données projet'!$E$12+1,1))</f>
        <v>279.49721661620544</v>
      </c>
      <c r="CE44" s="59">
        <f t="shared" si="40"/>
        <v>275.18739333988754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30.48209895553266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30.48209895553266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8.147490842142858</v>
      </c>
      <c r="CT44" s="12">
        <f>IF('Données projet'!$A$140&gt;35,CT43+CS44-DB43,IF(A44&lt;'Données projet'!$A$140,$CQ$205^A44,IF(A44='Données projet'!$A$140,'Données projet'!$B$140,CT43+CS44-DB43)))</f>
        <v>177.32752747357154</v>
      </c>
      <c r="CU44" s="17">
        <f>CT44*VLOOKUP('Données projet'!$B$13,Paramètres!$A$1:$I$89,3,0)*VLOOKUP('Données projet'!$B$13,Paramètres!$A$1:$I$89,5,0)</f>
        <v>179.81011285820153</v>
      </c>
      <c r="CV44" s="13">
        <f t="shared" si="41"/>
        <v>45.279937181163049</v>
      </c>
      <c r="CW44" s="20">
        <f t="shared" si="13"/>
        <v>392.03183715189334</v>
      </c>
      <c r="CX44" s="59">
        <f t="shared" si="14"/>
        <v>685.3651704852266</v>
      </c>
      <c r="CY44" s="59">
        <f ca="1">AVERAGE(OFFSET($CX$3,0,0,'Données projet'!$E$13+1,1))-AVERAGE(OFFSET($H$3,0,0,'Données projet'!$E$13+1,1))</f>
        <v>402.54350692668021</v>
      </c>
      <c r="CZ44" s="59">
        <f t="shared" si="42"/>
        <v>163.60655196884522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146.00000000000003</v>
      </c>
      <c r="DP44" s="17">
        <f>DO44*VLOOKUP('Données projet'!$B$14,Paramètres!$A$1:$I$89,3,0)*VLOOKUP('Données projet'!$B$14,Paramètres!$A$1:$I$89,5,0)</f>
        <v>125.26800000000004</v>
      </c>
      <c r="DQ44" s="13">
        <f t="shared" si="43"/>
        <v>32.9005846700787</v>
      </c>
      <c r="DR44" s="20">
        <f t="shared" si="16"/>
        <v>275.47695163372049</v>
      </c>
      <c r="DS44" s="59">
        <f t="shared" si="17"/>
        <v>568.8102849670538</v>
      </c>
      <c r="DT44" s="59">
        <f ca="1">AVERAGE(OFFSET($DS$3,0,0,'Données projet'!$E$14+1,1))-AVERAGE(OFFSET($H$3,0,0,'Données projet'!$E$14+1,1))</f>
        <v>352.76625414822473</v>
      </c>
      <c r="DU44" s="59">
        <f t="shared" si="44"/>
        <v>186.48649111821521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26.2982814518321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26.2982814518321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7.1428571399999976</v>
      </c>
      <c r="EJ44" s="12">
        <f>IF('Données projet'!$A$192&gt;35,EJ43+EI44-ER43,IF(A44&lt;'Données projet'!$A$192,$EG$205^A44,IF(A44='Données projet'!$A$192,'Données projet'!$B$192,EJ43+EI44-ER43)))</f>
        <v>126.00732598000003</v>
      </c>
      <c r="EK44" s="17">
        <f>EJ44*VLOOKUP('Données projet'!$B$15,Paramètres!$A$1:$I$89,3,0)*VLOOKUP('Données projet'!$B$15,Paramètres!$A$1:$I$89,5,0)</f>
        <v>98.285714264400028</v>
      </c>
      <c r="EL44" s="13">
        <f t="shared" si="45"/>
        <v>26.553182516553772</v>
      </c>
      <c r="EM44" s="20">
        <f t="shared" si="19"/>
        <v>217.42774522682785</v>
      </c>
      <c r="EN44" s="59">
        <f t="shared" si="20"/>
        <v>510.7610785601612</v>
      </c>
      <c r="EO44" s="59">
        <f ca="1">AVERAGE(OFFSET($EN$3,0,0,'Données projet'!$E$15+1,1))-AVERAGE(OFFSET($H$3,0,0,'Données projet'!$E$15+1,1))</f>
        <v>130.66539383144681</v>
      </c>
      <c r="EP44" s="59">
        <f t="shared" si="46"/>
        <v>126.36398121441903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14.923755190825815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14.923755190825815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8.147490842142858</v>
      </c>
      <c r="FE44" s="12">
        <f>IF('Données projet'!$A$218&gt;35,FE43+FD44-FM43,IF(A44&lt;'Données projet'!$A$218,$FB$205^A44,IF(A44='Données projet'!$A$218,'Données projet'!$B$218,FE43+FD44-FM43)))</f>
        <v>177.32752747357154</v>
      </c>
      <c r="FF44" s="17">
        <f>FE44*VLOOKUP('Données projet'!$B$16,Paramètres!$A$1:$I$89,3,0)*VLOOKUP('Données projet'!$B$16,Paramètres!$A$1:$I$89,5,0)</f>
        <v>171.5111845724384</v>
      </c>
      <c r="FG44" s="13">
        <f t="shared" si="47"/>
        <v>43.428304132934308</v>
      </c>
      <c r="FH44" s="20">
        <f t="shared" si="22"/>
        <v>374.35294282852414</v>
      </c>
      <c r="FI44" s="59">
        <f t="shared" si="23"/>
        <v>667.68627616185745</v>
      </c>
      <c r="FJ44" s="59">
        <f ca="1">AVERAGE(OFFSET($FI$3,0,0,'Données projet'!$E$16+1,1))-AVERAGE(OFFSET($H$3,0,0,'Données projet'!$E$16+1,1))</f>
        <v>380.43199889536805</v>
      </c>
      <c r="FK44" s="59">
        <f t="shared" si="48"/>
        <v>154.72646317672996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255</v>
      </c>
      <c r="L45" s="12">
        <f>VLOOKUP(A45,'Données projet'!$A$35:$I$55,9,0)</f>
        <v>11.5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255</v>
      </c>
      <c r="O45" s="13">
        <f>N45*VLOOKUP('Données projet'!$B$9,Paramètres!$A$1:$I$89,3,0)*VLOOKUP('Données projet'!$B$9,Paramètres!$A$1:$I$89,5,0)</f>
        <v>159.12</v>
      </c>
      <c r="P45" s="13">
        <f t="shared" si="33"/>
        <v>40.643965284387697</v>
      </c>
      <c r="Q45" s="20">
        <f t="shared" si="53"/>
        <v>347.92223953697521</v>
      </c>
      <c r="R45" s="59">
        <f t="shared" si="0"/>
        <v>641.25557287030847</v>
      </c>
      <c r="S45" s="59">
        <f ca="1">AVERAGE(OFFSET($R$3,0,0,'Données projet'!$E$9+1,1))-AVERAGE(OFFSET($H$3,0,0,'Données projet'!$E$9+1,1))</f>
        <v>179.44051550872138</v>
      </c>
      <c r="T45" s="59">
        <f t="shared" si="34"/>
        <v>272.9500808380069</v>
      </c>
      <c r="U45" s="15">
        <f>IF(ISNA(VLOOKUP(A45,'Données projet'!$A$35:$I$55,3,0)),0,VLOOKUP(A45,'Données projet'!$A$35:$I$55,3,0))</f>
        <v>6</v>
      </c>
      <c r="V45" s="15">
        <f>IF(ISNA(VLOOKUP(A45,'Données projet'!$A$35:$I$55,4,0)),0,VLOOKUP(A45,'Données projet'!$A$35:$I$55,4,0))</f>
        <v>67</v>
      </c>
      <c r="W45" s="16">
        <f>IF(ISNA(VLOOKUP(A45,'Données projet'!$A$35:$I$55,5,0)),0%,VLOOKUP(A45,'Données projet'!$A$35:$I$55,5,0)*VLOOKUP('Données projet'!$B$9,Paramètres!$A$1:$I$89,7,0))</f>
        <v>0.6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60.619892498046624</v>
      </c>
      <c r="AA45" s="21">
        <f>EXP(-LN(2)/25)*AA44+(1-EXP(-LN(2)/25))/(LN(2)/25)*Calculateur!V45*Calculateur!X45*VLOOKUP('Données projet'!$B$9,Paramètres!$A$1:$I$89,3,0)*0.475*44/12</f>
        <v>34.694208588087562</v>
      </c>
      <c r="AB45" s="21">
        <f>EXP(-LN(2)/2)*AB44+(1-EXP(-LN(2)/2))/(LN(2)/2)*V45*Y45*VLOOKUP('Données projet'!$B$9,Paramètres!$A$1:$I$89,3,0)*0.475*44/12</f>
        <v>3.4497702815259527E-3</v>
      </c>
      <c r="AC45" s="22">
        <f t="shared" si="3"/>
        <v>95.317550856415707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19.005999999999993</v>
      </c>
      <c r="AI45" s="13">
        <f>IF('Données projet'!$A$62&gt;35,AI44+AH45-AQ44,IF(A45&lt;'Données projet'!$A$62,$AF$205^A45,IF(A45='Données projet'!$A$62,'Données projet'!$B$62,AI44+AH45-AQ44)))</f>
        <v>200.87200000000007</v>
      </c>
      <c r="AJ45" s="13">
        <f>AI45*VLOOKUP('Données projet'!$B$10,Paramètres!$A$1:$I$89,3,0)*VLOOKUP('Données projet'!$B$10,Paramètres!$A$1:$I$89,5,0)</f>
        <v>96.619432000000032</v>
      </c>
      <c r="AK45" s="13">
        <f t="shared" si="35"/>
        <v>26.155018975635834</v>
      </c>
      <c r="AL45" s="20">
        <f t="shared" si="4"/>
        <v>213.83216878256576</v>
      </c>
      <c r="AM45" s="59">
        <f t="shared" si="5"/>
        <v>507.16550211589907</v>
      </c>
      <c r="AN45" s="59">
        <f ca="1">AVERAGE(OFFSET($AM$3,0,0,'Données projet'!$E$10+1,1))-AVERAGE(OFFSET($H$3,0,0,'Données projet'!$E$10+1,1))</f>
        <v>174.18188687702559</v>
      </c>
      <c r="AO45" s="59">
        <f t="shared" si="36"/>
        <v>32.17353897322738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584.37</v>
      </c>
      <c r="BB45" s="12">
        <f>VLOOKUP(A45,'Données projet'!$A$87:$I$107,9,0)</f>
        <v>28.093333333333334</v>
      </c>
      <c r="BC45" s="12">
        <f t="array" ref="BC45">INDEX(BB:BB,MIN(IF(ISNUMBER(BB45:BB241),ROW(BB45:BB241),"")))</f>
        <v>28.093333333333334</v>
      </c>
      <c r="BD45" s="12">
        <f>IF('Données projet'!$A$88&gt;35,BD44+BC45-BL44,IF(A45&lt;'Données projet'!$A$88,$BA$205^A45,IF(A45='Données projet'!$A$88,'Données projet'!$B$88,BD44+BC45-BL44)))</f>
        <v>584.37</v>
      </c>
      <c r="BE45" s="13">
        <f>BD45*VLOOKUP('Données projet'!$B$11,Paramètres!$A$1:$I$89,3,0)*VLOOKUP('Données projet'!$B$11,Paramètres!$A$1:$I$89,5,0)</f>
        <v>326.66282999999999</v>
      </c>
      <c r="BF45" s="13">
        <f t="shared" si="37"/>
        <v>76.738017937615012</v>
      </c>
      <c r="BG45" s="20">
        <f t="shared" si="7"/>
        <v>702.58981015801282</v>
      </c>
      <c r="BH45" s="59">
        <f t="shared" si="8"/>
        <v>995.92314349134608</v>
      </c>
      <c r="BI45" s="59">
        <f ca="1">AVERAGE(OFFSET($BH$3,0,0,'Données projet'!$E$11+1,1))-AVERAGE(OFFSET($H$3,0,0,'Données projet'!$E$11+1,1))</f>
        <v>350.01600895263641</v>
      </c>
      <c r="BJ45" s="59">
        <f t="shared" si="38"/>
        <v>464.08921044376882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91.25</v>
      </c>
      <c r="BM45" s="16">
        <f>IF(ISNA(VLOOKUP(A45,'Données projet'!$A$87:$I$107,5,0)),0%,VLOOKUP(A45,'Données projet'!$A$87:$I$107,5,0)*VLOOKUP('Données projet'!$B$11,Paramètres!$A$1:$I$89,7,0))</f>
        <v>0.55000000000000004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68.31861950726389</v>
      </c>
      <c r="BQ45" s="21">
        <f>EXP(-LN(2)/25)*BQ44+(1-EXP(-LN(2)/25))/(LN(2)/25)*Calculateur!BL45*Calculateur!BN45*VLOOKUP('Données projet'!$B$11,Paramètres!$A$1:$I$89,3,0)*0.475*44/12</f>
        <v>36.258470111917262</v>
      </c>
      <c r="BR45" s="21">
        <f>EXP(-LN(2)/2)*BR44+(1-EXP(-LN(2)/2))/(LN(2)/2)*BL45*BO45*VLOOKUP('Données projet'!$B$11,Paramètres!$A$1:$I$89,3,0)*0.475*44/12</f>
        <v>1.156125826660644E-2</v>
      </c>
      <c r="BS45" s="22">
        <f t="shared" si="9"/>
        <v>104.58865087744776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662.64144907368927</v>
      </c>
      <c r="CD45" s="59">
        <f ca="1">AVERAGE(OFFSET($CC$3,0,0,'Données projet'!$E$12+1,1))-AVERAGE(OFFSET($H$3,0,0,'Données projet'!$E$12+1,1))</f>
        <v>279.49721661620544</v>
      </c>
      <c r="CE45" s="59">
        <f t="shared" si="40"/>
        <v>275.18739333988754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29.884363587259195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29.884363587259195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8.147490842142858</v>
      </c>
      <c r="CT45" s="12">
        <f>IF('Données projet'!$A$140&gt;35,CT44+CS45-DB44,IF(A45&lt;'Données projet'!$A$140,$CQ$205^A45,IF(A45='Données projet'!$A$140,'Données projet'!$B$140,CT44+CS45-DB44)))</f>
        <v>185.47501831571441</v>
      </c>
      <c r="CU45" s="17">
        <f>CT45*VLOOKUP('Données projet'!$B$13,Paramètres!$A$1:$I$89,3,0)*VLOOKUP('Données projet'!$B$13,Paramètres!$A$1:$I$89,5,0)</f>
        <v>188.07166857213443</v>
      </c>
      <c r="CV45" s="13">
        <f t="shared" si="41"/>
        <v>47.113373373204929</v>
      </c>
      <c r="CW45" s="20">
        <f t="shared" si="13"/>
        <v>409.61394805479932</v>
      </c>
      <c r="CX45" s="59">
        <f t="shared" si="14"/>
        <v>702.94728138813264</v>
      </c>
      <c r="CY45" s="59">
        <f ca="1">AVERAGE(OFFSET($CX$3,0,0,'Données projet'!$E$13+1,1))-AVERAGE(OFFSET($H$3,0,0,'Données projet'!$E$13+1,1))</f>
        <v>402.54350692668021</v>
      </c>
      <c r="CZ45" s="59">
        <f t="shared" si="42"/>
        <v>163.60655196884522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157.00000000000003</v>
      </c>
      <c r="DP45" s="17">
        <f>DO45*VLOOKUP('Données projet'!$B$14,Paramètres!$A$1:$I$89,3,0)*VLOOKUP('Données projet'!$B$14,Paramètres!$A$1:$I$89,5,0)</f>
        <v>134.70600000000005</v>
      </c>
      <c r="DQ45" s="13">
        <f t="shared" si="43"/>
        <v>35.081517028838505</v>
      </c>
      <c r="DR45" s="20">
        <f t="shared" si="16"/>
        <v>295.71325882522711</v>
      </c>
      <c r="DS45" s="59">
        <f t="shared" si="17"/>
        <v>589.04659215856043</v>
      </c>
      <c r="DT45" s="59">
        <f ca="1">AVERAGE(OFFSET($DS$3,0,0,'Données projet'!$E$14+1,1))-AVERAGE(OFFSET($H$3,0,0,'Données projet'!$E$14+1,1))</f>
        <v>352.76625414822473</v>
      </c>
      <c r="DU45" s="59">
        <f t="shared" si="44"/>
        <v>186.48649111821521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25.782588192929502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25.782588192929502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7.1428571399999976</v>
      </c>
      <c r="EJ45" s="12">
        <f>IF('Données projet'!$A$192&gt;35,EJ44+EI45-ER44,IF(A45&lt;'Données projet'!$A$192,$EG$205^A45,IF(A45='Données projet'!$A$192,'Données projet'!$B$192,EJ44+EI45-ER44)))</f>
        <v>133.15018312000004</v>
      </c>
      <c r="EK45" s="17">
        <f>EJ45*VLOOKUP('Données projet'!$B$15,Paramètres!$A$1:$I$89,3,0)*VLOOKUP('Données projet'!$B$15,Paramètres!$A$1:$I$89,5,0)</f>
        <v>103.85714283360004</v>
      </c>
      <c r="EL45" s="13">
        <f t="shared" si="45"/>
        <v>27.878874834715116</v>
      </c>
      <c r="EM45" s="20">
        <f t="shared" si="19"/>
        <v>229.44023077231554</v>
      </c>
      <c r="EN45" s="59">
        <f t="shared" si="20"/>
        <v>522.7735641056488</v>
      </c>
      <c r="EO45" s="59">
        <f ca="1">AVERAGE(OFFSET($EN$3,0,0,'Données projet'!$E$15+1,1))-AVERAGE(OFFSET($H$3,0,0,'Données projet'!$E$15+1,1))</f>
        <v>130.66539383144681</v>
      </c>
      <c r="EP45" s="59">
        <f t="shared" si="46"/>
        <v>126.36398121441903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14.631109454125582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14.631109454125582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8.147490842142858</v>
      </c>
      <c r="FE45" s="12">
        <f>IF('Données projet'!$A$218&gt;35,FE44+FD45-FM44,IF(A45&lt;'Données projet'!$A$218,$FB$205^A45,IF(A45='Données projet'!$A$218,'Données projet'!$B$218,FE44+FD45-FM44)))</f>
        <v>185.47501831571441</v>
      </c>
      <c r="FF45" s="17">
        <f>FE45*VLOOKUP('Données projet'!$B$16,Paramètres!$A$1:$I$89,3,0)*VLOOKUP('Données projet'!$B$16,Paramètres!$A$1:$I$89,5,0)</f>
        <v>179.39143771495898</v>
      </c>
      <c r="FG45" s="13">
        <f t="shared" si="47"/>
        <v>45.186765595408417</v>
      </c>
      <c r="FH45" s="20">
        <f t="shared" si="22"/>
        <v>391.14037076555655</v>
      </c>
      <c r="FI45" s="59">
        <f t="shared" si="23"/>
        <v>684.47370409888981</v>
      </c>
      <c r="FJ45" s="59">
        <f ca="1">AVERAGE(OFFSET($FI$3,0,0,'Données projet'!$E$16+1,1))-AVERAGE(OFFSET($H$3,0,0,'Données projet'!$E$16+1,1))</f>
        <v>380.43199889536805</v>
      </c>
      <c r="FK45" s="59">
        <f t="shared" si="48"/>
        <v>154.72646317672996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10.666666666666666</v>
      </c>
      <c r="N46" s="13">
        <f>IF('Données projet'!$A$36&gt;35,N45+M46-V45,IF(A46&lt;'Données projet'!$A$36,$K$205^A46,IF(A46='Données projet'!$A$36,'Données projet'!$B$36,N45+M46-V45)))</f>
        <v>198.66666666666669</v>
      </c>
      <c r="O46" s="13">
        <f>N46*VLOOKUP('Données projet'!$B$9,Paramètres!$A$1:$I$89,3,0)*VLOOKUP('Données projet'!$B$9,Paramètres!$A$1:$I$89,5,0)</f>
        <v>123.968</v>
      </c>
      <c r="P46" s="13">
        <f t="shared" si="33"/>
        <v>32.598710622532096</v>
      </c>
      <c r="Q46" s="20">
        <f t="shared" si="53"/>
        <v>272.68702100091008</v>
      </c>
      <c r="R46" s="59">
        <f t="shared" si="0"/>
        <v>566.02035433424339</v>
      </c>
      <c r="S46" s="59">
        <f ca="1">AVERAGE(OFFSET($R$3,0,0,'Données projet'!$E$9+1,1))-AVERAGE(OFFSET($H$3,0,0,'Données projet'!$E$9+1,1))</f>
        <v>179.44051550872138</v>
      </c>
      <c r="T46" s="59">
        <f t="shared" si="34"/>
        <v>272.9500808380069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59.431173380643429</v>
      </c>
      <c r="AA46" s="21">
        <f>EXP(-LN(2)/25)*AA45+(1-EXP(-LN(2)/25))/(LN(2)/25)*Calculateur!V46*Calculateur!X46*VLOOKUP('Données projet'!$B$9,Paramètres!$A$1:$I$89,3,0)*0.475*44/12</f>
        <v>33.745493629757171</v>
      </c>
      <c r="AB46" s="21">
        <f>EXP(-LN(2)/2)*AB45+(1-EXP(-LN(2)/2))/(LN(2)/2)*V46*Y46*VLOOKUP('Données projet'!$B$9,Paramètres!$A$1:$I$89,3,0)*0.475*44/12</f>
        <v>2.4393559596028263E-3</v>
      </c>
      <c r="AC46" s="22">
        <f t="shared" si="3"/>
        <v>93.179106366360202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19.005999999999993</v>
      </c>
      <c r="AI46" s="13">
        <f>IF('Données projet'!$A$62&gt;35,AI45+AH46-AQ45,IF(A46&lt;'Données projet'!$A$62,$AF$205^A46,IF(A46='Données projet'!$A$62,'Données projet'!$B$62,AI45+AH46-AQ45)))</f>
        <v>219.87800000000007</v>
      </c>
      <c r="AJ46" s="13">
        <f>AI46*VLOOKUP('Données projet'!$B$10,Paramètres!$A$1:$I$89,3,0)*VLOOKUP('Données projet'!$B$10,Paramètres!$A$1:$I$89,5,0)</f>
        <v>105.76131800000005</v>
      </c>
      <c r="AK46" s="13">
        <f t="shared" si="35"/>
        <v>28.330045588526577</v>
      </c>
      <c r="AL46" s="20">
        <f t="shared" si="4"/>
        <v>233.54245825001723</v>
      </c>
      <c r="AM46" s="59">
        <f t="shared" si="5"/>
        <v>526.87579158335052</v>
      </c>
      <c r="AN46" s="59">
        <f ca="1">AVERAGE(OFFSET($AM$3,0,0,'Données projet'!$E$10+1,1))-AVERAGE(OFFSET($H$3,0,0,'Données projet'!$E$10+1,1))</f>
        <v>174.18188687702559</v>
      </c>
      <c r="AO46" s="59">
        <f t="shared" si="36"/>
        <v>32.17353897322738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27.100000000000005</v>
      </c>
      <c r="BD46" s="12">
        <f>IF('Données projet'!$A$88&gt;35,BD45+BC46-BL45,IF(A46&lt;'Données projet'!$A$88,$BA$205^A46,IF(A46='Données projet'!$A$88,'Données projet'!$B$88,BD45+BC46-BL45)))</f>
        <v>520.22</v>
      </c>
      <c r="BE46" s="13">
        <f>BD46*VLOOKUP('Données projet'!$B$11,Paramètres!$A$1:$I$89,3,0)*VLOOKUP('Données projet'!$B$11,Paramètres!$A$1:$I$89,5,0)</f>
        <v>290.80298000000005</v>
      </c>
      <c r="BF46" s="13">
        <f t="shared" si="37"/>
        <v>69.24493486102223</v>
      </c>
      <c r="BG46" s="20">
        <f t="shared" si="7"/>
        <v>627.08345171628036</v>
      </c>
      <c r="BH46" s="59">
        <f t="shared" si="8"/>
        <v>920.41678504961374</v>
      </c>
      <c r="BI46" s="59">
        <f ca="1">AVERAGE(OFFSET($BH$3,0,0,'Données projet'!$E$11+1,1))-AVERAGE(OFFSET($H$3,0,0,'Données projet'!$E$11+1,1))</f>
        <v>350.01600895263641</v>
      </c>
      <c r="BJ46" s="59">
        <f t="shared" si="38"/>
        <v>464.08921044376882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66.978933048969751</v>
      </c>
      <c r="BQ46" s="21">
        <f>EXP(-LN(2)/25)*BQ45+(1-EXP(-LN(2)/25))/(LN(2)/25)*Calculateur!BL46*Calculateur!BN46*VLOOKUP('Données projet'!$B$11,Paramètres!$A$1:$I$89,3,0)*0.475*44/12</f>
        <v>35.26698033995681</v>
      </c>
      <c r="BR46" s="21">
        <f>EXP(-LN(2)/2)*BR45+(1-EXP(-LN(2)/2))/(LN(2)/2)*BL46*BO46*VLOOKUP('Données projet'!$B$11,Paramètres!$A$1:$I$89,3,0)*0.475*44/12</f>
        <v>8.1750441193664432E-3</v>
      </c>
      <c r="BS46" s="22">
        <f t="shared" si="9"/>
        <v>102.25408843304594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679.25614514249503</v>
      </c>
      <c r="CD46" s="59">
        <f ca="1">AVERAGE(OFFSET($CC$3,0,0,'Données projet'!$E$12+1,1))-AVERAGE(OFFSET($H$3,0,0,'Données projet'!$E$12+1,1))</f>
        <v>279.49721661620544</v>
      </c>
      <c r="CE46" s="59">
        <f t="shared" si="40"/>
        <v>275.18739333988754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29.298349444974999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29.298349444974999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8.147490842142858</v>
      </c>
      <c r="CT46" s="12">
        <f>IF('Données projet'!$A$140&gt;35,CT45+CS46-DB45,IF(A46&lt;'Données projet'!$A$140,$CQ$205^A46,IF(A46='Données projet'!$A$140,'Données projet'!$B$140,CT45+CS46-DB45)))</f>
        <v>193.62250915785728</v>
      </c>
      <c r="CU46" s="17">
        <f>CT46*VLOOKUP('Données projet'!$B$13,Paramètres!$A$1:$I$89,3,0)*VLOOKUP('Données projet'!$B$13,Paramètres!$A$1:$I$89,5,0)</f>
        <v>196.33322428606729</v>
      </c>
      <c r="CV46" s="13">
        <f t="shared" si="41"/>
        <v>48.937455618014283</v>
      </c>
      <c r="CW46" s="20">
        <f t="shared" si="13"/>
        <v>427.17976749960877</v>
      </c>
      <c r="CX46" s="59">
        <f t="shared" si="14"/>
        <v>720.51310083294209</v>
      </c>
      <c r="CY46" s="59">
        <f ca="1">AVERAGE(OFFSET($CX$3,0,0,'Données projet'!$E$13+1,1))-AVERAGE(OFFSET($H$3,0,0,'Données projet'!$E$13+1,1))</f>
        <v>402.54350692668021</v>
      </c>
      <c r="CZ46" s="59">
        <f t="shared" si="42"/>
        <v>163.60655196884522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168.00000000000003</v>
      </c>
      <c r="DP46" s="17">
        <f>DO46*VLOOKUP('Données projet'!$B$14,Paramètres!$A$1:$I$89,3,0)*VLOOKUP('Données projet'!$B$14,Paramètres!$A$1:$I$89,5,0)</f>
        <v>144.14400000000003</v>
      </c>
      <c r="DQ46" s="13">
        <f t="shared" si="43"/>
        <v>37.244720006976252</v>
      </c>
      <c r="DR46" s="20">
        <f t="shared" si="16"/>
        <v>315.9186873454837</v>
      </c>
      <c r="DS46" s="59">
        <f t="shared" si="17"/>
        <v>609.25202067881696</v>
      </c>
      <c r="DT46" s="59">
        <f ca="1">AVERAGE(OFFSET($DS$3,0,0,'Données projet'!$E$14+1,1))-AVERAGE(OFFSET($H$3,0,0,'Données projet'!$E$14+1,1))</f>
        <v>352.76625414822473</v>
      </c>
      <c r="DU46" s="59">
        <f t="shared" si="44"/>
        <v>186.48649111821521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25.277007364292157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25.277007364292157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7.1428571399999976</v>
      </c>
      <c r="EJ46" s="12">
        <f>IF('Données projet'!$A$192&gt;35,EJ45+EI46-ER45,IF(A46&lt;'Données projet'!$A$192,$EG$205^A46,IF(A46='Données projet'!$A$192,'Données projet'!$B$192,EJ45+EI46-ER45)))</f>
        <v>140.29304026000003</v>
      </c>
      <c r="EK46" s="17">
        <f>EJ46*VLOOKUP('Données projet'!$B$15,Paramètres!$A$1:$I$89,3,0)*VLOOKUP('Données projet'!$B$15,Paramètres!$A$1:$I$89,5,0)</f>
        <v>109.42857140280003</v>
      </c>
      <c r="EL46" s="13">
        <f t="shared" si="45"/>
        <v>29.196310754535943</v>
      </c>
      <c r="EM46" s="20">
        <f t="shared" si="19"/>
        <v>241.43833642402683</v>
      </c>
      <c r="EN46" s="59">
        <f t="shared" si="20"/>
        <v>534.77166975736009</v>
      </c>
      <c r="EO46" s="59">
        <f ca="1">AVERAGE(OFFSET($EN$3,0,0,'Données projet'!$E$15+1,1))-AVERAGE(OFFSET($H$3,0,0,'Données projet'!$E$15+1,1))</f>
        <v>130.66539383144681</v>
      </c>
      <c r="EP46" s="59">
        <f t="shared" si="46"/>
        <v>126.36398121441903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14.344202321825765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14.344202321825765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8.147490842142858</v>
      </c>
      <c r="FE46" s="12">
        <f>IF('Données projet'!$A$218&gt;35,FE45+FD46-FM45,IF(A46&lt;'Données projet'!$A$218,$FB$205^A46,IF(A46='Données projet'!$A$218,'Données projet'!$B$218,FE45+FD46-FM45)))</f>
        <v>193.62250915785728</v>
      </c>
      <c r="FF46" s="17">
        <f>FE46*VLOOKUP('Données projet'!$B$16,Paramètres!$A$1:$I$89,3,0)*VLOOKUP('Données projet'!$B$16,Paramètres!$A$1:$I$89,5,0)</f>
        <v>187.27169085747957</v>
      </c>
      <c r="FG46" s="13">
        <f t="shared" si="47"/>
        <v>46.936255621733345</v>
      </c>
      <c r="FH46" s="20">
        <f t="shared" si="22"/>
        <v>407.91217345129581</v>
      </c>
      <c r="FI46" s="59">
        <f t="shared" si="23"/>
        <v>701.24550678462913</v>
      </c>
      <c r="FJ46" s="59">
        <f ca="1">AVERAGE(OFFSET($FI$3,0,0,'Données projet'!$E$16+1,1))-AVERAGE(OFFSET($H$3,0,0,'Données projet'!$E$16+1,1))</f>
        <v>380.43199889536805</v>
      </c>
      <c r="FK46" s="59">
        <f t="shared" si="48"/>
        <v>154.72646317672996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10.666666666666666</v>
      </c>
      <c r="N47" s="13">
        <f>IF('Données projet'!$A$36&gt;35,N46+M47-V46,IF(A47&lt;'Données projet'!$A$36,$K$205^A47,IF(A47='Données projet'!$A$36,'Données projet'!$B$36,N46+M47-V46)))</f>
        <v>209.33333333333334</v>
      </c>
      <c r="O47" s="13">
        <f>N47*VLOOKUP('Données projet'!$B$9,Paramètres!$A$1:$I$89,3,0)*VLOOKUP('Données projet'!$B$9,Paramètres!$A$1:$I$89,5,0)</f>
        <v>130.62400000000002</v>
      </c>
      <c r="P47" s="13">
        <f t="shared" si="33"/>
        <v>34.140507202645395</v>
      </c>
      <c r="Q47" s="20">
        <f t="shared" si="53"/>
        <v>286.96485004460743</v>
      </c>
      <c r="R47" s="59">
        <f t="shared" si="0"/>
        <v>580.29818337794075</v>
      </c>
      <c r="S47" s="59">
        <f ca="1">AVERAGE(OFFSET($R$3,0,0,'Données projet'!$E$9+1,1))-AVERAGE(OFFSET($H$3,0,0,'Données projet'!$E$9+1,1))</f>
        <v>179.44051550872138</v>
      </c>
      <c r="T47" s="59">
        <f t="shared" si="34"/>
        <v>272.9500808380069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58.265764320085438</v>
      </c>
      <c r="AA47" s="21">
        <f>EXP(-LN(2)/25)*AA46+(1-EXP(-LN(2)/25))/(LN(2)/25)*Calculateur!V47*Calculateur!X47*VLOOKUP('Données projet'!$B$9,Paramètres!$A$1:$I$89,3,0)*0.475*44/12</f>
        <v>32.822721331853074</v>
      </c>
      <c r="AB47" s="21">
        <f>EXP(-LN(2)/2)*AB46+(1-EXP(-LN(2)/2))/(LN(2)/2)*V47*Y47*VLOOKUP('Données projet'!$B$9,Paramètres!$A$1:$I$89,3,0)*0.475*44/12</f>
        <v>1.7248851407629764E-3</v>
      </c>
      <c r="AC47" s="22">
        <f t="shared" si="3"/>
        <v>91.090210537079273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19.005999999999993</v>
      </c>
      <c r="AI47" s="13">
        <f>IF('Données projet'!$A$62&gt;35,AI46+AH47-AQ46,IF(A47&lt;'Données projet'!$A$62,$AF$205^A47,IF(A47='Données projet'!$A$62,'Données projet'!$B$62,AI46+AH47-AQ46)))</f>
        <v>238.88400000000007</v>
      </c>
      <c r="AJ47" s="13">
        <f>AI47*VLOOKUP('Données projet'!$B$10,Paramètres!$A$1:$I$89,3,0)*VLOOKUP('Données projet'!$B$10,Paramètres!$A$1:$I$89,5,0)</f>
        <v>114.90320400000003</v>
      </c>
      <c r="AK47" s="13">
        <f t="shared" si="35"/>
        <v>30.483269297523961</v>
      </c>
      <c r="AL47" s="20">
        <f t="shared" si="4"/>
        <v>253.21477432652094</v>
      </c>
      <c r="AM47" s="59">
        <f t="shared" si="5"/>
        <v>546.54810765985428</v>
      </c>
      <c r="AN47" s="59">
        <f ca="1">AVERAGE(OFFSET($AM$3,0,0,'Données projet'!$E$10+1,1))-AVERAGE(OFFSET($H$3,0,0,'Données projet'!$E$10+1,1))</f>
        <v>174.18188687702559</v>
      </c>
      <c r="AO47" s="59">
        <f t="shared" si="36"/>
        <v>32.17353897322738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27.100000000000005</v>
      </c>
      <c r="BD47" s="12">
        <f>IF('Données projet'!$A$88&gt;35,BD46+BC47-BL46,IF(A47&lt;'Données projet'!$A$88,$BA$205^A47,IF(A47='Données projet'!$A$88,'Données projet'!$B$88,BD46+BC47-BL46)))</f>
        <v>547.32000000000005</v>
      </c>
      <c r="BE47" s="13">
        <f>BD47*VLOOKUP('Données projet'!$B$11,Paramètres!$A$1:$I$89,3,0)*VLOOKUP('Données projet'!$B$11,Paramètres!$A$1:$I$89,5,0)</f>
        <v>305.95188000000007</v>
      </c>
      <c r="BF47" s="13">
        <f t="shared" si="37"/>
        <v>72.422775940029837</v>
      </c>
      <c r="BG47" s="20">
        <f t="shared" si="7"/>
        <v>659.00252576221885</v>
      </c>
      <c r="BH47" s="59">
        <f t="shared" si="8"/>
        <v>952.33585909555222</v>
      </c>
      <c r="BI47" s="59">
        <f ca="1">AVERAGE(OFFSET($BH$3,0,0,'Données projet'!$E$11+1,1))-AVERAGE(OFFSET($H$3,0,0,'Données projet'!$E$11+1,1))</f>
        <v>350.01600895263641</v>
      </c>
      <c r="BJ47" s="59">
        <f t="shared" si="38"/>
        <v>464.08921044376882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65.665517024994699</v>
      </c>
      <c r="BQ47" s="21">
        <f>EXP(-LN(2)/25)*BQ46+(1-EXP(-LN(2)/25))/(LN(2)/25)*Calculateur!BL47*Calculateur!BN47*VLOOKUP('Données projet'!$B$11,Paramètres!$A$1:$I$89,3,0)*0.475*44/12</f>
        <v>34.302602907950799</v>
      </c>
      <c r="BR47" s="21">
        <f>EXP(-LN(2)/2)*BR46+(1-EXP(-LN(2)/2))/(LN(2)/2)*BL47*BO47*VLOOKUP('Données projet'!$B$11,Paramètres!$A$1:$I$89,3,0)*0.475*44/12</f>
        <v>5.7806291333032198E-3</v>
      </c>
      <c r="BS47" s="22">
        <f t="shared" si="9"/>
        <v>99.973900562078796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695.85530816211372</v>
      </c>
      <c r="CD47" s="59">
        <f ca="1">AVERAGE(OFFSET($CC$3,0,0,'Données projet'!$E$12+1,1))-AVERAGE(OFFSET($H$3,0,0,'Données projet'!$E$12+1,1))</f>
        <v>279.49721661620544</v>
      </c>
      <c r="CE47" s="59">
        <f t="shared" si="40"/>
        <v>275.18739333988754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28.723826682587664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28.723826682587664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201.77</v>
      </c>
      <c r="CR47" s="12">
        <f>VLOOKUP(A47,'Données projet'!$A$139:$I$159,9,0)</f>
        <v>8.147490842142858</v>
      </c>
      <c r="CS47" s="12">
        <f t="array" ref="CS47">INDEX(CR:CR,MIN(IF(ISNUMBER(CR47:CR243),ROW(CR47:CR243),"")))</f>
        <v>8.147490842142858</v>
      </c>
      <c r="CT47" s="12">
        <f>IF('Données projet'!$A$140&gt;35,CT46+CS47-DB46,IF(A47&lt;'Données projet'!$A$140,$CQ$205^A47,IF(A47='Données projet'!$A$140,'Données projet'!$B$140,CT46+CS47-DB46)))</f>
        <v>201.77000000000015</v>
      </c>
      <c r="CU47" s="17">
        <f>CT47*VLOOKUP('Données projet'!$B$13,Paramètres!$A$1:$I$89,3,0)*VLOOKUP('Données projet'!$B$13,Paramètres!$A$1:$I$89,5,0)</f>
        <v>204.59478000000018</v>
      </c>
      <c r="CV47" s="13">
        <f t="shared" si="41"/>
        <v>50.752622528241282</v>
      </c>
      <c r="CW47" s="20">
        <f t="shared" si="13"/>
        <v>444.73005940335389</v>
      </c>
      <c r="CX47" s="59">
        <f t="shared" si="14"/>
        <v>738.06339273668721</v>
      </c>
      <c r="CY47" s="59">
        <f ca="1">AVERAGE(OFFSET($CX$3,0,0,'Données projet'!$E$13+1,1))-AVERAGE(OFFSET($H$3,0,0,'Données projet'!$E$13+1,1))</f>
        <v>402.54350692668021</v>
      </c>
      <c r="CZ47" s="59">
        <f t="shared" si="42"/>
        <v>163.60655196884522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74.010000000000005</v>
      </c>
      <c r="DC47" s="16">
        <f>IF(ISNA(VLOOKUP(A47,'Données projet'!$A$139:$I$159,5,0)),0%,VLOOKUP(A47,'Données projet'!$A$139:$I$159,5,0)*VLOOKUP('Données projet'!$B$13,Paramètres!$A$1:$I$89,7,0))</f>
        <v>0.43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35.673352493361655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35.673352493361655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179.00000000000003</v>
      </c>
      <c r="DP47" s="17">
        <f>DO47*VLOOKUP('Données projet'!$B$14,Paramètres!$A$1:$I$89,3,0)*VLOOKUP('Données projet'!$B$14,Paramètres!$A$1:$I$89,5,0)</f>
        <v>153.58200000000002</v>
      </c>
      <c r="DQ47" s="13">
        <f t="shared" si="43"/>
        <v>39.391486561628568</v>
      </c>
      <c r="DR47" s="20">
        <f t="shared" si="16"/>
        <v>336.09548909483647</v>
      </c>
      <c r="DS47" s="59">
        <f t="shared" si="17"/>
        <v>629.42882242816972</v>
      </c>
      <c r="DT47" s="59">
        <f ca="1">AVERAGE(OFFSET($DS$3,0,0,'Données projet'!$E$14+1,1))-AVERAGE(OFFSET($H$3,0,0,'Données projet'!$E$14+1,1))</f>
        <v>352.76625414822473</v>
      </c>
      <c r="DU47" s="59">
        <f t="shared" si="44"/>
        <v>186.48649111821521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24.781340667330532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24.781340667330532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147.43589739999999</v>
      </c>
      <c r="EH47" s="12">
        <f>VLOOKUP(A47,'Données projet'!$A$191:$I$211,9,0)</f>
        <v>7.1428571399999976</v>
      </c>
      <c r="EI47" s="12">
        <f t="array" ref="EI47">INDEX(EH:EH,MIN(IF(ISNUMBER(EH47:EH243),ROW(EH47:EH243),"")))</f>
        <v>7.1428571399999976</v>
      </c>
      <c r="EJ47" s="12">
        <f>IF('Données projet'!$A$192&gt;35,EJ46+EI47-ER46,IF(A47&lt;'Données projet'!$A$192,$EG$205^A47,IF(A47='Données projet'!$A$192,'Données projet'!$B$192,EJ46+EI47-ER46)))</f>
        <v>147.43589740000002</v>
      </c>
      <c r="EK47" s="17">
        <f>EJ47*VLOOKUP('Données projet'!$B$15,Paramètres!$A$1:$I$89,3,0)*VLOOKUP('Données projet'!$B$15,Paramètres!$A$1:$I$89,5,0)</f>
        <v>114.99999997200001</v>
      </c>
      <c r="EL47" s="13">
        <f t="shared" si="45"/>
        <v>30.505958598166192</v>
      </c>
      <c r="EM47" s="20">
        <f t="shared" si="19"/>
        <v>253.42287784303949</v>
      </c>
      <c r="EN47" s="59">
        <f t="shared" si="20"/>
        <v>546.75621117637274</v>
      </c>
      <c r="EO47" s="59">
        <f ca="1">AVERAGE(OFFSET($EN$3,0,0,'Données projet'!$E$15+1,1))-AVERAGE(OFFSET($H$3,0,0,'Données projet'!$E$15+1,1))</f>
        <v>130.66539383144681</v>
      </c>
      <c r="EP47" s="59">
        <f t="shared" si="46"/>
        <v>126.36398121441903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27.564102559999998</v>
      </c>
      <c r="ES47" s="16">
        <f>IF(ISNA(VLOOKUP(A47,'Données projet'!$A$191:$I$211,5,0)),0%,VLOOKUP(A47,'Données projet'!$A$191:$I$211,5,0)*VLOOKUP('Données projet'!$B$15,Paramètres!$A$1:$I$89,7,0))</f>
        <v>0.43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24.282994920655273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24.282994920655273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projet'!$A$217:$I$237,2,0)</f>
        <v>201.77</v>
      </c>
      <c r="FC47" s="12">
        <f>VLOOKUP(A47,'Données projet'!$A$217:$I$237,9,0)</f>
        <v>8.147490842142858</v>
      </c>
      <c r="FD47" s="12">
        <f t="array" ref="FD47">INDEX(FC:FC,MIN(IF(ISNUMBER(FC47:FC243),ROW(FC47:FC243),"")))</f>
        <v>8.147490842142858</v>
      </c>
      <c r="FE47" s="12">
        <f>IF('Données projet'!$A$218&gt;35,FE46+FD47-FM46,IF(A47&lt;'Données projet'!$A$218,$FB$205^A47,IF(A47='Données projet'!$A$218,'Données projet'!$B$218,FE46+FD47-FM46)))</f>
        <v>201.77000000000015</v>
      </c>
      <c r="FF47" s="17">
        <f>FE47*VLOOKUP('Données projet'!$B$16,Paramètres!$A$1:$I$89,3,0)*VLOOKUP('Données projet'!$B$16,Paramètres!$A$1:$I$89,5,0)</f>
        <v>195.15194400000016</v>
      </c>
      <c r="FG47" s="13">
        <f t="shared" si="47"/>
        <v>48.677194888366706</v>
      </c>
      <c r="FH47" s="20">
        <f t="shared" si="22"/>
        <v>424.66908356390559</v>
      </c>
      <c r="FI47" s="59">
        <f t="shared" si="23"/>
        <v>718.00241689723885</v>
      </c>
      <c r="FJ47" s="59">
        <f ca="1">AVERAGE(OFFSET($FI$3,0,0,'Données projet'!$E$16+1,1))-AVERAGE(OFFSET($H$3,0,0,'Données projet'!$E$16+1,1))</f>
        <v>380.43199889536805</v>
      </c>
      <c r="FK47" s="59">
        <f t="shared" si="48"/>
        <v>154.72646317672996</v>
      </c>
      <c r="FL47" s="15">
        <f>IF(ISNA(VLOOKUP(A47,'Données projet'!$A$217:$I$237,3,0)),0,VLOOKUP(A47,'Données projet'!$A$217:$I$237,3,0))</f>
        <v>1</v>
      </c>
      <c r="FM47" s="15">
        <f>IF(ISNA(VLOOKUP(A47,'Données projet'!$A$217:$I$237,4,0)),0,VLOOKUP(A47,'Données projet'!$A$217:$I$237,4,0))</f>
        <v>74.010000000000005</v>
      </c>
      <c r="FN47" s="16">
        <f>IF(ISNA(VLOOKUP(A47,'Données projet'!$A$217:$I$237,5,0)),0%,VLOOKUP(A47,'Données projet'!$A$217:$I$237,5,0)*VLOOKUP('Données projet'!$B$16,Paramètres!$A$1:$I$89,7,0))</f>
        <v>0.43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34.026890070591115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34.026890070591115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10.666666666666666</v>
      </c>
      <c r="N48" s="13">
        <f>IF('Données projet'!$A$36&gt;35,N47+M48-V47,IF(A48&lt;'Données projet'!$A$36,$K$205^A48,IF(A48='Données projet'!$A$36,'Données projet'!$B$36,N47+M48-V47)))</f>
        <v>220</v>
      </c>
      <c r="O48" s="13">
        <f>N48*VLOOKUP('Données projet'!$B$9,Paramètres!$A$1:$I$89,3,0)*VLOOKUP('Données projet'!$B$9,Paramètres!$A$1:$I$89,5,0)</f>
        <v>137.28</v>
      </c>
      <c r="P48" s="13">
        <f t="shared" si="33"/>
        <v>35.673181961873446</v>
      </c>
      <c r="Q48" s="20">
        <f t="shared" si="53"/>
        <v>301.22679191692959</v>
      </c>
      <c r="R48" s="59">
        <f t="shared" si="0"/>
        <v>594.5601252502629</v>
      </c>
      <c r="S48" s="59">
        <f ca="1">AVERAGE(OFFSET($R$3,0,0,'Données projet'!$E$9+1,1))-AVERAGE(OFFSET($H$3,0,0,'Données projet'!$E$9+1,1))</f>
        <v>179.44051550872138</v>
      </c>
      <c r="T48" s="59">
        <f t="shared" si="34"/>
        <v>272.9500808380069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57.123208220375652</v>
      </c>
      <c r="AA48" s="21">
        <f>EXP(-LN(2)/25)*AA47+(1-EXP(-LN(2)/25))/(LN(2)/25)*Calculateur!V48*Calculateur!X48*VLOOKUP('Données projet'!$B$9,Paramètres!$A$1:$I$89,3,0)*0.475*44/12</f>
        <v>31.925182290961654</v>
      </c>
      <c r="AB48" s="21">
        <f>EXP(-LN(2)/2)*AB47+(1-EXP(-LN(2)/2))/(LN(2)/2)*V48*Y48*VLOOKUP('Données projet'!$B$9,Paramètres!$A$1:$I$89,3,0)*0.475*44/12</f>
        <v>1.2196779798014131E-3</v>
      </c>
      <c r="AC48" s="22">
        <f t="shared" si="3"/>
        <v>89.049610189317107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257.89</v>
      </c>
      <c r="AG48" s="12">
        <f>VLOOKUP(A48,'Données projet'!$A$61:$I$81,9,0)</f>
        <v>19.005999999999993</v>
      </c>
      <c r="AH48" s="12">
        <f t="array" ref="AH48">INDEX(AG:AG,MIN(IF(ISNUMBER(AG48:AG244),ROW(AG48:AG244),"")))</f>
        <v>19.005999999999993</v>
      </c>
      <c r="AI48" s="13">
        <f>IF('Données projet'!$A$62&gt;35,AI47+AH48-AQ47,IF(A48&lt;'Données projet'!$A$62,$AF$205^A48,IF(A48='Données projet'!$A$62,'Données projet'!$B$62,AI47+AH48-AQ47)))</f>
        <v>257.89000000000004</v>
      </c>
      <c r="AJ48" s="13">
        <f>AI48*VLOOKUP('Données projet'!$B$10,Paramètres!$A$1:$I$89,3,0)*VLOOKUP('Données projet'!$B$10,Paramètres!$A$1:$I$89,5,0)</f>
        <v>124.04509000000003</v>
      </c>
      <c r="AK48" s="13">
        <f t="shared" si="35"/>
        <v>32.616621995048156</v>
      </c>
      <c r="AL48" s="20">
        <f t="shared" si="4"/>
        <v>272.85248172470892</v>
      </c>
      <c r="AM48" s="59">
        <f t="shared" si="5"/>
        <v>566.18581505804218</v>
      </c>
      <c r="AN48" s="59">
        <f ca="1">AVERAGE(OFFSET($AM$3,0,0,'Données projet'!$E$10+1,1))-AVERAGE(OFFSET($H$3,0,0,'Données projet'!$E$10+1,1))</f>
        <v>174.18188687702559</v>
      </c>
      <c r="AO48" s="59">
        <f t="shared" si="36"/>
        <v>32.17353897322738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27.100000000000005</v>
      </c>
      <c r="BD48" s="12">
        <f>IF('Données projet'!$A$88&gt;35,BD47+BC48-BL47,IF(A48&lt;'Données projet'!$A$88,$BA$205^A48,IF(A48='Données projet'!$A$88,'Données projet'!$B$88,BD47+BC48-BL47)))</f>
        <v>574.42000000000007</v>
      </c>
      <c r="BE48" s="13">
        <f>BD48*VLOOKUP('Données projet'!$B$11,Paramètres!$A$1:$I$89,3,0)*VLOOKUP('Données projet'!$B$11,Paramètres!$A$1:$I$89,5,0)</f>
        <v>321.10078000000004</v>
      </c>
      <c r="BF48" s="13">
        <f t="shared" si="37"/>
        <v>75.582346553628341</v>
      </c>
      <c r="BG48" s="20">
        <f t="shared" si="7"/>
        <v>690.88977874756938</v>
      </c>
      <c r="BH48" s="59">
        <f t="shared" si="8"/>
        <v>984.22311208090264</v>
      </c>
      <c r="BI48" s="59">
        <f ca="1">AVERAGE(OFFSET($BH$3,0,0,'Données projet'!$E$11+1,1))-AVERAGE(OFFSET($H$3,0,0,'Données projet'!$E$11+1,1))</f>
        <v>350.01600895263641</v>
      </c>
      <c r="BJ48" s="59">
        <f t="shared" si="38"/>
        <v>464.08921044376882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64.377856288145125</v>
      </c>
      <c r="BQ48" s="21">
        <f>EXP(-LN(2)/25)*BQ47+(1-EXP(-LN(2)/25))/(LN(2)/25)*Calculateur!BL48*Calculateur!BN48*VLOOKUP('Données projet'!$B$11,Paramètres!$A$1:$I$89,3,0)*0.475*44/12</f>
        <v>33.3645964275374</v>
      </c>
      <c r="BR48" s="21">
        <f>EXP(-LN(2)/2)*BR47+(1-EXP(-LN(2)/2))/(LN(2)/2)*BL48*BO48*VLOOKUP('Données projet'!$B$11,Paramètres!$A$1:$I$89,3,0)*0.475*44/12</f>
        <v>4.0875220596832216E-3</v>
      </c>
      <c r="BS48" s="22">
        <f t="shared" si="9"/>
        <v>97.746540237742209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712.4396686610811</v>
      </c>
      <c r="CD48" s="59">
        <f ca="1">AVERAGE(OFFSET($CC$3,0,0,'Données projet'!$E$12+1,1))-AVERAGE(OFFSET($H$3,0,0,'Données projet'!$E$12+1,1))</f>
        <v>279.49721661620544</v>
      </c>
      <c r="CE48" s="59">
        <f t="shared" si="40"/>
        <v>275.18739333988754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39.34796557707206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39.34796557707206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9.2985714285714263</v>
      </c>
      <c r="CT48" s="12">
        <f>IF('Données projet'!$A$140&gt;35,CT47+CS48-DB47,IF(A48&lt;'Données projet'!$A$140,$CQ$205^A48,IF(A48='Données projet'!$A$140,'Données projet'!$B$140,CT47+CS48-DB47)))</f>
        <v>137.05857142857155</v>
      </c>
      <c r="CU48" s="17">
        <f>CT48*VLOOKUP('Données projet'!$B$13,Paramètres!$A$1:$I$89,3,0)*VLOOKUP('Données projet'!$B$13,Paramètres!$A$1:$I$89,5,0)</f>
        <v>138.97739142857156</v>
      </c>
      <c r="CV48" s="13">
        <f t="shared" si="41"/>
        <v>36.062640370274622</v>
      </c>
      <c r="CW48" s="20">
        <f t="shared" si="13"/>
        <v>304.8613887163238</v>
      </c>
      <c r="CX48" s="59">
        <f t="shared" si="14"/>
        <v>598.19472204965712</v>
      </c>
      <c r="CY48" s="59">
        <f ca="1">AVERAGE(OFFSET($CX$3,0,0,'Données projet'!$E$13+1,1))-AVERAGE(OFFSET($H$3,0,0,'Données projet'!$E$13+1,1))</f>
        <v>402.54350692668021</v>
      </c>
      <c r="CZ48" s="59">
        <f t="shared" si="42"/>
        <v>163.60655196884522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34.973819809563373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34.973819809563373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190</v>
      </c>
      <c r="DM48" s="12">
        <f>VLOOKUP(A48,'Données projet'!$A$165:$I$185,9,0)</f>
        <v>11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190.00000000000003</v>
      </c>
      <c r="DP48" s="17">
        <f>DO48*VLOOKUP('Données projet'!$B$14,Paramètres!$A$1:$I$89,3,0)*VLOOKUP('Données projet'!$B$14,Paramètres!$A$1:$I$89,5,0)</f>
        <v>163.02000000000004</v>
      </c>
      <c r="DQ48" s="13">
        <f t="shared" si="43"/>
        <v>41.52294175893757</v>
      </c>
      <c r="DR48" s="20">
        <f t="shared" si="16"/>
        <v>356.24562356348298</v>
      </c>
      <c r="DS48" s="59">
        <f t="shared" si="17"/>
        <v>649.57895689681629</v>
      </c>
      <c r="DT48" s="59">
        <f ca="1">AVERAGE(OFFSET($DS$3,0,0,'Données projet'!$E$14+1,1))-AVERAGE(OFFSET($H$3,0,0,'Données projet'!$E$14+1,1))</f>
        <v>352.76625414822473</v>
      </c>
      <c r="DU48" s="59">
        <f t="shared" si="44"/>
        <v>186.48649111821521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0.53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38.37103850285628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38.37103850285628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6.6506410324999994</v>
      </c>
      <c r="EJ48" s="12">
        <f>IF('Données projet'!$A$192&gt;35,EJ47+EI48-ER47,IF(A48&lt;'Données projet'!$A$192,$EG$205^A48,IF(A48='Données projet'!$A$192,'Données projet'!$B$192,EJ47+EI48-ER47)))</f>
        <v>126.52243587250003</v>
      </c>
      <c r="EK48" s="17">
        <f>EJ48*VLOOKUP('Données projet'!$B$15,Paramètres!$A$1:$I$89,3,0)*VLOOKUP('Données projet'!$B$15,Paramètres!$A$1:$I$89,5,0)</f>
        <v>98.687499980550029</v>
      </c>
      <c r="EL48" s="13">
        <f t="shared" si="45"/>
        <v>26.649072490585695</v>
      </c>
      <c r="EM48" s="20">
        <f t="shared" si="19"/>
        <v>218.29453038722804</v>
      </c>
      <c r="EN48" s="59">
        <f t="shared" si="20"/>
        <v>511.62786372056132</v>
      </c>
      <c r="EO48" s="59">
        <f ca="1">AVERAGE(OFFSET($EN$3,0,0,'Données projet'!$E$15+1,1))-AVERAGE(OFFSET($H$3,0,0,'Données projet'!$E$15+1,1))</f>
        <v>130.66539383144681</v>
      </c>
      <c r="EP48" s="59">
        <f t="shared" si="46"/>
        <v>126.36398121441903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23.806820201425644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23.806820201425644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9.2985714285714263</v>
      </c>
      <c r="FE48" s="12">
        <f>IF('Données projet'!$A$218&gt;35,FE47+FD48-FM47,IF(A48&lt;'Données projet'!$A$218,$FB$205^A48,IF(A48='Données projet'!$A$218,'Données projet'!$B$218,FE47+FD48-FM47)))</f>
        <v>137.05857142857155</v>
      </c>
      <c r="FF48" s="17">
        <f>FE48*VLOOKUP('Données projet'!$B$16,Paramètres!$A$1:$I$89,3,0)*VLOOKUP('Données projet'!$B$16,Paramètres!$A$1:$I$89,5,0)</f>
        <v>132.56305028571441</v>
      </c>
      <c r="FG48" s="13">
        <f t="shared" si="47"/>
        <v>34.587930358005266</v>
      </c>
      <c r="FH48" s="20">
        <f t="shared" si="22"/>
        <v>291.12129128781174</v>
      </c>
      <c r="FI48" s="59">
        <f t="shared" si="23"/>
        <v>584.45462462114506</v>
      </c>
      <c r="FJ48" s="59">
        <f ca="1">AVERAGE(OFFSET($FI$3,0,0,'Données projet'!$E$16+1,1))-AVERAGE(OFFSET($H$3,0,0,'Données projet'!$E$16+1,1))</f>
        <v>380.43199889536805</v>
      </c>
      <c r="FK48" s="59">
        <f t="shared" si="48"/>
        <v>154.72646317672996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33.359643510660447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33.359643510660447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10.666666666666666</v>
      </c>
      <c r="N49" s="13">
        <f>IF('Données projet'!$A$36&gt;35,N48+M49-V48,IF(A49&lt;'Données projet'!$A$36,$K$205^A49,IF(A49='Données projet'!$A$36,'Données projet'!$B$36,N48+M49-V48)))</f>
        <v>230.66666666666666</v>
      </c>
      <c r="O49" s="13">
        <f>N49*VLOOKUP('Données projet'!$B$9,Paramètres!$A$1:$I$89,3,0)*VLOOKUP('Données projet'!$B$9,Paramètres!$A$1:$I$89,5,0)</f>
        <v>143.93599999999998</v>
      </c>
      <c r="P49" s="13">
        <f t="shared" si="33"/>
        <v>37.197227655019397</v>
      </c>
      <c r="Q49" s="20">
        <f t="shared" si="53"/>
        <v>315.47370483249205</v>
      </c>
      <c r="R49" s="59">
        <f t="shared" si="0"/>
        <v>608.80703816582536</v>
      </c>
      <c r="S49" s="59">
        <f ca="1">AVERAGE(OFFSET($R$3,0,0,'Données projet'!$E$9+1,1))-AVERAGE(OFFSET($H$3,0,0,'Données projet'!$E$9+1,1))</f>
        <v>179.44051550872138</v>
      </c>
      <c r="T49" s="59">
        <f t="shared" si="34"/>
        <v>272.9500808380069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56.003056948890766</v>
      </c>
      <c r="AA49" s="21">
        <f>EXP(-LN(2)/25)*AA48+(1-EXP(-LN(2)/25))/(LN(2)/25)*Calculateur!V49*Calculateur!X49*VLOOKUP('Données projet'!$B$9,Paramètres!$A$1:$I$89,3,0)*0.475*44/12</f>
        <v>31.052186502342938</v>
      </c>
      <c r="AB49" s="21">
        <f>EXP(-LN(2)/2)*AB48+(1-EXP(-LN(2)/2))/(LN(2)/2)*V49*Y49*VLOOKUP('Données projet'!$B$9,Paramètres!$A$1:$I$89,3,0)*0.475*44/12</f>
        <v>8.6244257038148818E-4</v>
      </c>
      <c r="AC49" s="22">
        <f t="shared" si="3"/>
        <v>87.056105893804087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20.916000000000007</v>
      </c>
      <c r="AI49" s="13">
        <f>IF('Données projet'!$A$62&gt;35,AI48+AH49-AQ48,IF(A49&lt;'Données projet'!$A$62,$AF$205^A49,IF(A49='Données projet'!$A$62,'Données projet'!$B$62,AI48+AH49-AQ48)))</f>
        <v>278.80600000000004</v>
      </c>
      <c r="AJ49" s="13">
        <f>AI49*VLOOKUP('Données projet'!$B$10,Paramètres!$A$1:$I$89,3,0)*VLOOKUP('Données projet'!$B$10,Paramètres!$A$1:$I$89,5,0)</f>
        <v>134.10568600000002</v>
      </c>
      <c r="AK49" s="13">
        <f t="shared" si="35"/>
        <v>34.94333918290954</v>
      </c>
      <c r="AL49" s="20">
        <f t="shared" si="4"/>
        <v>294.42705219356748</v>
      </c>
      <c r="AM49" s="59">
        <f t="shared" si="5"/>
        <v>587.76038552690079</v>
      </c>
      <c r="AN49" s="59">
        <f ca="1">AVERAGE(OFFSET($AM$3,0,0,'Données projet'!$E$10+1,1))-AVERAGE(OFFSET($H$3,0,0,'Données projet'!$E$10+1,1))</f>
        <v>174.18188687702559</v>
      </c>
      <c r="AO49" s="59">
        <f t="shared" si="36"/>
        <v>32.17353897322738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27.100000000000005</v>
      </c>
      <c r="BD49" s="12">
        <f>IF('Données projet'!$A$88&gt;35,BD48+BC49-BL48,IF(A49&lt;'Données projet'!$A$88,$BA$205^A49,IF(A49='Données projet'!$A$88,'Données projet'!$B$88,BD48+BC49-BL48)))</f>
        <v>601.5200000000001</v>
      </c>
      <c r="BE49" s="13">
        <f>BD49*VLOOKUP('Données projet'!$B$11,Paramètres!$A$1:$I$89,3,0)*VLOOKUP('Données projet'!$B$11,Paramètres!$A$1:$I$89,5,0)</f>
        <v>336.24968000000007</v>
      </c>
      <c r="BF49" s="13">
        <f t="shared" si="37"/>
        <v>78.724607090157278</v>
      </c>
      <c r="BG49" s="20">
        <f t="shared" si="7"/>
        <v>722.74688334869063</v>
      </c>
      <c r="BH49" s="59">
        <f t="shared" si="8"/>
        <v>1016.080216682024</v>
      </c>
      <c r="BI49" s="59">
        <f ca="1">AVERAGE(OFFSET($BH$3,0,0,'Données projet'!$E$11+1,1))-AVERAGE(OFFSET($H$3,0,0,'Données projet'!$E$11+1,1))</f>
        <v>350.01600895263641</v>
      </c>
      <c r="BJ49" s="59">
        <f t="shared" si="38"/>
        <v>464.08921044376882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63.115445792949679</v>
      </c>
      <c r="BQ49" s="21">
        <f>EXP(-LN(2)/25)*BQ48+(1-EXP(-LN(2)/25))/(LN(2)/25)*Calculateur!BL49*Calculateur!BN49*VLOOKUP('Données projet'!$B$11,Paramètres!$A$1:$I$89,3,0)*0.475*44/12</f>
        <v>32.45223978365852</v>
      </c>
      <c r="BR49" s="21">
        <f>EXP(-LN(2)/2)*BR48+(1-EXP(-LN(2)/2))/(LN(2)/2)*BL49*BO49*VLOOKUP('Données projet'!$B$11,Paramètres!$A$1:$I$89,3,0)*0.475*44/12</f>
        <v>2.8903145666516099E-3</v>
      </c>
      <c r="BS49" s="22">
        <f t="shared" si="9"/>
        <v>95.570575891174855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686.37193002989943</v>
      </c>
      <c r="CD49" s="59">
        <f ca="1">AVERAGE(OFFSET($CC$3,0,0,'Données projet'!$E$12+1,1))-AVERAGE(OFFSET($H$3,0,0,'Données projet'!$E$12+1,1))</f>
        <v>279.49721661620544</v>
      </c>
      <c r="CE49" s="59">
        <f t="shared" si="40"/>
        <v>275.18739333988754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38.576375971994885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38.576375971994885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9.2985714285714263</v>
      </c>
      <c r="CT49" s="12">
        <f>IF('Données projet'!$A$140&gt;35,CT48+CS49-DB48,IF(A49&lt;'Données projet'!$A$140,$CQ$205^A49,IF(A49='Données projet'!$A$140,'Données projet'!$B$140,CT48+CS49-DB48)))</f>
        <v>146.35714285714297</v>
      </c>
      <c r="CU49" s="17">
        <f>CT49*VLOOKUP('Données projet'!$B$13,Paramètres!$A$1:$I$89,3,0)*VLOOKUP('Données projet'!$B$13,Paramètres!$A$1:$I$89,5,0)</f>
        <v>148.40614285714298</v>
      </c>
      <c r="CV49" s="13">
        <f t="shared" si="41"/>
        <v>38.216150978549223</v>
      </c>
      <c r="CW49" s="20">
        <f t="shared" si="13"/>
        <v>325.03382843049724</v>
      </c>
      <c r="CX49" s="59">
        <f t="shared" si="14"/>
        <v>618.36716176383061</v>
      </c>
      <c r="CY49" s="59">
        <f ca="1">AVERAGE(OFFSET($CX$3,0,0,'Données projet'!$E$13+1,1))-AVERAGE(OFFSET($H$3,0,0,'Données projet'!$E$13+1,1))</f>
        <v>402.54350692668021</v>
      </c>
      <c r="CZ49" s="59">
        <f t="shared" si="42"/>
        <v>163.60655196884522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34.288004535021564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34.288004535021564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173.00000000000003</v>
      </c>
      <c r="DP49" s="17">
        <f>DO49*VLOOKUP('Données projet'!$B$14,Paramètres!$A$1:$I$89,3,0)*VLOOKUP('Données projet'!$B$14,Paramètres!$A$1:$I$89,5,0)</f>
        <v>148.43400000000003</v>
      </c>
      <c r="DQ49" s="13">
        <f t="shared" si="43"/>
        <v>38.222489421716382</v>
      </c>
      <c r="DR49" s="20">
        <f t="shared" si="16"/>
        <v>325.0933857428227</v>
      </c>
      <c r="DS49" s="59">
        <f t="shared" si="17"/>
        <v>618.42671907615602</v>
      </c>
      <c r="DT49" s="59">
        <f ca="1">AVERAGE(OFFSET($DS$3,0,0,'Données projet'!$E$14+1,1))-AVERAGE(OFFSET($H$3,0,0,'Données projet'!$E$14+1,1))</f>
        <v>352.76625414822473</v>
      </c>
      <c r="DU49" s="59">
        <f t="shared" si="44"/>
        <v>186.48649111821521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37.618605841837798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37.618605841837798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6.6506410324999994</v>
      </c>
      <c r="EJ49" s="12">
        <f>IF('Données projet'!$A$192&gt;35,EJ48+EI49-ER48,IF(A49&lt;'Données projet'!$A$192,$EG$205^A49,IF(A49='Données projet'!$A$192,'Données projet'!$B$192,EJ48+EI49-ER48)))</f>
        <v>133.17307690500002</v>
      </c>
      <c r="EK49" s="17">
        <f>EJ49*VLOOKUP('Données projet'!$B$15,Paramètres!$A$1:$I$89,3,0)*VLOOKUP('Données projet'!$B$15,Paramètres!$A$1:$I$89,5,0)</f>
        <v>103.87499998590002</v>
      </c>
      <c r="EL49" s="13">
        <f t="shared" si="45"/>
        <v>27.883110312766043</v>
      </c>
      <c r="EM49" s="20">
        <f t="shared" si="19"/>
        <v>229.47870877017669</v>
      </c>
      <c r="EN49" s="59">
        <f t="shared" si="20"/>
        <v>522.81204210351007</v>
      </c>
      <c r="EO49" s="59">
        <f ca="1">AVERAGE(OFFSET($EN$3,0,0,'Données projet'!$E$15+1,1))-AVERAGE(OFFSET($H$3,0,0,'Données projet'!$E$15+1,1))</f>
        <v>130.66539383144681</v>
      </c>
      <c r="EP49" s="59">
        <f t="shared" si="46"/>
        <v>126.36398121441903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23.339982978002208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23.339982978002208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9.2985714285714263</v>
      </c>
      <c r="FE49" s="12">
        <f>IF('Données projet'!$A$218&gt;35,FE48+FD49-FM48,IF(A49&lt;'Données projet'!$A$218,$FB$205^A49,IF(A49='Données projet'!$A$218,'Données projet'!$B$218,FE48+FD49-FM48)))</f>
        <v>146.35714285714297</v>
      </c>
      <c r="FF49" s="17">
        <f>FE49*VLOOKUP('Données projet'!$B$16,Paramètres!$A$1:$I$89,3,0)*VLOOKUP('Données projet'!$B$16,Paramètres!$A$1:$I$89,5,0)</f>
        <v>141.55662857142869</v>
      </c>
      <c r="FG49" s="13">
        <f t="shared" si="47"/>
        <v>36.653377429529833</v>
      </c>
      <c r="FH49" s="20">
        <f t="shared" si="22"/>
        <v>310.38242711833601</v>
      </c>
      <c r="FI49" s="59">
        <f t="shared" si="23"/>
        <v>603.71576045166933</v>
      </c>
      <c r="FJ49" s="59">
        <f ca="1">AVERAGE(OFFSET($FI$3,0,0,'Données projet'!$E$16+1,1))-AVERAGE(OFFSET($H$3,0,0,'Données projet'!$E$16+1,1))</f>
        <v>380.43199889536805</v>
      </c>
      <c r="FK49" s="59">
        <f t="shared" si="48"/>
        <v>154.72646317672996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32.705481248789802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32.705481248789802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10.666666666666666</v>
      </c>
      <c r="N50" s="13">
        <f>IF('Données projet'!$A$36&gt;35,N49+M50-V49,IF(A50&lt;'Données projet'!$A$36,$K$205^A50,IF(A50='Données projet'!$A$36,'Données projet'!$B$36,N49+M50-V49)))</f>
        <v>241.33333333333331</v>
      </c>
      <c r="O50" s="13">
        <f>N50*VLOOKUP('Données projet'!$B$9,Paramètres!$A$1:$I$89,3,0)*VLOOKUP('Données projet'!$B$9,Paramètres!$A$1:$I$89,5,0)</f>
        <v>150.59199999999998</v>
      </c>
      <c r="P50" s="13">
        <f t="shared" si="33"/>
        <v>38.713088888505631</v>
      </c>
      <c r="Q50" s="20">
        <f t="shared" si="53"/>
        <v>329.70636314748066</v>
      </c>
      <c r="R50" s="59">
        <f t="shared" si="0"/>
        <v>623.03969648081397</v>
      </c>
      <c r="S50" s="59">
        <f ca="1">AVERAGE(OFFSET($R$3,0,0,'Données projet'!$E$9+1,1))-AVERAGE(OFFSET($H$3,0,0,'Données projet'!$E$9+1,1))</f>
        <v>179.44051550872138</v>
      </c>
      <c r="T50" s="59">
        <f t="shared" si="34"/>
        <v>272.9500808380069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54.904871160614888</v>
      </c>
      <c r="AA50" s="21">
        <f>EXP(-LN(2)/25)*AA49+(1-EXP(-LN(2)/25))/(LN(2)/25)*Calculateur!V50*Calculateur!X50*VLOOKUP('Données projet'!$B$9,Paramètres!$A$1:$I$89,3,0)*0.475*44/12</f>
        <v>30.203062829472852</v>
      </c>
      <c r="AB50" s="21">
        <f>EXP(-LN(2)/2)*AB49+(1-EXP(-LN(2)/2))/(LN(2)/2)*V50*Y50*VLOOKUP('Données projet'!$B$9,Paramètres!$A$1:$I$89,3,0)*0.475*44/12</f>
        <v>6.0983898990070657E-4</v>
      </c>
      <c r="AC50" s="22">
        <f t="shared" si="3"/>
        <v>85.108543829077647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20.916000000000007</v>
      </c>
      <c r="AI50" s="13">
        <f>IF('Données projet'!$A$62&gt;35,AI49+AH50-AQ49,IF(A50&lt;'Données projet'!$A$62,$AF$205^A50,IF(A50='Données projet'!$A$62,'Données projet'!$B$62,AI49+AH50-AQ49)))</f>
        <v>299.72200000000004</v>
      </c>
      <c r="AJ50" s="13">
        <f>AI50*VLOOKUP('Données projet'!$B$10,Paramètres!$A$1:$I$89,3,0)*VLOOKUP('Données projet'!$B$10,Paramètres!$A$1:$I$89,5,0)</f>
        <v>144.16628200000002</v>
      </c>
      <c r="AK50" s="13">
        <f t="shared" si="35"/>
        <v>37.249807151949064</v>
      </c>
      <c r="AL50" s="20">
        <f t="shared" si="4"/>
        <v>315.96635527297798</v>
      </c>
      <c r="AM50" s="59">
        <f t="shared" si="5"/>
        <v>609.29968860631129</v>
      </c>
      <c r="AN50" s="59">
        <f ca="1">AVERAGE(OFFSET($AM$3,0,0,'Données projet'!$E$10+1,1))-AVERAGE(OFFSET($H$3,0,0,'Données projet'!$E$10+1,1))</f>
        <v>174.18188687702559</v>
      </c>
      <c r="AO50" s="59">
        <f t="shared" si="36"/>
        <v>32.17353897322738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27.100000000000005</v>
      </c>
      <c r="BD50" s="12">
        <f>IF('Données projet'!$A$88&gt;35,BD49+BC50-BL49,IF(A50&lt;'Données projet'!$A$88,$BA$205^A50,IF(A50='Données projet'!$A$88,'Données projet'!$B$88,BD49+BC50-BL49)))</f>
        <v>628.62000000000012</v>
      </c>
      <c r="BE50" s="13">
        <f>BD50*VLOOKUP('Données projet'!$B$11,Paramètres!$A$1:$I$89,3,0)*VLOOKUP('Données projet'!$B$11,Paramètres!$A$1:$I$89,5,0)</f>
        <v>351.39858000000009</v>
      </c>
      <c r="BF50" s="13">
        <f t="shared" si="37"/>
        <v>81.850426510165747</v>
      </c>
      <c r="BG50" s="20">
        <f t="shared" si="7"/>
        <v>754.57535300520556</v>
      </c>
      <c r="BH50" s="59">
        <f t="shared" si="8"/>
        <v>1047.9086863385389</v>
      </c>
      <c r="BI50" s="59">
        <f ca="1">AVERAGE(OFFSET($BH$3,0,0,'Données projet'!$E$11+1,1))-AVERAGE(OFFSET($H$3,0,0,'Données projet'!$E$11+1,1))</f>
        <v>350.01600895263641</v>
      </c>
      <c r="BJ50" s="59">
        <f t="shared" si="38"/>
        <v>464.08921044376882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61.877790397570642</v>
      </c>
      <c r="BQ50" s="21">
        <f>EXP(-LN(2)/25)*BQ49+(1-EXP(-LN(2)/25))/(LN(2)/25)*Calculateur!BL50*Calculateur!BN50*VLOOKUP('Données projet'!$B$11,Paramètres!$A$1:$I$89,3,0)*0.475*44/12</f>
        <v>31.56483158018526</v>
      </c>
      <c r="BR50" s="21">
        <f>EXP(-LN(2)/2)*BR49+(1-EXP(-LN(2)/2))/(LN(2)/2)*BL50*BO50*VLOOKUP('Données projet'!$B$11,Paramètres!$A$1:$I$89,3,0)*0.475*44/12</f>
        <v>2.0437610298416108E-3</v>
      </c>
      <c r="BS50" s="22">
        <f t="shared" si="9"/>
        <v>93.444665738785744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700.93369328671702</v>
      </c>
      <c r="CD50" s="59">
        <f ca="1">AVERAGE(OFFSET($CC$3,0,0,'Données projet'!$E$12+1,1))-AVERAGE(OFFSET($H$3,0,0,'Données projet'!$E$12+1,1))</f>
        <v>279.49721661620544</v>
      </c>
      <c r="CE50" s="59">
        <f t="shared" si="40"/>
        <v>275.18739333988754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37.819916768450085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37.819916768450085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9.2985714285714263</v>
      </c>
      <c r="CT50" s="12">
        <f>IF('Données projet'!$A$140&gt;35,CT49+CS50-DB49,IF(A50&lt;'Données projet'!$A$140,$CQ$205^A50,IF(A50='Données projet'!$A$140,'Données projet'!$B$140,CT49+CS50-DB49)))</f>
        <v>155.6557142857144</v>
      </c>
      <c r="CU50" s="17">
        <f>CT50*VLOOKUP('Données projet'!$B$13,Paramètres!$A$1:$I$89,3,0)*VLOOKUP('Données projet'!$B$13,Paramètres!$A$1:$I$89,5,0)</f>
        <v>157.83489428571443</v>
      </c>
      <c r="CV50" s="13">
        <f t="shared" si="41"/>
        <v>40.353783218476387</v>
      </c>
      <c r="CW50" s="20">
        <f t="shared" si="13"/>
        <v>345.17861331979901</v>
      </c>
      <c r="CX50" s="59">
        <f t="shared" si="14"/>
        <v>638.51194665313233</v>
      </c>
      <c r="CY50" s="59">
        <f ca="1">AVERAGE(OFFSET($CX$3,0,0,'Données projet'!$E$13+1,1))-AVERAGE(OFFSET($H$3,0,0,'Données projet'!$E$13+1,1))</f>
        <v>402.54350692668021</v>
      </c>
      <c r="CZ50" s="59">
        <f t="shared" si="42"/>
        <v>163.60655196884522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33.615637679707511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33.615637679707511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184.00000000000003</v>
      </c>
      <c r="DP50" s="17">
        <f>DO50*VLOOKUP('Données projet'!$B$14,Paramètres!$A$1:$I$89,3,0)*VLOOKUP('Données projet'!$B$14,Paramètres!$A$1:$I$89,5,0)</f>
        <v>157.87200000000004</v>
      </c>
      <c r="DQ50" s="13">
        <f t="shared" si="43"/>
        <v>40.362165684361159</v>
      </c>
      <c r="DR50" s="20">
        <f t="shared" si="16"/>
        <v>345.25783856692902</v>
      </c>
      <c r="DS50" s="59">
        <f t="shared" si="17"/>
        <v>638.59117190026234</v>
      </c>
      <c r="DT50" s="59">
        <f ca="1">AVERAGE(OFFSET($DS$3,0,0,'Données projet'!$E$14+1,1))-AVERAGE(OFFSET($H$3,0,0,'Données projet'!$E$14+1,1))</f>
        <v>352.76625414822473</v>
      </c>
      <c r="DU50" s="59">
        <f t="shared" si="44"/>
        <v>186.48649111821521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36.880927926363285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36.880927926363285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6.6506410324999994</v>
      </c>
      <c r="EJ50" s="12">
        <f>IF('Données projet'!$A$192&gt;35,EJ49+EI50-ER49,IF(A50&lt;'Données projet'!$A$192,$EG$205^A50,IF(A50='Données projet'!$A$192,'Données projet'!$B$192,EJ49+EI50-ER49)))</f>
        <v>139.82371793750002</v>
      </c>
      <c r="EK50" s="17">
        <f>EJ50*VLOOKUP('Données projet'!$B$15,Paramètres!$A$1:$I$89,3,0)*VLOOKUP('Données projet'!$B$15,Paramètres!$A$1:$I$89,5,0)</f>
        <v>109.06249999125002</v>
      </c>
      <c r="EL50" s="13">
        <f t="shared" si="45"/>
        <v>29.109992346555355</v>
      </c>
      <c r="EM50" s="20">
        <f t="shared" si="19"/>
        <v>240.65042415501102</v>
      </c>
      <c r="EN50" s="59">
        <f t="shared" si="20"/>
        <v>533.98375748834428</v>
      </c>
      <c r="EO50" s="59">
        <f ca="1">AVERAGE(OFFSET($EN$3,0,0,'Données projet'!$E$15+1,1))-AVERAGE(OFFSET($H$3,0,0,'Données projet'!$E$15+1,1))</f>
        <v>130.66539383144681</v>
      </c>
      <c r="EP50" s="59">
        <f t="shared" si="46"/>
        <v>126.36398121441903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22.882300147787515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22.882300147787515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9.2985714285714263</v>
      </c>
      <c r="FE50" s="12">
        <f>IF('Données projet'!$A$218&gt;35,FE49+FD50-FM49,IF(A50&lt;'Données projet'!$A$218,$FB$205^A50,IF(A50='Données projet'!$A$218,'Données projet'!$B$218,FE49+FD50-FM49)))</f>
        <v>155.6557142857144</v>
      </c>
      <c r="FF50" s="17">
        <f>FE50*VLOOKUP('Données projet'!$B$16,Paramètres!$A$1:$I$89,3,0)*VLOOKUP('Données projet'!$B$16,Paramètres!$A$1:$I$89,5,0)</f>
        <v>150.55020685714297</v>
      </c>
      <c r="FG50" s="13">
        <f t="shared" si="47"/>
        <v>38.703595447026167</v>
      </c>
      <c r="FH50" s="20">
        <f t="shared" si="22"/>
        <v>329.6170390130946</v>
      </c>
      <c r="FI50" s="59">
        <f t="shared" si="23"/>
        <v>622.95037234642791</v>
      </c>
      <c r="FJ50" s="59">
        <f ca="1">AVERAGE(OFFSET($FI$3,0,0,'Données projet'!$E$16+1,1))-AVERAGE(OFFSET($H$3,0,0,'Données projet'!$E$16+1,1))</f>
        <v>380.43199889536805</v>
      </c>
      <c r="FK50" s="59">
        <f t="shared" si="48"/>
        <v>154.72646317672996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32.064146709874855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32.064146709874855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</v>
      </c>
      <c r="L51" s="12">
        <f>VLOOKUP(A51,'Données projet'!$A$35:$I$55,9,0)</f>
        <v>10.666666666666666</v>
      </c>
      <c r="M51" s="12">
        <f t="array" ref="M51">INDEX(L:L,MIN(IF(ISNUMBER(L51:L247),ROW(L51:L247),"")))</f>
        <v>10.666666666666666</v>
      </c>
      <c r="N51" s="13">
        <f>IF('Données projet'!$A$36&gt;35,N50+M51-V50,IF(A51&lt;'Données projet'!$A$36,$K$205^A51,IF(A51='Données projet'!$A$36,'Données projet'!$B$36,N50+M51-V50)))</f>
        <v>251.99999999999997</v>
      </c>
      <c r="O51" s="13">
        <f>N51*VLOOKUP('Données projet'!$B$9,Paramètres!$A$1:$I$89,3,0)*VLOOKUP('Données projet'!$B$9,Paramètres!$A$1:$I$89,5,0)</f>
        <v>157.24799999999999</v>
      </c>
      <c r="P51" s="13">
        <f t="shared" si="33"/>
        <v>40.22116874434861</v>
      </c>
      <c r="Q51" s="20">
        <f t="shared" si="53"/>
        <v>343.92546889640715</v>
      </c>
      <c r="R51" s="59">
        <f t="shared" si="0"/>
        <v>637.25880222974047</v>
      </c>
      <c r="S51" s="59">
        <f ca="1">AVERAGE(OFFSET($R$3,0,0,'Données projet'!$E$9+1,1))-AVERAGE(OFFSET($H$3,0,0,'Données projet'!$E$9+1,1))</f>
        <v>179.44051550872138</v>
      </c>
      <c r="T51" s="59">
        <f t="shared" si="34"/>
        <v>272.9500808380069</v>
      </c>
      <c r="U51" s="15">
        <f>IF(ISNA(VLOOKUP(A51,'Données projet'!$A$35:$I$55,3,0)),0,VLOOKUP(A51,'Données projet'!$A$35:$I$55,3,0))</f>
        <v>7</v>
      </c>
      <c r="V51" s="15">
        <f>IF(ISNA(VLOOKUP(A51,'Données projet'!$A$35:$I$55,4,0)),0,VLOOKUP(A51,'Données projet'!$A$35:$I$55,4,0))</f>
        <v>65</v>
      </c>
      <c r="W51" s="16">
        <f>IF(ISNA(VLOOKUP(A51,'Données projet'!$A$35:$I$55,5,0)),0%,VLOOKUP(A51,'Données projet'!$A$35:$I$55,5,0)*VLOOKUP('Données projet'!$B$9,Paramètres!$A$1:$I$89,7,0))</f>
        <v>0.6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86.111492713396558</v>
      </c>
      <c r="AA51" s="21">
        <f>EXP(-LN(2)/25)*AA50+(1-EXP(-LN(2)/25))/(LN(2)/25)*Calculateur!V51*Calculateur!X51*VLOOKUP('Données projet'!$B$9,Paramètres!$A$1:$I$89,3,0)*0.475*44/12</f>
        <v>29.377158488090874</v>
      </c>
      <c r="AB51" s="21">
        <f>EXP(-LN(2)/2)*AB50+(1-EXP(-LN(2)/2))/(LN(2)/2)*V51*Y51*VLOOKUP('Données projet'!$B$9,Paramètres!$A$1:$I$89,3,0)*0.475*44/12</f>
        <v>4.3122128519074409E-4</v>
      </c>
      <c r="AC51" s="22">
        <f t="shared" si="3"/>
        <v>115.48908242277263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20.916000000000007</v>
      </c>
      <c r="AI51" s="13">
        <f>IF('Données projet'!$A$62&gt;35,AI50+AH51-AQ50,IF(A51&lt;'Données projet'!$A$62,$AF$205^A51,IF(A51='Données projet'!$A$62,'Données projet'!$B$62,AI50+AH51-AQ50)))</f>
        <v>320.63800000000003</v>
      </c>
      <c r="AJ51" s="13">
        <f>AI51*VLOOKUP('Données projet'!$B$10,Paramètres!$A$1:$I$89,3,0)*VLOOKUP('Données projet'!$B$10,Paramètres!$A$1:$I$89,5,0)</f>
        <v>154.22687800000003</v>
      </c>
      <c r="AK51" s="13">
        <f t="shared" si="35"/>
        <v>39.537599724255188</v>
      </c>
      <c r="AL51" s="20">
        <f t="shared" si="4"/>
        <v>337.47313203641119</v>
      </c>
      <c r="AM51" s="59">
        <f t="shared" si="5"/>
        <v>630.8064653697445</v>
      </c>
      <c r="AN51" s="59">
        <f ca="1">AVERAGE(OFFSET($AM$3,0,0,'Données projet'!$E$10+1,1))-AVERAGE(OFFSET($H$3,0,0,'Données projet'!$E$10+1,1))</f>
        <v>174.18188687702559</v>
      </c>
      <c r="AO51" s="59">
        <f t="shared" si="36"/>
        <v>32.17353897322738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655.72</v>
      </c>
      <c r="BB51" s="12">
        <f>VLOOKUP(A51,'Données projet'!$A$87:$I$107,9,0)</f>
        <v>27.100000000000005</v>
      </c>
      <c r="BC51" s="12">
        <f t="array" ref="BC51">INDEX(BB:BB,MIN(IF(ISNUMBER(BB51:BB247),ROW(BB51:BB247),"")))</f>
        <v>27.100000000000005</v>
      </c>
      <c r="BD51" s="12">
        <f>IF('Données projet'!$A$88&gt;35,BD50+BC51-BL50,IF(A51&lt;'Données projet'!$A$88,$BA$205^A51,IF(A51='Données projet'!$A$88,'Données projet'!$B$88,BD50+BC51-BL50)))</f>
        <v>655.72000000000014</v>
      </c>
      <c r="BE51" s="13">
        <f>BD51*VLOOKUP('Données projet'!$B$11,Paramètres!$A$1:$I$89,3,0)*VLOOKUP('Données projet'!$B$11,Paramètres!$A$1:$I$89,5,0)</f>
        <v>366.54748000000012</v>
      </c>
      <c r="BF51" s="13">
        <f t="shared" si="37"/>
        <v>84.960594614663748</v>
      </c>
      <c r="BG51" s="20">
        <f t="shared" si="7"/>
        <v>786.3765632872063</v>
      </c>
      <c r="BH51" s="59">
        <f t="shared" si="8"/>
        <v>1079.7098966205397</v>
      </c>
      <c r="BI51" s="59">
        <f ca="1">AVERAGE(OFFSET($BH$3,0,0,'Données projet'!$E$11+1,1))-AVERAGE(OFFSET($H$3,0,0,'Données projet'!$E$11+1,1))</f>
        <v>350.01600895263641</v>
      </c>
      <c r="BJ51" s="59">
        <f t="shared" si="38"/>
        <v>464.08921044376882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101.34</v>
      </c>
      <c r="BM51" s="16">
        <f>IF(ISNA(VLOOKUP(A51,'Données projet'!$A$87:$I$107,5,0)),0%,VLOOKUP(A51,'Données projet'!$A$87:$I$107,5,0)*VLOOKUP('Données projet'!$B$11,Paramètres!$A$1:$I$89,7,0))</f>
        <v>0.55000000000000004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101.99615085613375</v>
      </c>
      <c r="BQ51" s="21">
        <f>EXP(-LN(2)/25)*BQ50+(1-EXP(-LN(2)/25))/(LN(2)/25)*Calculateur!BL51*Calculateur!BN51*VLOOKUP('Données projet'!$B$11,Paramètres!$A$1:$I$89,3,0)*0.475*44/12</f>
        <v>30.701689600702743</v>
      </c>
      <c r="BR51" s="21">
        <f>EXP(-LN(2)/2)*BR50+(1-EXP(-LN(2)/2))/(LN(2)/2)*BL51*BO51*VLOOKUP('Données projet'!$B$11,Paramètres!$A$1:$I$89,3,0)*0.475*44/12</f>
        <v>1.445157283325805E-3</v>
      </c>
      <c r="BS51" s="22">
        <f t="shared" si="9"/>
        <v>132.69928561411982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715.48422037221633</v>
      </c>
      <c r="CD51" s="59">
        <f ca="1">AVERAGE(OFFSET($CC$3,0,0,'Données projet'!$E$12+1,1))-AVERAGE(OFFSET($H$3,0,0,'Données projet'!$E$12+1,1))</f>
        <v>279.49721661620544</v>
      </c>
      <c r="CE51" s="59">
        <f t="shared" si="40"/>
        <v>275.18739333988754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37.078291268492244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37.078291268492244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9.2985714285714263</v>
      </c>
      <c r="CT51" s="12">
        <f>IF('Données projet'!$A$140&gt;35,CT50+CS51-DB50,IF(A51&lt;'Données projet'!$A$140,$CQ$205^A51,IF(A51='Données projet'!$A$140,'Données projet'!$B$140,CT50+CS51-DB50)))</f>
        <v>164.95428571428582</v>
      </c>
      <c r="CU51" s="17">
        <f>CT51*VLOOKUP('Données projet'!$B$13,Paramètres!$A$1:$I$89,3,0)*VLOOKUP('Données projet'!$B$13,Paramètres!$A$1:$I$89,5,0)</f>
        <v>167.26364571428581</v>
      </c>
      <c r="CV51" s="13">
        <f t="shared" si="41"/>
        <v>42.47659366397162</v>
      </c>
      <c r="CW51" s="20">
        <f t="shared" si="13"/>
        <v>365.29758358379837</v>
      </c>
      <c r="CX51" s="59">
        <f t="shared" si="14"/>
        <v>658.63091691713169</v>
      </c>
      <c r="CY51" s="59">
        <f ca="1">AVERAGE(OFFSET($CX$3,0,0,'Données projet'!$E$13+1,1))-AVERAGE(OFFSET($H$3,0,0,'Données projet'!$E$13+1,1))</f>
        <v>402.54350692668021</v>
      </c>
      <c r="CZ51" s="59">
        <f t="shared" si="42"/>
        <v>163.60655196884522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32.956455528322877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32.956455528322877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195.00000000000003</v>
      </c>
      <c r="DP51" s="17">
        <f>DO51*VLOOKUP('Données projet'!$B$14,Paramètres!$A$1:$I$89,3,0)*VLOOKUP('Données projet'!$B$14,Paramètres!$A$1:$I$89,5,0)</f>
        <v>167.31000000000006</v>
      </c>
      <c r="DQ51" s="13">
        <f t="shared" si="43"/>
        <v>42.486994942347515</v>
      </c>
      <c r="DR51" s="20">
        <f t="shared" si="16"/>
        <v>365.39643285792204</v>
      </c>
      <c r="DS51" s="59">
        <f t="shared" si="17"/>
        <v>658.72976619125529</v>
      </c>
      <c r="DT51" s="59">
        <f ca="1">AVERAGE(OFFSET($DS$3,0,0,'Données projet'!$E$14+1,1))-AVERAGE(OFFSET($H$3,0,0,'Données projet'!$E$14+1,1))</f>
        <v>352.76625414822473</v>
      </c>
      <c r="DU51" s="59">
        <f t="shared" si="44"/>
        <v>186.48649111821521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36.157715424872123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36.157715424872123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6.6506410324999994</v>
      </c>
      <c r="EJ51" s="12">
        <f>IF('Données projet'!$A$192&gt;35,EJ50+EI51-ER50,IF(A51&lt;'Données projet'!$A$192,$EG$205^A51,IF(A51='Données projet'!$A$192,'Données projet'!$B$192,EJ50+EI51-ER50)))</f>
        <v>146.47435897000003</v>
      </c>
      <c r="EK51" s="17">
        <f>EJ51*VLOOKUP('Données projet'!$B$15,Paramètres!$A$1:$I$89,3,0)*VLOOKUP('Données projet'!$B$15,Paramètres!$A$1:$I$89,5,0)</f>
        <v>114.24999999660002</v>
      </c>
      <c r="EL51" s="13">
        <f t="shared" si="45"/>
        <v>30.330097813855687</v>
      </c>
      <c r="EM51" s="20">
        <f t="shared" si="19"/>
        <v>251.81033701987701</v>
      </c>
      <c r="EN51" s="59">
        <f t="shared" si="20"/>
        <v>545.14367035321038</v>
      </c>
      <c r="EO51" s="59">
        <f ca="1">AVERAGE(OFFSET($EN$3,0,0,'Données projet'!$E$15+1,1))-AVERAGE(OFFSET($H$3,0,0,'Données projet'!$E$15+1,1))</f>
        <v>130.66539383144681</v>
      </c>
      <c r="EP51" s="59">
        <f t="shared" si="46"/>
        <v>126.36398121441903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22.433592198714368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22.433592198714368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9.2985714285714263</v>
      </c>
      <c r="FE51" s="12">
        <f>IF('Données projet'!$A$218&gt;35,FE50+FD51-FM50,IF(A51&lt;'Données projet'!$A$218,$FB$205^A51,IF(A51='Données projet'!$A$218,'Données projet'!$B$218,FE50+FD51-FM50)))</f>
        <v>164.95428571428582</v>
      </c>
      <c r="FF51" s="17">
        <f>FE51*VLOOKUP('Données projet'!$B$16,Paramètres!$A$1:$I$89,3,0)*VLOOKUP('Données projet'!$B$16,Paramètres!$A$1:$I$89,5,0)</f>
        <v>159.54378514285725</v>
      </c>
      <c r="FG51" s="13">
        <f t="shared" si="47"/>
        <v>40.739597777919172</v>
      </c>
      <c r="FH51" s="20">
        <f t="shared" si="22"/>
        <v>348.82689192035224</v>
      </c>
      <c r="FI51" s="59">
        <f t="shared" si="23"/>
        <v>642.16022525368555</v>
      </c>
      <c r="FJ51" s="59">
        <f ca="1">AVERAGE(OFFSET($FI$3,0,0,'Données projet'!$E$16+1,1))-AVERAGE(OFFSET($H$3,0,0,'Données projet'!$E$16+1,1))</f>
        <v>380.43199889536805</v>
      </c>
      <c r="FK51" s="59">
        <f t="shared" si="48"/>
        <v>154.72646317672996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31.435388350092587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31.435388350092587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9.75</v>
      </c>
      <c r="N52" s="13">
        <f>IF('Données projet'!$A$36&gt;35,N51+M52-V51,IF(A52&lt;'Données projet'!$A$36,$K$205^A52,IF(A52='Données projet'!$A$36,'Données projet'!$B$36,N51+M52-V51)))</f>
        <v>196.75</v>
      </c>
      <c r="O52" s="13">
        <f>N52*VLOOKUP('Données projet'!$B$9,Paramètres!$A$1:$I$89,3,0)*VLOOKUP('Données projet'!$B$9,Paramètres!$A$1:$I$89,5,0)</f>
        <v>122.77200000000001</v>
      </c>
      <c r="P52" s="13">
        <f t="shared" si="33"/>
        <v>32.320660955470466</v>
      </c>
      <c r="Q52" s="20">
        <f t="shared" si="53"/>
        <v>270.11971783077774</v>
      </c>
      <c r="R52" s="59">
        <f t="shared" si="0"/>
        <v>563.453051164111</v>
      </c>
      <c r="S52" s="59">
        <f ca="1">AVERAGE(OFFSET($R$3,0,0,'Données projet'!$E$9+1,1))-AVERAGE(OFFSET($H$3,0,0,'Données projet'!$E$9+1,1))</f>
        <v>179.44051550872138</v>
      </c>
      <c r="T52" s="59">
        <f t="shared" si="34"/>
        <v>272.9500808380069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84.422898864111204</v>
      </c>
      <c r="AA52" s="21">
        <f>EXP(-LN(2)/25)*AA51+(1-EXP(-LN(2)/25))/(LN(2)/25)*Calculateur!V52*Calculateur!X52*VLOOKUP('Données projet'!$B$9,Paramètres!$A$1:$I$89,3,0)*0.475*44/12</f>
        <v>28.573838544356406</v>
      </c>
      <c r="AB52" s="21">
        <f>EXP(-LN(2)/2)*AB51+(1-EXP(-LN(2)/2))/(LN(2)/2)*V52*Y52*VLOOKUP('Données projet'!$B$9,Paramètres!$A$1:$I$89,3,0)*0.475*44/12</f>
        <v>3.0491949495035328E-4</v>
      </c>
      <c r="AC52" s="22">
        <f t="shared" si="3"/>
        <v>112.99704232796256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20.916000000000007</v>
      </c>
      <c r="AI52" s="13">
        <f>IF('Données projet'!$A$62&gt;35,AI51+AH52-AQ51,IF(A52&lt;'Données projet'!$A$62,$AF$205^A52,IF(A52='Données projet'!$A$62,'Données projet'!$B$62,AI51+AH52-AQ51)))</f>
        <v>341.55400000000003</v>
      </c>
      <c r="AJ52" s="13">
        <f>AI52*VLOOKUP('Données projet'!$B$10,Paramètres!$A$1:$I$89,3,0)*VLOOKUP('Données projet'!$B$10,Paramètres!$A$1:$I$89,5,0)</f>
        <v>164.287474</v>
      </c>
      <c r="AK52" s="13">
        <f t="shared" si="35"/>
        <v>41.808073781385659</v>
      </c>
      <c r="AL52" s="20">
        <f t="shared" si="4"/>
        <v>358.94974571924672</v>
      </c>
      <c r="AM52" s="59">
        <f t="shared" si="5"/>
        <v>652.28307905257998</v>
      </c>
      <c r="AN52" s="59">
        <f ca="1">AVERAGE(OFFSET($AM$3,0,0,'Données projet'!$E$10+1,1))-AVERAGE(OFFSET($H$3,0,0,'Données projet'!$E$10+1,1))</f>
        <v>174.18188687702559</v>
      </c>
      <c r="AO52" s="59">
        <f t="shared" si="36"/>
        <v>32.17353897322738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25.705000000000002</v>
      </c>
      <c r="BD52" s="12">
        <f>IF('Données projet'!$A$88&gt;35,BD51+BC52-BL51,IF(A52&lt;'Données projet'!$A$88,$BA$205^A52,IF(A52='Données projet'!$A$88,'Données projet'!$B$88,BD51+BC52-BL51)))</f>
        <v>580.08500000000015</v>
      </c>
      <c r="BE52" s="13">
        <f>BD52*VLOOKUP('Données projet'!$B$11,Paramètres!$A$1:$I$89,3,0)*VLOOKUP('Données projet'!$B$11,Paramètres!$A$1:$I$89,5,0)</f>
        <v>324.26751500000012</v>
      </c>
      <c r="BF52" s="13">
        <f t="shared" si="37"/>
        <v>76.240607370612722</v>
      </c>
      <c r="BG52" s="20">
        <f t="shared" si="7"/>
        <v>697.55164646215064</v>
      </c>
      <c r="BH52" s="59">
        <f t="shared" si="8"/>
        <v>990.88497979548401</v>
      </c>
      <c r="BI52" s="59">
        <f ca="1">AVERAGE(OFFSET($BH$3,0,0,'Données projet'!$E$11+1,1))-AVERAGE(OFFSET($H$3,0,0,'Données projet'!$E$11+1,1))</f>
        <v>350.01600895263641</v>
      </c>
      <c r="BJ52" s="59">
        <f t="shared" si="38"/>
        <v>464.08921044376882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99.996068549354121</v>
      </c>
      <c r="BQ52" s="21">
        <f>EXP(-LN(2)/25)*BQ51+(1-EXP(-LN(2)/25))/(LN(2)/25)*Calculateur!BL52*Calculateur!BN52*VLOOKUP('Données projet'!$B$11,Paramètres!$A$1:$I$89,3,0)*0.475*44/12</f>
        <v>29.862150284039839</v>
      </c>
      <c r="BR52" s="21">
        <f>EXP(-LN(2)/2)*BR51+(1-EXP(-LN(2)/2))/(LN(2)/2)*BL52*BO52*VLOOKUP('Données projet'!$B$11,Paramètres!$A$1:$I$89,3,0)*0.475*44/12</f>
        <v>1.0218805149208054E-3</v>
      </c>
      <c r="BS52" s="22">
        <f t="shared" si="9"/>
        <v>129.85924071390886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730.02395305493519</v>
      </c>
      <c r="CD52" s="59">
        <f ca="1">AVERAGE(OFFSET($CC$3,0,0,'Données projet'!$E$12+1,1))-AVERAGE(OFFSET($H$3,0,0,'Données projet'!$E$12+1,1))</f>
        <v>279.49721661620544</v>
      </c>
      <c r="CE52" s="59">
        <f t="shared" si="40"/>
        <v>275.18739333988754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36.35120859224169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36.35120859224169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9.2985714285714263</v>
      </c>
      <c r="CT52" s="12">
        <f>IF('Données projet'!$A$140&gt;35,CT51+CS52-DB51,IF(A52&lt;'Données projet'!$A$140,$CQ$205^A52,IF(A52='Données projet'!$A$140,'Données projet'!$B$140,CT51+CS52-DB51)))</f>
        <v>174.25285714285724</v>
      </c>
      <c r="CU52" s="17">
        <f>CT52*VLOOKUP('Données projet'!$B$13,Paramètres!$A$1:$I$89,3,0)*VLOOKUP('Données projet'!$B$13,Paramètres!$A$1:$I$89,5,0)</f>
        <v>176.69239714285726</v>
      </c>
      <c r="CV52" s="13">
        <f t="shared" si="41"/>
        <v>44.585513041608763</v>
      </c>
      <c r="CW52" s="20">
        <f t="shared" si="13"/>
        <v>385.39236023794496</v>
      </c>
      <c r="CX52" s="59">
        <f t="shared" si="14"/>
        <v>678.72569357127827</v>
      </c>
      <c r="CY52" s="59">
        <f ca="1">AVERAGE(OFFSET($CX$3,0,0,'Données projet'!$E$13+1,1))-AVERAGE(OFFSET($H$3,0,0,'Données projet'!$E$13+1,1))</f>
        <v>402.54350692668021</v>
      </c>
      <c r="CZ52" s="59">
        <f t="shared" si="42"/>
        <v>163.60655196884522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32.310199536865483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32.310199536865483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206.00000000000003</v>
      </c>
      <c r="DP52" s="17">
        <f>DO52*VLOOKUP('Données projet'!$B$14,Paramètres!$A$1:$I$89,3,0)*VLOOKUP('Données projet'!$B$14,Paramètres!$A$1:$I$89,5,0)</f>
        <v>176.74800000000005</v>
      </c>
      <c r="DQ52" s="13">
        <f t="shared" si="43"/>
        <v>44.597910160550732</v>
      </c>
      <c r="DR52" s="20">
        <f t="shared" si="16"/>
        <v>385.51079352962591</v>
      </c>
      <c r="DS52" s="59">
        <f t="shared" si="17"/>
        <v>678.84412686295923</v>
      </c>
      <c r="DT52" s="59">
        <f ca="1">AVERAGE(OFFSET($DS$3,0,0,'Données projet'!$E$14+1,1))-AVERAGE(OFFSET($H$3,0,0,'Données projet'!$E$14+1,1))</f>
        <v>352.76625414822473</v>
      </c>
      <c r="DU52" s="59">
        <f t="shared" si="44"/>
        <v>186.48649111821521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35.448684679419138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35.448684679419138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6.6506410324999994</v>
      </c>
      <c r="EJ52" s="12">
        <f>IF('Données projet'!$A$192&gt;35,EJ51+EI52-ER51,IF(A52&lt;'Données projet'!$A$192,$EG$205^A52,IF(A52='Données projet'!$A$192,'Données projet'!$B$192,EJ51+EI52-ER51)))</f>
        <v>153.12500000250003</v>
      </c>
      <c r="EK52" s="17">
        <f>EJ52*VLOOKUP('Données projet'!$B$15,Paramètres!$A$1:$I$89,3,0)*VLOOKUP('Données projet'!$B$15,Paramètres!$A$1:$I$89,5,0)</f>
        <v>119.43750000195003</v>
      </c>
      <c r="EL52" s="13">
        <f t="shared" si="45"/>
        <v>31.543769552955471</v>
      </c>
      <c r="EM52" s="20">
        <f t="shared" si="19"/>
        <v>262.95904447479376</v>
      </c>
      <c r="EN52" s="59">
        <f t="shared" si="20"/>
        <v>556.29237780812707</v>
      </c>
      <c r="EO52" s="59">
        <f ca="1">AVERAGE(OFFSET($EN$3,0,0,'Données projet'!$E$15+1,1))-AVERAGE(OFFSET($H$3,0,0,'Données projet'!$E$15+1,1))</f>
        <v>130.66539383144681</v>
      </c>
      <c r="EP52" s="59">
        <f t="shared" si="46"/>
        <v>126.36398121441903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21.993683138837724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21.993683138837724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9.2985714285714263</v>
      </c>
      <c r="FE52" s="12">
        <f>IF('Données projet'!$A$218&gt;35,FE51+FD52-FM51,IF(A52&lt;'Données projet'!$A$218,$FB$205^A52,IF(A52='Données projet'!$A$218,'Données projet'!$B$218,FE51+FD52-FM51)))</f>
        <v>174.25285714285724</v>
      </c>
      <c r="FF52" s="17">
        <f>FE52*VLOOKUP('Données projet'!$B$16,Paramètres!$A$1:$I$89,3,0)*VLOOKUP('Données projet'!$B$16,Paramètres!$A$1:$I$89,5,0)</f>
        <v>168.53736342857152</v>
      </c>
      <c r="FG52" s="13">
        <f t="shared" si="47"/>
        <v>42.762277088569043</v>
      </c>
      <c r="FH52" s="20">
        <f t="shared" si="22"/>
        <v>368.01354056735317</v>
      </c>
      <c r="FI52" s="59">
        <f t="shared" si="23"/>
        <v>661.34687390068643</v>
      </c>
      <c r="FJ52" s="59">
        <f ca="1">AVERAGE(OFFSET($FI$3,0,0,'Données projet'!$E$16+1,1))-AVERAGE(OFFSET($H$3,0,0,'Données projet'!$E$16+1,1))</f>
        <v>380.43199889536805</v>
      </c>
      <c r="FK52" s="59">
        <f t="shared" si="48"/>
        <v>154.72646317672996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30.81895955824092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30.81895955824092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9.75</v>
      </c>
      <c r="N53" s="13">
        <f>IF('Données projet'!$A$36&gt;35,N52+M53-V52,IF(A53&lt;'Données projet'!$A$36,$K$205^A53,IF(A53='Données projet'!$A$36,'Données projet'!$B$36,N52+M53-V52)))</f>
        <v>206.5</v>
      </c>
      <c r="O53" s="13">
        <f>N53*VLOOKUP('Données projet'!$B$9,Paramètres!$A$1:$I$89,3,0)*VLOOKUP('Données projet'!$B$9,Paramètres!$A$1:$I$89,5,0)</f>
        <v>128.85599999999999</v>
      </c>
      <c r="P53" s="13">
        <f t="shared" si="33"/>
        <v>33.731878688740906</v>
      </c>
      <c r="Q53" s="20">
        <f t="shared" si="53"/>
        <v>283.1738887162237</v>
      </c>
      <c r="R53" s="59">
        <f t="shared" si="0"/>
        <v>576.50722204955696</v>
      </c>
      <c r="S53" s="59">
        <f ca="1">AVERAGE(OFFSET($R$3,0,0,'Données projet'!$E$9+1,1))-AVERAGE(OFFSET($H$3,0,0,'Données projet'!$E$9+1,1))</f>
        <v>179.44051550872138</v>
      </c>
      <c r="T53" s="59">
        <f t="shared" si="34"/>
        <v>272.9500808380069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82.767417310269792</v>
      </c>
      <c r="AA53" s="21">
        <f>EXP(-LN(2)/25)*AA52+(1-EXP(-LN(2)/25))/(LN(2)/25)*Calculateur!V53*Calculateur!X53*VLOOKUP('Données projet'!$B$9,Paramètres!$A$1:$I$89,3,0)*0.475*44/12</f>
        <v>27.792485426728117</v>
      </c>
      <c r="AB53" s="21">
        <f>EXP(-LN(2)/2)*AB52+(1-EXP(-LN(2)/2))/(LN(2)/2)*V53*Y53*VLOOKUP('Données projet'!$B$9,Paramètres!$A$1:$I$89,3,0)*0.475*44/12</f>
        <v>2.1561064259537205E-4</v>
      </c>
      <c r="AC53" s="22">
        <f t="shared" si="3"/>
        <v>110.56011834764051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362.47</v>
      </c>
      <c r="AG53" s="12">
        <f>VLOOKUP(A53,'Données projet'!$A$61:$I$81,9,0)</f>
        <v>20.916000000000007</v>
      </c>
      <c r="AH53" s="12">
        <f t="array" ref="AH53">INDEX(AG:AG,MIN(IF(ISNUMBER(AG53:AG249),ROW(AG53:AG249),"")))</f>
        <v>20.916000000000007</v>
      </c>
      <c r="AI53" s="13">
        <f>IF('Données projet'!$A$62&gt;35,AI52+AH53-AQ52,IF(A53&lt;'Données projet'!$A$62,$AF$205^A53,IF(A53='Données projet'!$A$62,'Données projet'!$B$62,AI52+AH53-AQ52)))</f>
        <v>362.47</v>
      </c>
      <c r="AJ53" s="13">
        <f>AI53*VLOOKUP('Données projet'!$B$10,Paramètres!$A$1:$I$89,3,0)*VLOOKUP('Données projet'!$B$10,Paramètres!$A$1:$I$89,5,0)</f>
        <v>174.34807000000001</v>
      </c>
      <c r="AK53" s="13">
        <f t="shared" si="35"/>
        <v>44.062410629350261</v>
      </c>
      <c r="AL53" s="20">
        <f t="shared" si="4"/>
        <v>380.39825376278503</v>
      </c>
      <c r="AM53" s="59">
        <f t="shared" si="5"/>
        <v>673.73158709611835</v>
      </c>
      <c r="AN53" s="59">
        <f ca="1">AVERAGE(OFFSET($AM$3,0,0,'Données projet'!$E$10+1,1))-AVERAGE(OFFSET($H$3,0,0,'Données projet'!$E$10+1,1))</f>
        <v>174.18188687702559</v>
      </c>
      <c r="AO53" s="59">
        <f t="shared" si="36"/>
        <v>32.17353897322738</v>
      </c>
      <c r="AP53" s="15">
        <f>IF(ISNA(VLOOKUP(A53,'Données projet'!$A$61:$I$81,3,0)),0,VLOOKUP(A53,'Données projet'!$A$61:$I$81,3,0))</f>
        <v>1</v>
      </c>
      <c r="AQ53" s="15">
        <f>IF(ISNA(VLOOKUP(A53,'Données projet'!$A$61:$I$81,4,0)),0,VLOOKUP(A53,'Données projet'!$A$61:$I$81,4,0))</f>
        <v>103.29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36.248863910451725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36.248863910451725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25.705000000000002</v>
      </c>
      <c r="BD53" s="12">
        <f>IF('Données projet'!$A$88&gt;35,BD52+BC53-BL52,IF(A53&lt;'Données projet'!$A$88,$BA$205^A53,IF(A53='Données projet'!$A$88,'Données projet'!$B$88,BD52+BC53-BL52)))</f>
        <v>605.79000000000019</v>
      </c>
      <c r="BE53" s="13">
        <f>BD53*VLOOKUP('Données projet'!$B$11,Paramètres!$A$1:$I$89,3,0)*VLOOKUP('Données projet'!$B$11,Paramètres!$A$1:$I$89,5,0)</f>
        <v>338.63661000000013</v>
      </c>
      <c r="BF53" s="13">
        <f t="shared" si="37"/>
        <v>79.218195577662726</v>
      </c>
      <c r="BG53" s="20">
        <f t="shared" si="7"/>
        <v>727.76378638109611</v>
      </c>
      <c r="BH53" s="59">
        <f t="shared" si="8"/>
        <v>1021.0971197144295</v>
      </c>
      <c r="BI53" s="59">
        <f ca="1">AVERAGE(OFFSET($BH$3,0,0,'Données projet'!$E$11+1,1))-AVERAGE(OFFSET($H$3,0,0,'Données projet'!$E$11+1,1))</f>
        <v>350.01600895263641</v>
      </c>
      <c r="BJ53" s="59">
        <f t="shared" si="38"/>
        <v>464.08921044376882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98.035206636680684</v>
      </c>
      <c r="BQ53" s="21">
        <f>EXP(-LN(2)/25)*BQ52+(1-EXP(-LN(2)/25))/(LN(2)/25)*Calculateur!BL53*Calculateur!BN53*VLOOKUP('Données projet'!$B$11,Paramètres!$A$1:$I$89,3,0)*0.475*44/12</f>
        <v>29.045568214140538</v>
      </c>
      <c r="BR53" s="21">
        <f>EXP(-LN(2)/2)*BR52+(1-EXP(-LN(2)/2))/(LN(2)/2)*BL53*BO53*VLOOKUP('Données projet'!$B$11,Paramètres!$A$1:$I$89,3,0)*0.475*44/12</f>
        <v>7.2257864166290248E-4</v>
      </c>
      <c r="BS53" s="22">
        <f t="shared" si="9"/>
        <v>127.08149742946289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744.55330129100662</v>
      </c>
      <c r="CD53" s="59">
        <f ca="1">AVERAGE(OFFSET($CC$3,0,0,'Données projet'!$E$12+1,1))-AVERAGE(OFFSET($H$3,0,0,'Données projet'!$E$12+1,1))</f>
        <v>279.49721661620544</v>
      </c>
      <c r="CE53" s="59">
        <f t="shared" si="40"/>
        <v>275.18739333988754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44.495071759736859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44.495071759736859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9.2985714285714263</v>
      </c>
      <c r="CT53" s="12">
        <f>IF('Données projet'!$A$140&gt;35,CT52+CS53-DB52,IF(A53&lt;'Données projet'!$A$140,$CQ$205^A53,IF(A53='Données projet'!$A$140,'Données projet'!$B$140,CT52+CS53-DB52)))</f>
        <v>183.55142857142866</v>
      </c>
      <c r="CU53" s="17">
        <f>CT53*VLOOKUP('Données projet'!$B$13,Paramètres!$A$1:$I$89,3,0)*VLOOKUP('Données projet'!$B$13,Paramètres!$A$1:$I$89,5,0)</f>
        <v>186.12114857142868</v>
      </c>
      <c r="CV53" s="13">
        <f t="shared" si="41"/>
        <v>46.68136713601546</v>
      </c>
      <c r="CW53" s="20">
        <f t="shared" si="13"/>
        <v>405.46438152379852</v>
      </c>
      <c r="CX53" s="59">
        <f t="shared" si="14"/>
        <v>698.79771485713184</v>
      </c>
      <c r="CY53" s="59">
        <f ca="1">AVERAGE(OFFSET($CX$3,0,0,'Données projet'!$E$13+1,1))-AVERAGE(OFFSET($H$3,0,0,'Données projet'!$E$13+1,1))</f>
        <v>402.54350692668021</v>
      </c>
      <c r="CZ53" s="59">
        <f t="shared" si="42"/>
        <v>163.60655196884522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31.676616231223335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31.676616231223335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217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217.00000000000003</v>
      </c>
      <c r="DP53" s="17">
        <f>DO53*VLOOKUP('Données projet'!$B$14,Paramètres!$A$1:$I$89,3,0)*VLOOKUP('Données projet'!$B$14,Paramètres!$A$1:$I$89,5,0)</f>
        <v>186.18600000000004</v>
      </c>
      <c r="DQ53" s="13">
        <f t="shared" si="43"/>
        <v>46.69573903947046</v>
      </c>
      <c r="DR53" s="20">
        <f t="shared" si="16"/>
        <v>405.60236216041108</v>
      </c>
      <c r="DS53" s="59">
        <f t="shared" si="17"/>
        <v>698.93569549374433</v>
      </c>
      <c r="DT53" s="59">
        <f ca="1">AVERAGE(OFFSET($DS$3,0,0,'Données projet'!$E$14+1,1))-AVERAGE(OFFSET($H$3,0,0,'Données projet'!$E$14+1,1))</f>
        <v>352.76625414822473</v>
      </c>
      <c r="DU53" s="59">
        <f t="shared" si="44"/>
        <v>186.48649111821521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0.53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48.829202405305217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48.829202405305217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6.6506410324999994</v>
      </c>
      <c r="EJ53" s="12">
        <f>IF('Données projet'!$A$192&gt;35,EJ52+EI53-ER52,IF(A53&lt;'Données projet'!$A$192,$EG$205^A53,IF(A53='Données projet'!$A$192,'Données projet'!$B$192,EJ52+EI53-ER52)))</f>
        <v>159.77564103500004</v>
      </c>
      <c r="EK53" s="17">
        <f>EJ53*VLOOKUP('Données projet'!$B$15,Paramètres!$A$1:$I$89,3,0)*VLOOKUP('Données projet'!$B$15,Paramètres!$A$1:$I$89,5,0)</f>
        <v>124.62500000730003</v>
      </c>
      <c r="EL53" s="13">
        <f t="shared" si="45"/>
        <v>32.751318937193531</v>
      </c>
      <c r="EM53" s="20">
        <f t="shared" si="19"/>
        <v>274.09708882832632</v>
      </c>
      <c r="EN53" s="59">
        <f t="shared" si="20"/>
        <v>567.43042216165964</v>
      </c>
      <c r="EO53" s="59">
        <f ca="1">AVERAGE(OFFSET($EN$3,0,0,'Données projet'!$E$15+1,1))-AVERAGE(OFFSET($H$3,0,0,'Données projet'!$E$15+1,1))</f>
        <v>130.66539383144681</v>
      </c>
      <c r="EP53" s="59">
        <f t="shared" si="46"/>
        <v>126.36398121441903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21.562400427307228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21.562400427307228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9.2985714285714263</v>
      </c>
      <c r="FE53" s="12">
        <f>IF('Données projet'!$A$218&gt;35,FE52+FD53-FM52,IF(A53&lt;'Données projet'!$A$218,$FB$205^A53,IF(A53='Données projet'!$A$218,'Données projet'!$B$218,FE52+FD53-FM52)))</f>
        <v>183.55142857142866</v>
      </c>
      <c r="FF53" s="17">
        <f>FE53*VLOOKUP('Données projet'!$B$16,Paramètres!$A$1:$I$89,3,0)*VLOOKUP('Données projet'!$B$16,Paramètres!$A$1:$I$89,5,0)</f>
        <v>177.5309417142858</v>
      </c>
      <c r="FG53" s="13">
        <f t="shared" si="47"/>
        <v>44.772425394782125</v>
      </c>
      <c r="FH53" s="20">
        <f t="shared" si="22"/>
        <v>387.17836438162664</v>
      </c>
      <c r="FI53" s="59">
        <f t="shared" si="23"/>
        <v>680.51169771495995</v>
      </c>
      <c r="FJ53" s="59">
        <f ca="1">AVERAGE(OFFSET($FI$3,0,0,'Données projet'!$E$16+1,1))-AVERAGE(OFFSET($H$3,0,0,'Données projet'!$E$16+1,1))</f>
        <v>380.43199889536805</v>
      </c>
      <c r="FK53" s="59">
        <f t="shared" si="48"/>
        <v>154.72646317672996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30.214618559013026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30.214618559013026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9.75</v>
      </c>
      <c r="N54" s="13">
        <f>IF('Données projet'!$A$36&gt;35,N53+M54-V53,IF(A54&lt;'Données projet'!$A$36,$K$205^A54,IF(A54='Données projet'!$A$36,'Données projet'!$B$36,N53+M54-V53)))</f>
        <v>216.25</v>
      </c>
      <c r="O54" s="13">
        <f>N54*VLOOKUP('Données projet'!$B$9,Paramètres!$A$1:$I$89,3,0)*VLOOKUP('Données projet'!$B$9,Paramètres!$A$1:$I$89,5,0)</f>
        <v>134.94</v>
      </c>
      <c r="P54" s="13">
        <f t="shared" si="33"/>
        <v>35.135358771568036</v>
      </c>
      <c r="Q54" s="20">
        <f t="shared" si="53"/>
        <v>296.21458319381429</v>
      </c>
      <c r="R54" s="59">
        <f t="shared" si="0"/>
        <v>589.54791652714766</v>
      </c>
      <c r="S54" s="59">
        <f ca="1">AVERAGE(OFFSET($R$3,0,0,'Données projet'!$E$9+1,1))-AVERAGE(OFFSET($H$3,0,0,'Données projet'!$E$9+1,1))</f>
        <v>179.44051550872138</v>
      </c>
      <c r="T54" s="59">
        <f t="shared" si="34"/>
        <v>272.9500808380069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81.144398739955165</v>
      </c>
      <c r="AA54" s="21">
        <f>EXP(-LN(2)/25)*AA53+(1-EXP(-LN(2)/25))/(LN(2)/25)*Calculateur!V54*Calculateur!X54*VLOOKUP('Données projet'!$B$9,Paramètres!$A$1:$I$89,3,0)*0.475*44/12</f>
        <v>27.03249845119095</v>
      </c>
      <c r="AB54" s="21">
        <f>EXP(-LN(2)/2)*AB53+(1-EXP(-LN(2)/2))/(LN(2)/2)*V54*Y54*VLOOKUP('Données projet'!$B$9,Paramètres!$A$1:$I$89,3,0)*0.475*44/12</f>
        <v>1.5245974747517664E-4</v>
      </c>
      <c r="AC54" s="22">
        <f t="shared" si="3"/>
        <v>108.17704965089358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17.661999999999999</v>
      </c>
      <c r="AI54" s="13">
        <f>IF('Données projet'!$A$62&gt;35,AI53+AH54-AQ53,IF(A54&lt;'Données projet'!$A$62,$AF$205^A54,IF(A54='Données projet'!$A$62,'Données projet'!$B$62,AI53+AH54-AQ53)))</f>
        <v>276.84199999999998</v>
      </c>
      <c r="AJ54" s="13">
        <f>AI54*VLOOKUP('Données projet'!$B$10,Paramètres!$A$1:$I$89,3,0)*VLOOKUP('Données projet'!$B$10,Paramètres!$A$1:$I$89,5,0)</f>
        <v>133.161002</v>
      </c>
      <c r="AK54" s="13">
        <f t="shared" si="35"/>
        <v>34.725749668750886</v>
      </c>
      <c r="AL54" s="20">
        <f t="shared" si="4"/>
        <v>292.40275915640774</v>
      </c>
      <c r="AM54" s="59">
        <f t="shared" si="5"/>
        <v>585.73609248974105</v>
      </c>
      <c r="AN54" s="59">
        <f ca="1">AVERAGE(OFFSET($AM$3,0,0,'Données projet'!$E$10+1,1))-AVERAGE(OFFSET($H$3,0,0,'Données projet'!$E$10+1,1))</f>
        <v>174.18188687702559</v>
      </c>
      <c r="AO54" s="59">
        <f t="shared" si="36"/>
        <v>32.17353897322738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35.538045798791607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35.538045798791607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25.705000000000002</v>
      </c>
      <c r="BD54" s="12">
        <f>IF('Données projet'!$A$88&gt;35,BD53+BC54-BL53,IF(A54&lt;'Données projet'!$A$88,$BA$205^A54,IF(A54='Données projet'!$A$88,'Données projet'!$B$88,BD53+BC54-BL53)))</f>
        <v>631.49500000000023</v>
      </c>
      <c r="BE54" s="13">
        <f>BD54*VLOOKUP('Données projet'!$B$11,Paramètres!$A$1:$I$89,3,0)*VLOOKUP('Données projet'!$B$11,Paramètres!$A$1:$I$89,5,0)</f>
        <v>353.00570500000015</v>
      </c>
      <c r="BF54" s="13">
        <f t="shared" si="37"/>
        <v>82.181108764690435</v>
      </c>
      <c r="BG54" s="20">
        <f t="shared" si="7"/>
        <v>757.95036730683603</v>
      </c>
      <c r="BH54" s="59">
        <f t="shared" si="8"/>
        <v>1051.2837006401694</v>
      </c>
      <c r="BI54" s="59">
        <f ca="1">AVERAGE(OFFSET($BH$3,0,0,'Données projet'!$E$11+1,1))-AVERAGE(OFFSET($H$3,0,0,'Données projet'!$E$11+1,1))</f>
        <v>350.01600895263641</v>
      </c>
      <c r="BJ54" s="59">
        <f t="shared" si="38"/>
        <v>464.08921044376882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96.112796030107106</v>
      </c>
      <c r="BQ54" s="21">
        <f>EXP(-LN(2)/25)*BQ53+(1-EXP(-LN(2)/25))/(LN(2)/25)*Calculateur!BL54*Calculateur!BN54*VLOOKUP('Données projet'!$B$11,Paramètres!$A$1:$I$89,3,0)*0.475*44/12</f>
        <v>28.251315623884818</v>
      </c>
      <c r="BR54" s="21">
        <f>EXP(-LN(2)/2)*BR53+(1-EXP(-LN(2)/2))/(LN(2)/2)*BL54*BO54*VLOOKUP('Données projet'!$B$11,Paramètres!$A$1:$I$89,3,0)*0.475*44/12</f>
        <v>5.109402574604027E-4</v>
      </c>
      <c r="BS54" s="22">
        <f t="shared" si="9"/>
        <v>124.36462259424938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724.95315299664412</v>
      </c>
      <c r="CD54" s="59">
        <f ca="1">AVERAGE(OFFSET($CC$3,0,0,'Données projet'!$E$12+1,1))-AVERAGE(OFFSET($H$3,0,0,'Données projet'!$E$12+1,1))</f>
        <v>279.49721661620544</v>
      </c>
      <c r="CE54" s="59">
        <f t="shared" si="40"/>
        <v>275.18739333988754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43.622550541842408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43.622550541842408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192.85</v>
      </c>
      <c r="CR54" s="12">
        <f>VLOOKUP(A54,'Données projet'!$A$139:$I$159,9,0)</f>
        <v>9.2985714285714263</v>
      </c>
      <c r="CS54" s="12">
        <f t="array" ref="CS54">INDEX(CR:CR,MIN(IF(ISNUMBER(CR54:CR250),ROW(CR54:CR250),"")))</f>
        <v>9.2985714285714263</v>
      </c>
      <c r="CT54" s="12">
        <f>IF('Données projet'!$A$140&gt;35,CT53+CS54-DB53,IF(A54&lt;'Données projet'!$A$140,$CQ$205^A54,IF(A54='Données projet'!$A$140,'Données projet'!$B$140,CT53+CS54-DB53)))</f>
        <v>192.85000000000008</v>
      </c>
      <c r="CU54" s="17">
        <f>CT54*VLOOKUP('Données projet'!$B$13,Paramètres!$A$1:$I$89,3,0)*VLOOKUP('Données projet'!$B$13,Paramètres!$A$1:$I$89,5,0)</f>
        <v>195.54990000000009</v>
      </c>
      <c r="CV54" s="13">
        <f t="shared" si="41"/>
        <v>48.764893338569372</v>
      </c>
      <c r="CW54" s="20">
        <f t="shared" si="13"/>
        <v>425.51493173134185</v>
      </c>
      <c r="CX54" s="59">
        <f t="shared" si="14"/>
        <v>718.84826506467516</v>
      </c>
      <c r="CY54" s="59">
        <f ca="1">AVERAGE(OFFSET($CX$3,0,0,'Données projet'!$E$13+1,1))-AVERAGE(OFFSET($H$3,0,0,'Données projet'!$E$13+1,1))</f>
        <v>402.54350692668021</v>
      </c>
      <c r="CZ54" s="59">
        <f t="shared" si="42"/>
        <v>163.60655196884522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46.13</v>
      </c>
      <c r="DC54" s="16">
        <f>IF(ISNA(VLOOKUP(A54,'Données projet'!$A$139:$I$159,5,0)),0%,VLOOKUP(A54,'Données projet'!$A$139:$I$159,5,0)*VLOOKUP('Données projet'!$B$13,Paramètres!$A$1:$I$89,7,0))</f>
        <v>0.43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53.290449007754106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53.290449007754106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</v>
      </c>
      <c r="DO54" s="12">
        <f>IF('Données projet'!$A$166&gt;35,DO53+DN54-DW53,IF(A54&lt;'Données projet'!$A$166,$DL$205^A54,IF(A54='Données projet'!$A$166,'Données projet'!$B$166,DO53+DN54-DW53)))</f>
        <v>200.00000000000003</v>
      </c>
      <c r="DP54" s="17">
        <f>DO54*VLOOKUP('Données projet'!$B$14,Paramètres!$A$1:$I$89,3,0)*VLOOKUP('Données projet'!$B$14,Paramètres!$A$1:$I$89,5,0)</f>
        <v>171.60000000000005</v>
      </c>
      <c r="DQ54" s="13">
        <f t="shared" si="43"/>
        <v>43.44817475464852</v>
      </c>
      <c r="DR54" s="20">
        <f t="shared" si="16"/>
        <v>374.54223769767958</v>
      </c>
      <c r="DS54" s="59">
        <f t="shared" si="17"/>
        <v>667.8755710310129</v>
      </c>
      <c r="DT54" s="59">
        <f ca="1">AVERAGE(OFFSET($DS$3,0,0,'Données projet'!$E$14+1,1))-AVERAGE(OFFSET($H$3,0,0,'Données projet'!$E$14+1,1))</f>
        <v>352.76625414822473</v>
      </c>
      <c r="DU54" s="59">
        <f t="shared" si="44"/>
        <v>186.48649111821521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47.871691529009837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47.871691529009837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6.6506410324999994</v>
      </c>
      <c r="EJ54" s="12">
        <f>IF('Données projet'!$A$192&gt;35,EJ53+EI54-ER53,IF(A54&lt;'Données projet'!$A$192,$EG$205^A54,IF(A54='Données projet'!$A$192,'Données projet'!$B$192,EJ53+EI54-ER53)))</f>
        <v>166.42628206750004</v>
      </c>
      <c r="EK54" s="17">
        <f>EJ54*VLOOKUP('Données projet'!$B$15,Paramètres!$A$1:$I$89,3,0)*VLOOKUP('Données projet'!$B$15,Paramètres!$A$1:$I$89,5,0)</f>
        <v>129.81250001265005</v>
      </c>
      <c r="EL54" s="13">
        <f t="shared" si="45"/>
        <v>33.953029951592264</v>
      </c>
      <c r="EM54" s="20">
        <f t="shared" si="19"/>
        <v>285.22496468772198</v>
      </c>
      <c r="EN54" s="59">
        <f t="shared" si="20"/>
        <v>578.55829802105529</v>
      </c>
      <c r="EO54" s="59">
        <f ca="1">AVERAGE(OFFSET($EN$3,0,0,'Données projet'!$E$15+1,1))-AVERAGE(OFFSET($H$3,0,0,'Données projet'!$E$15+1,1))</f>
        <v>130.66539383144681</v>
      </c>
      <c r="EP54" s="59">
        <f t="shared" si="46"/>
        <v>126.36398121441903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21.139574906693365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21.139574906693365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projet'!$A$217:$I$237,2,0)</f>
        <v>192.85</v>
      </c>
      <c r="FC54" s="12">
        <f>VLOOKUP(A54,'Données projet'!$A$217:$I$237,9,0)</f>
        <v>9.2985714285714263</v>
      </c>
      <c r="FD54" s="12">
        <f t="array" ref="FD54">INDEX(FC:FC,MIN(IF(ISNUMBER(FC54:FC250),ROW(FC54:FC250),"")))</f>
        <v>9.2985714285714263</v>
      </c>
      <c r="FE54" s="12">
        <f>IF('Données projet'!$A$218&gt;35,FE53+FD54-FM53,IF(A54&lt;'Données projet'!$A$218,$FB$205^A54,IF(A54='Données projet'!$A$218,'Données projet'!$B$218,FE53+FD54-FM53)))</f>
        <v>192.85000000000008</v>
      </c>
      <c r="FF54" s="17">
        <f>FE54*VLOOKUP('Données projet'!$B$16,Paramètres!$A$1:$I$89,3,0)*VLOOKUP('Données projet'!$B$16,Paramètres!$A$1:$I$89,5,0)</f>
        <v>186.52452000000008</v>
      </c>
      <c r="FG54" s="13">
        <f t="shared" si="47"/>
        <v>46.770749933781033</v>
      </c>
      <c r="FH54" s="20">
        <f t="shared" si="22"/>
        <v>406.3225951346688</v>
      </c>
      <c r="FI54" s="59">
        <f t="shared" si="23"/>
        <v>699.65592846800212</v>
      </c>
      <c r="FJ54" s="59">
        <f ca="1">AVERAGE(OFFSET($FI$3,0,0,'Données projet'!$E$16+1,1))-AVERAGE(OFFSET($H$3,0,0,'Données projet'!$E$16+1,1))</f>
        <v>380.43199889536805</v>
      </c>
      <c r="FK54" s="59">
        <f t="shared" si="48"/>
        <v>154.72646317672996</v>
      </c>
      <c r="FL54" s="15">
        <f>IF(ISNA(VLOOKUP(A54,'Données projet'!$A$217:$I$237,3,0)),0,VLOOKUP(A54,'Données projet'!$A$217:$I$237,3,0))</f>
        <v>2</v>
      </c>
      <c r="FM54" s="15">
        <f>IF(ISNA(VLOOKUP(A54,'Données projet'!$A$217:$I$237,4,0)),0,VLOOKUP(A54,'Données projet'!$A$217:$I$237,4,0))</f>
        <v>46.13</v>
      </c>
      <c r="FN54" s="16">
        <f>IF(ISNA(VLOOKUP(A54,'Données projet'!$A$217:$I$237,5,0)),0%,VLOOKUP(A54,'Données projet'!$A$217:$I$237,5,0)*VLOOKUP('Données projet'!$B$16,Paramètres!$A$1:$I$89,7,0))</f>
        <v>0.43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50.830889822780833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50.830889822780833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9.75</v>
      </c>
      <c r="N55" s="13">
        <f>IF('Données projet'!$A$36&gt;35,N54+M55-V54,IF(A55&lt;'Données projet'!$A$36,$K$205^A55,IF(A55='Données projet'!$A$36,'Données projet'!$B$36,N54+M55-V54)))</f>
        <v>226</v>
      </c>
      <c r="O55" s="13">
        <f>N55*VLOOKUP('Données projet'!$B$9,Paramètres!$A$1:$I$89,3,0)*VLOOKUP('Données projet'!$B$9,Paramètres!$A$1:$I$89,5,0)</f>
        <v>141.024</v>
      </c>
      <c r="P55" s="13">
        <f t="shared" si="33"/>
        <v>36.531489925882461</v>
      </c>
      <c r="Q55" s="20">
        <f t="shared" si="53"/>
        <v>309.24247828757859</v>
      </c>
      <c r="R55" s="59">
        <f t="shared" si="0"/>
        <v>602.57581162091196</v>
      </c>
      <c r="S55" s="59">
        <f ca="1">AVERAGE(OFFSET($R$3,0,0,'Données projet'!$E$9+1,1))-AVERAGE(OFFSET($H$3,0,0,'Données projet'!$E$9+1,1))</f>
        <v>179.44051550872138</v>
      </c>
      <c r="T55" s="59">
        <f t="shared" si="34"/>
        <v>272.9500808380069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79.553206573860834</v>
      </c>
      <c r="AA55" s="21">
        <f>EXP(-LN(2)/25)*AA54+(1-EXP(-LN(2)/25))/(LN(2)/25)*Calculateur!V55*Calculateur!X55*VLOOKUP('Données projet'!$B$9,Paramètres!$A$1:$I$89,3,0)*0.475*44/12</f>
        <v>26.293293359465824</v>
      </c>
      <c r="AB55" s="21">
        <f>EXP(-LN(2)/2)*AB54+(1-EXP(-LN(2)/2))/(LN(2)/2)*V55*Y55*VLOOKUP('Données projet'!$B$9,Paramètres!$A$1:$I$89,3,0)*0.475*44/12</f>
        <v>1.0780532129768602E-4</v>
      </c>
      <c r="AC55" s="22">
        <f t="shared" si="3"/>
        <v>105.84660773864795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17.661999999999999</v>
      </c>
      <c r="AI55" s="13">
        <f>IF('Données projet'!$A$62&gt;35,AI54+AH55-AQ54,IF(A55&lt;'Données projet'!$A$62,$AF$205^A55,IF(A55='Données projet'!$A$62,'Données projet'!$B$62,AI54+AH55-AQ54)))</f>
        <v>294.50399999999996</v>
      </c>
      <c r="AJ55" s="13">
        <f>AI55*VLOOKUP('Données projet'!$B$10,Paramètres!$A$1:$I$89,3,0)*VLOOKUP('Données projet'!$B$10,Paramètres!$A$1:$I$89,5,0)</f>
        <v>141.65642399999999</v>
      </c>
      <c r="AK55" s="13">
        <f t="shared" si="35"/>
        <v>36.676208818249677</v>
      </c>
      <c r="AL55" s="20">
        <f t="shared" si="4"/>
        <v>310.59600215845148</v>
      </c>
      <c r="AM55" s="59">
        <f t="shared" si="5"/>
        <v>603.92933549178474</v>
      </c>
      <c r="AN55" s="59">
        <f ca="1">AVERAGE(OFFSET($AM$3,0,0,'Données projet'!$E$10+1,1))-AVERAGE(OFFSET($H$3,0,0,'Données projet'!$E$10+1,1))</f>
        <v>174.18188687702559</v>
      </c>
      <c r="AO55" s="59">
        <f t="shared" si="36"/>
        <v>32.17353897322738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34.84116639674491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34.84116639674491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25.705000000000002</v>
      </c>
      <c r="BD55" s="12">
        <f>IF('Données projet'!$A$88&gt;35,BD54+BC55-BL54,IF(A55&lt;'Données projet'!$A$88,$BA$205^A55,IF(A55='Données projet'!$A$88,'Données projet'!$B$88,BD54+BC55-BL54)))</f>
        <v>657.20000000000027</v>
      </c>
      <c r="BE55" s="13">
        <f>BD55*VLOOKUP('Données projet'!$B$11,Paramètres!$A$1:$I$89,3,0)*VLOOKUP('Données projet'!$B$11,Paramètres!$A$1:$I$89,5,0)</f>
        <v>367.37480000000016</v>
      </c>
      <c r="BF55" s="13">
        <f t="shared" si="37"/>
        <v>85.13001260681672</v>
      </c>
      <c r="BG55" s="20">
        <f t="shared" si="7"/>
        <v>788.11254862353928</v>
      </c>
      <c r="BH55" s="59">
        <f t="shared" si="8"/>
        <v>1081.4458819568727</v>
      </c>
      <c r="BI55" s="59">
        <f ca="1">AVERAGE(OFFSET($BH$3,0,0,'Données projet'!$E$11+1,1))-AVERAGE(OFFSET($H$3,0,0,'Données projet'!$E$11+1,1))</f>
        <v>350.01600895263641</v>
      </c>
      <c r="BJ55" s="59">
        <f t="shared" si="38"/>
        <v>464.08921044376882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94.228082722973738</v>
      </c>
      <c r="BQ55" s="21">
        <f>EXP(-LN(2)/25)*BQ54+(1-EXP(-LN(2)/25))/(LN(2)/25)*Calculateur!BL55*Calculateur!BN55*VLOOKUP('Données projet'!$B$11,Paramètres!$A$1:$I$89,3,0)*0.475*44/12</f>
        <v>27.478781912477569</v>
      </c>
      <c r="BR55" s="21">
        <f>EXP(-LN(2)/2)*BR54+(1-EXP(-LN(2)/2))/(LN(2)/2)*BL55*BO55*VLOOKUP('Données projet'!$B$11,Paramètres!$A$1:$I$89,3,0)*0.475*44/12</f>
        <v>3.6128932083145124E-4</v>
      </c>
      <c r="BS55" s="22">
        <f t="shared" si="9"/>
        <v>121.70722592477215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737.4588457933188</v>
      </c>
      <c r="CD55" s="59">
        <f ca="1">AVERAGE(OFFSET($CC$3,0,0,'Données projet'!$E$12+1,1))-AVERAGE(OFFSET($H$3,0,0,'Données projet'!$E$12+1,1))</f>
        <v>279.49721661620544</v>
      </c>
      <c r="CE55" s="59">
        <f t="shared" si="40"/>
        <v>275.18739333988754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42.767138932845469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42.767138932845469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8.8225000000000016</v>
      </c>
      <c r="CT55" s="12">
        <f>IF('Données projet'!$A$140&gt;35,CT54+CS55-DB54,IF(A55&lt;'Données projet'!$A$140,$CQ$205^A55,IF(A55='Données projet'!$A$140,'Données projet'!$B$140,CT54+CS55-DB54)))</f>
        <v>155.54250000000008</v>
      </c>
      <c r="CU55" s="17">
        <f>CT55*VLOOKUP('Données projet'!$B$13,Paramètres!$A$1:$I$89,3,0)*VLOOKUP('Données projet'!$B$13,Paramètres!$A$1:$I$89,5,0)</f>
        <v>157.72009500000007</v>
      </c>
      <c r="CV55" s="13">
        <f t="shared" si="41"/>
        <v>40.327847725062306</v>
      </c>
      <c r="CW55" s="20">
        <f t="shared" si="13"/>
        <v>344.93350024615029</v>
      </c>
      <c r="CX55" s="59">
        <f t="shared" si="14"/>
        <v>638.26683357948355</v>
      </c>
      <c r="CY55" s="59">
        <f ca="1">AVERAGE(OFFSET($CX$3,0,0,'Données projet'!$E$13+1,1))-AVERAGE(OFFSET($H$3,0,0,'Données projet'!$E$13+1,1))</f>
        <v>402.54350692668021</v>
      </c>
      <c r="CZ55" s="59">
        <f t="shared" si="42"/>
        <v>163.60655196884522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52.245455806676439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52.245455806676439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11</v>
      </c>
      <c r="DO55" s="12">
        <f>IF('Données projet'!$A$166&gt;35,DO54+DN55-DW54,IF(A55&lt;'Données projet'!$A$166,$DL$205^A55,IF(A55='Données projet'!$A$166,'Données projet'!$B$166,DO54+DN55-DW54)))</f>
        <v>211.00000000000003</v>
      </c>
      <c r="DP55" s="17">
        <f>DO55*VLOOKUP('Données projet'!$B$14,Paramètres!$A$1:$I$89,3,0)*VLOOKUP('Données projet'!$B$14,Paramètres!$A$1:$I$89,5,0)</f>
        <v>181.03800000000004</v>
      </c>
      <c r="DQ55" s="13">
        <f t="shared" si="43"/>
        <v>45.553044701671382</v>
      </c>
      <c r="DR55" s="20">
        <f t="shared" si="16"/>
        <v>394.64606952207765</v>
      </c>
      <c r="DS55" s="59">
        <f t="shared" si="17"/>
        <v>687.97940285541097</v>
      </c>
      <c r="DT55" s="59">
        <f ca="1">AVERAGE(OFFSET($DS$3,0,0,'Données projet'!$E$14+1,1))-AVERAGE(OFFSET($H$3,0,0,'Données projet'!$E$14+1,1))</f>
        <v>352.76625414822473</v>
      </c>
      <c r="DU55" s="59">
        <f t="shared" si="44"/>
        <v>186.48649111821521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46.932956856974641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46.932956856974641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173.07692309999999</v>
      </c>
      <c r="EH55" s="12">
        <f>VLOOKUP(A55,'Données projet'!$A$191:$I$211,9,0)</f>
        <v>6.6506410324999994</v>
      </c>
      <c r="EI55" s="12">
        <f t="array" ref="EI55">INDEX(EH:EH,MIN(IF(ISNUMBER(EH55:EH251),ROW(EH55:EH251),"")))</f>
        <v>6.6506410324999994</v>
      </c>
      <c r="EJ55" s="12">
        <f>IF('Données projet'!$A$192&gt;35,EJ54+EI55-ER54,IF(A55&lt;'Données projet'!$A$192,$EG$205^A55,IF(A55='Données projet'!$A$192,'Données projet'!$B$192,EJ54+EI55-ER54)))</f>
        <v>173.07692310000004</v>
      </c>
      <c r="EK55" s="17">
        <f>EJ55*VLOOKUP('Données projet'!$B$15,Paramètres!$A$1:$I$89,3,0)*VLOOKUP('Données projet'!$B$15,Paramètres!$A$1:$I$89,5,0)</f>
        <v>135.00000001800004</v>
      </c>
      <c r="EL55" s="13">
        <f t="shared" si="45"/>
        <v>35.149162599515279</v>
      </c>
      <c r="EM55" s="20">
        <f t="shared" si="19"/>
        <v>296.34312489217251</v>
      </c>
      <c r="EN55" s="59">
        <f t="shared" si="20"/>
        <v>589.67645822550583</v>
      </c>
      <c r="EO55" s="59">
        <f ca="1">AVERAGE(OFFSET($EN$3,0,0,'Données projet'!$E$15+1,1))-AVERAGE(OFFSET($H$3,0,0,'Données projet'!$E$15+1,1))</f>
        <v>130.66539383144681</v>
      </c>
      <c r="EP55" s="59">
        <f t="shared" si="46"/>
        <v>126.36398121441903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30.76923077</v>
      </c>
      <c r="ES55" s="16">
        <f>IF(ISNA(VLOOKUP(A55,'Données projet'!$A$191:$I$211,5,0)),0%,VLOOKUP(A55,'Données projet'!$A$191:$I$211,5,0)*VLOOKUP('Données projet'!$B$15,Paramètres!$A$1:$I$89,7,0))</f>
        <v>0.43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32.133495053705893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32.133495053705893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8.8225000000000016</v>
      </c>
      <c r="FE55" s="12">
        <f>IF('Données projet'!$A$218&gt;35,FE54+FD55-FM54,IF(A55&lt;'Données projet'!$A$218,$FB$205^A55,IF(A55='Données projet'!$A$218,'Données projet'!$B$218,FE54+FD55-FM54)))</f>
        <v>155.54250000000008</v>
      </c>
      <c r="FF55" s="17">
        <f>FE55*VLOOKUP('Données projet'!$B$16,Paramètres!$A$1:$I$89,3,0)*VLOOKUP('Données projet'!$B$16,Paramètres!$A$1:$I$89,5,0)</f>
        <v>150.44070600000009</v>
      </c>
      <c r="FG55" s="13">
        <f t="shared" si="47"/>
        <v>38.67872053407477</v>
      </c>
      <c r="FH55" s="20">
        <f t="shared" si="22"/>
        <v>329.38300121351375</v>
      </c>
      <c r="FI55" s="59">
        <f t="shared" si="23"/>
        <v>622.71633454684707</v>
      </c>
      <c r="FJ55" s="59">
        <f ca="1">AVERAGE(OFFSET($FI$3,0,0,'Données projet'!$E$16+1,1))-AVERAGE(OFFSET($H$3,0,0,'Données projet'!$E$16+1,1))</f>
        <v>380.43199889536805</v>
      </c>
      <c r="FK55" s="59">
        <f t="shared" si="48"/>
        <v>154.72646317672996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49.834127077137524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49.834127077137524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9.75</v>
      </c>
      <c r="N56" s="13">
        <f>IF('Données projet'!$A$36&gt;35,N55+M56-V55,IF(A56&lt;'Données projet'!$A$36,$K$205^A56,IF(A56='Données projet'!$A$36,'Données projet'!$B$36,N55+M56-V55)))</f>
        <v>235.75</v>
      </c>
      <c r="O56" s="13">
        <f>N56*VLOOKUP('Données projet'!$B$9,Paramètres!$A$1:$I$89,3,0)*VLOOKUP('Données projet'!$B$9,Paramètres!$A$1:$I$89,5,0)</f>
        <v>147.108</v>
      </c>
      <c r="P56" s="13">
        <f t="shared" si="33"/>
        <v>37.920625436598897</v>
      </c>
      <c r="Q56" s="20">
        <f t="shared" si="53"/>
        <v>322.25818930207646</v>
      </c>
      <c r="R56" s="59">
        <f t="shared" si="0"/>
        <v>615.59152263540977</v>
      </c>
      <c r="S56" s="59">
        <f ca="1">AVERAGE(OFFSET($R$3,0,0,'Données projet'!$E$9+1,1))-AVERAGE(OFFSET($H$3,0,0,'Données projet'!$E$9+1,1))</f>
        <v>179.44051550872138</v>
      </c>
      <c r="T56" s="59">
        <f t="shared" si="34"/>
        <v>272.9500808380069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77.99321671561222</v>
      </c>
      <c r="AA56" s="21">
        <f>EXP(-LN(2)/25)*AA55+(1-EXP(-LN(2)/25))/(LN(2)/25)*Calculateur!V56*Calculateur!X56*VLOOKUP('Données projet'!$B$9,Paramètres!$A$1:$I$89,3,0)*0.475*44/12</f>
        <v>25.574301869847027</v>
      </c>
      <c r="AB56" s="21">
        <f>EXP(-LN(2)/2)*AB55+(1-EXP(-LN(2)/2))/(LN(2)/2)*V56*Y56*VLOOKUP('Données projet'!$B$9,Paramètres!$A$1:$I$89,3,0)*0.475*44/12</f>
        <v>7.6229873737588321E-5</v>
      </c>
      <c r="AC56" s="22">
        <f t="shared" si="3"/>
        <v>103.567594815333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17.661999999999999</v>
      </c>
      <c r="AI56" s="13">
        <f>IF('Données projet'!$A$62&gt;35,AI55+AH56-AQ55,IF(A56&lt;'Données projet'!$A$62,$AF$205^A56,IF(A56='Données projet'!$A$62,'Données projet'!$B$62,AI55+AH56-AQ55)))</f>
        <v>312.16599999999994</v>
      </c>
      <c r="AJ56" s="13">
        <f>AI56*VLOOKUP('Données projet'!$B$10,Paramètres!$A$1:$I$89,3,0)*VLOOKUP('Données projet'!$B$10,Paramètres!$A$1:$I$89,5,0)</f>
        <v>150.15184599999998</v>
      </c>
      <c r="AK56" s="13">
        <f t="shared" si="35"/>
        <v>38.613091136942572</v>
      </c>
      <c r="AL56" s="20">
        <f t="shared" si="4"/>
        <v>328.76559884684156</v>
      </c>
      <c r="AM56" s="59">
        <f t="shared" si="5"/>
        <v>622.09893218017487</v>
      </c>
      <c r="AN56" s="59">
        <f ca="1">AVERAGE(OFFSET($AM$3,0,0,'Données projet'!$E$10+1,1))-AVERAGE(OFFSET($H$3,0,0,'Données projet'!$E$10+1,1))</f>
        <v>174.18188687702559</v>
      </c>
      <c r="AO56" s="59">
        <f t="shared" si="36"/>
        <v>32.17353897322738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34.15795237471788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34.15795237471788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25.705000000000002</v>
      </c>
      <c r="BD56" s="12">
        <f>IF('Données projet'!$A$88&gt;35,BD55+BC56-BL55,IF(A56&lt;'Données projet'!$A$88,$BA$205^A56,IF(A56='Données projet'!$A$88,'Données projet'!$B$88,BD55+BC56-BL55)))</f>
        <v>682.90500000000031</v>
      </c>
      <c r="BE56" s="13">
        <f>BD56*VLOOKUP('Données projet'!$B$11,Paramètres!$A$1:$I$89,3,0)*VLOOKUP('Données projet'!$B$11,Paramètres!$A$1:$I$89,5,0)</f>
        <v>381.74389500000018</v>
      </c>
      <c r="BF56" s="13">
        <f t="shared" si="37"/>
        <v>88.065517757867923</v>
      </c>
      <c r="BG56" s="20">
        <f t="shared" si="7"/>
        <v>818.25139388662035</v>
      </c>
      <c r="BH56" s="59">
        <f t="shared" si="8"/>
        <v>1111.5847272199537</v>
      </c>
      <c r="BI56" s="59">
        <f ca="1">AVERAGE(OFFSET($BH$3,0,0,'Données projet'!$E$11+1,1))-AVERAGE(OFFSET($H$3,0,0,'Données projet'!$E$11+1,1))</f>
        <v>350.01600895263641</v>
      </c>
      <c r="BJ56" s="59">
        <f t="shared" si="38"/>
        <v>464.08921044376882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92.380327494231651</v>
      </c>
      <c r="BQ56" s="21">
        <f>EXP(-LN(2)/25)*BQ55+(1-EXP(-LN(2)/25))/(LN(2)/25)*Calculateur!BL56*Calculateur!BN56*VLOOKUP('Données projet'!$B$11,Paramètres!$A$1:$I$89,3,0)*0.475*44/12</f>
        <v>26.727373176034533</v>
      </c>
      <c r="BR56" s="21">
        <f>EXP(-LN(2)/2)*BR55+(1-EXP(-LN(2)/2))/(LN(2)/2)*BL56*BO56*VLOOKUP('Données projet'!$B$11,Paramètres!$A$1:$I$89,3,0)*0.475*44/12</f>
        <v>2.5547012873020135E-4</v>
      </c>
      <c r="BS56" s="22">
        <f t="shared" si="9"/>
        <v>119.10795614039492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749.95699735836683</v>
      </c>
      <c r="CD56" s="59">
        <f ca="1">AVERAGE(OFFSET($CC$3,0,0,'Données projet'!$E$12+1,1))-AVERAGE(OFFSET($H$3,0,0,'Données projet'!$E$12+1,1))</f>
        <v>279.49721661620544</v>
      </c>
      <c r="CE56" s="59">
        <f t="shared" si="40"/>
        <v>275.18739333988754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41.928501423751399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41.928501423751399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8.8225000000000016</v>
      </c>
      <c r="CT56" s="12">
        <f>IF('Données projet'!$A$140&gt;35,CT55+CS56-DB55,IF(A56&lt;'Données projet'!$A$140,$CQ$205^A56,IF(A56='Données projet'!$A$140,'Données projet'!$B$140,CT55+CS56-DB55)))</f>
        <v>164.36500000000007</v>
      </c>
      <c r="CU56" s="17">
        <f>CT56*VLOOKUP('Données projet'!$B$13,Paramètres!$A$1:$I$89,3,0)*VLOOKUP('Données projet'!$B$13,Paramètres!$A$1:$I$89,5,0)</f>
        <v>166.66611000000006</v>
      </c>
      <c r="CV56" s="13">
        <f t="shared" si="41"/>
        <v>42.342484607938317</v>
      </c>
      <c r="CW56" s="20">
        <f t="shared" si="13"/>
        <v>364.02330227549265</v>
      </c>
      <c r="CX56" s="59">
        <f t="shared" si="14"/>
        <v>657.35663560882597</v>
      </c>
      <c r="CY56" s="59">
        <f ca="1">AVERAGE(OFFSET($CX$3,0,0,'Données projet'!$E$13+1,1))-AVERAGE(OFFSET($H$3,0,0,'Données projet'!$E$13+1,1))</f>
        <v>402.54350692668021</v>
      </c>
      <c r="CZ56" s="59">
        <f t="shared" si="42"/>
        <v>163.60655196884522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51.22095428488899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51.22095428488899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11</v>
      </c>
      <c r="DO56" s="12">
        <f>IF('Données projet'!$A$166&gt;35,DO55+DN56-DW55,IF(A56&lt;'Données projet'!$A$166,$DL$205^A56,IF(A56='Données projet'!$A$166,'Données projet'!$B$166,DO55+DN56-DW55)))</f>
        <v>222.00000000000003</v>
      </c>
      <c r="DP56" s="17">
        <f>DO56*VLOOKUP('Données projet'!$B$14,Paramètres!$A$1:$I$89,3,0)*VLOOKUP('Données projet'!$B$14,Paramètres!$A$1:$I$89,5,0)</f>
        <v>190.47600000000006</v>
      </c>
      <c r="DQ56" s="13">
        <f t="shared" si="43"/>
        <v>47.645174362968355</v>
      </c>
      <c r="DR56" s="20">
        <f t="shared" si="16"/>
        <v>414.7277120155033</v>
      </c>
      <c r="DS56" s="59">
        <f t="shared" si="17"/>
        <v>708.06104534883661</v>
      </c>
      <c r="DT56" s="59">
        <f ca="1">AVERAGE(OFFSET($DS$3,0,0,'Données projet'!$E$14+1,1))-AVERAGE(OFFSET($H$3,0,0,'Données projet'!$E$14+1,1))</f>
        <v>352.76625414822473</v>
      </c>
      <c r="DU56" s="59">
        <f t="shared" si="44"/>
        <v>186.48649111821521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46.012630199286441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46.012630199286441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6.0096153837500026</v>
      </c>
      <c r="EJ56" s="12">
        <f>IF('Données projet'!$A$192&gt;35,EJ55+EI56-ER55,IF(A56&lt;'Données projet'!$A$192,$EG$205^A56,IF(A56='Données projet'!$A$192,'Données projet'!$B$192,EJ55+EI56-ER55)))</f>
        <v>148.31730771375004</v>
      </c>
      <c r="EK56" s="17">
        <f>EJ56*VLOOKUP('Données projet'!$B$15,Paramètres!$A$1:$I$89,3,0)*VLOOKUP('Données projet'!$B$15,Paramètres!$A$1:$I$89,5,0)</f>
        <v>115.68750001672504</v>
      </c>
      <c r="EL56" s="13">
        <f t="shared" si="45"/>
        <v>30.667047075707035</v>
      </c>
      <c r="EM56" s="20">
        <f t="shared" si="19"/>
        <v>254.90083618598587</v>
      </c>
      <c r="EN56" s="59">
        <f t="shared" si="20"/>
        <v>548.23416951931915</v>
      </c>
      <c r="EO56" s="59">
        <f ca="1">AVERAGE(OFFSET($EN$3,0,0,'Données projet'!$E$15+1,1))-AVERAGE(OFFSET($H$3,0,0,'Données projet'!$E$15+1,1))</f>
        <v>130.66539383144681</v>
      </c>
      <c r="EP56" s="59">
        <f t="shared" si="46"/>
        <v>126.36398121441903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31.503376815199413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31.503376815199413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8.8225000000000016</v>
      </c>
      <c r="FE56" s="12">
        <f>IF('Données projet'!$A$218&gt;35,FE55+FD56-FM55,IF(A56&lt;'Données projet'!$A$218,$FB$205^A56,IF(A56='Données projet'!$A$218,'Données projet'!$B$218,FE55+FD56-FM55)))</f>
        <v>164.36500000000007</v>
      </c>
      <c r="FF56" s="17">
        <f>FE56*VLOOKUP('Données projet'!$B$16,Paramètres!$A$1:$I$89,3,0)*VLOOKUP('Données projet'!$B$16,Paramètres!$A$1:$I$89,5,0)</f>
        <v>158.97382800000008</v>
      </c>
      <c r="FG56" s="13">
        <f t="shared" si="47"/>
        <v>40.610972845223415</v>
      </c>
      <c r="FH56" s="20">
        <f t="shared" si="22"/>
        <v>347.61019480543092</v>
      </c>
      <c r="FI56" s="59">
        <f t="shared" si="23"/>
        <v>640.94352813876424</v>
      </c>
      <c r="FJ56" s="59">
        <f ca="1">AVERAGE(OFFSET($FI$3,0,0,'Données projet'!$E$16+1,1))-AVERAGE(OFFSET($H$3,0,0,'Données projet'!$E$16+1,1))</f>
        <v>380.43199889536805</v>
      </c>
      <c r="FK56" s="59">
        <f t="shared" si="48"/>
        <v>154.72646317672996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48.85691024097104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48.85691024097104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9.75</v>
      </c>
      <c r="N57" s="13">
        <f>IF('Données projet'!$A$36&gt;35,N56+M57-V56,IF(A57&lt;'Données projet'!$A$36,$K$205^A57,IF(A57='Données projet'!$A$36,'Données projet'!$B$36,N56+M57-V56)))</f>
        <v>245.5</v>
      </c>
      <c r="O57" s="13">
        <f>N57*VLOOKUP('Données projet'!$B$9,Paramètres!$A$1:$I$89,3,0)*VLOOKUP('Données projet'!$B$9,Paramètres!$A$1:$I$89,5,0)</f>
        <v>153.19199999999998</v>
      </c>
      <c r="P57" s="13">
        <f t="shared" si="33"/>
        <v>39.303087713366921</v>
      </c>
      <c r="Q57" s="20">
        <f t="shared" si="53"/>
        <v>335.2622777674473</v>
      </c>
      <c r="R57" s="59">
        <f t="shared" si="0"/>
        <v>628.59561110078062</v>
      </c>
      <c r="S57" s="59">
        <f ca="1">AVERAGE(OFFSET($R$3,0,0,'Données projet'!$E$9+1,1))-AVERAGE(OFFSET($H$3,0,0,'Données projet'!$E$9+1,1))</f>
        <v>179.44051550872138</v>
      </c>
      <c r="T57" s="59">
        <f t="shared" si="34"/>
        <v>272.9500808380069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76.463817306983998</v>
      </c>
      <c r="AA57" s="21">
        <f>EXP(-LN(2)/25)*AA56+(1-EXP(-LN(2)/25))/(LN(2)/25)*Calculateur!V57*Calculateur!X57*VLOOKUP('Données projet'!$B$9,Paramètres!$A$1:$I$89,3,0)*0.475*44/12</f>
        <v>24.874971240321976</v>
      </c>
      <c r="AB57" s="21">
        <f>EXP(-LN(2)/2)*AB56+(1-EXP(-LN(2)/2))/(LN(2)/2)*V57*Y57*VLOOKUP('Données projet'!$B$9,Paramètres!$A$1:$I$89,3,0)*0.475*44/12</f>
        <v>5.3902660648843011E-5</v>
      </c>
      <c r="AC57" s="22">
        <f t="shared" si="3"/>
        <v>101.33884244996662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17.661999999999999</v>
      </c>
      <c r="AI57" s="13">
        <f>IF('Données projet'!$A$62&gt;35,AI56+AH57-AQ56,IF(A57&lt;'Données projet'!$A$62,$AF$205^A57,IF(A57='Données projet'!$A$62,'Données projet'!$B$62,AI56+AH57-AQ56)))</f>
        <v>329.82799999999992</v>
      </c>
      <c r="AJ57" s="13">
        <f>AI57*VLOOKUP('Données projet'!$B$10,Paramètres!$A$1:$I$89,3,0)*VLOOKUP('Données projet'!$B$10,Paramètres!$A$1:$I$89,5,0)</f>
        <v>158.64726799999997</v>
      </c>
      <c r="AK57" s="13">
        <f t="shared" si="35"/>
        <v>40.537252321187637</v>
      </c>
      <c r="AL57" s="20">
        <f t="shared" si="4"/>
        <v>346.91303955940174</v>
      </c>
      <c r="AM57" s="59">
        <f t="shared" si="5"/>
        <v>640.24637289273505</v>
      </c>
      <c r="AN57" s="59">
        <f ca="1">AVERAGE(OFFSET($AM$3,0,0,'Données projet'!$E$10+1,1))-AVERAGE(OFFSET($H$3,0,0,'Données projet'!$E$10+1,1))</f>
        <v>174.18188687702559</v>
      </c>
      <c r="AO57" s="59">
        <f t="shared" si="36"/>
        <v>32.17353897322738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33.488135762943394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33.488135762943394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708.61</v>
      </c>
      <c r="BB57" s="12">
        <f>VLOOKUP(A57,'Données projet'!$A$87:$I$107,9,0)</f>
        <v>25.705000000000002</v>
      </c>
      <c r="BC57" s="12">
        <f t="array" ref="BC57">INDEX(BB:BB,MIN(IF(ISNUMBER(BB57:BB253),ROW(BB57:BB253),"")))</f>
        <v>25.705000000000002</v>
      </c>
      <c r="BD57" s="12">
        <f>IF('Données projet'!$A$88&gt;35,BD56+BC57-BL56,IF(A57&lt;'Données projet'!$A$88,$BA$205^A57,IF(A57='Données projet'!$A$88,'Données projet'!$B$88,BD56+BC57-BL56)))</f>
        <v>708.61000000000035</v>
      </c>
      <c r="BE57" s="13">
        <f>BD57*VLOOKUP('Données projet'!$B$11,Paramètres!$A$1:$I$89,3,0)*VLOOKUP('Données projet'!$B$11,Paramètres!$A$1:$I$89,5,0)</f>
        <v>396.1129900000002</v>
      </c>
      <c r="BF57" s="13">
        <f t="shared" si="37"/>
        <v>90.988186296707582</v>
      </c>
      <c r="BG57" s="20">
        <f t="shared" si="7"/>
        <v>848.36788205009941</v>
      </c>
      <c r="BH57" s="59">
        <f t="shared" si="8"/>
        <v>1141.7012153834328</v>
      </c>
      <c r="BI57" s="59">
        <f ca="1">AVERAGE(OFFSET($BH$3,0,0,'Données projet'!$E$11+1,1))-AVERAGE(OFFSET($H$3,0,0,'Données projet'!$E$11+1,1))</f>
        <v>350.01600895263641</v>
      </c>
      <c r="BJ57" s="59">
        <f t="shared" si="38"/>
        <v>464.08921044376882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707.75</v>
      </c>
      <c r="BM57" s="16">
        <f>IF(ISNA(VLOOKUP(A57,'Données projet'!$A$87:$I$107,5,0)),0%,VLOOKUP(A57,'Données projet'!$A$87:$I$107,5,0)*VLOOKUP('Données projet'!$B$11,Paramètres!$A$1:$I$89,7,0))</f>
        <v>0.55000000000000004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379.22622977006932</v>
      </c>
      <c r="BQ57" s="21">
        <f>EXP(-LN(2)/25)*BQ56+(1-EXP(-LN(2)/25))/(LN(2)/25)*Calculateur!BL57*Calculateur!BN57*VLOOKUP('Données projet'!$B$11,Paramètres!$A$1:$I$89,3,0)*0.475*44/12</f>
        <v>25.996511751004398</v>
      </c>
      <c r="BR57" s="21">
        <f>EXP(-LN(2)/2)*BR56+(1-EXP(-LN(2)/2))/(LN(2)/2)*BL57*BO57*VLOOKUP('Données projet'!$B$11,Paramètres!$A$1:$I$89,3,0)*0.475*44/12</f>
        <v>1.8064466041572562E-4</v>
      </c>
      <c r="BS57" s="22">
        <f t="shared" si="9"/>
        <v>405.22292216573413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762.44784317953156</v>
      </c>
      <c r="CD57" s="59">
        <f ca="1">AVERAGE(OFFSET($CC$3,0,0,'Données projet'!$E$12+1,1))-AVERAGE(OFFSET($H$3,0,0,'Données projet'!$E$12+1,1))</f>
        <v>279.49721661620544</v>
      </c>
      <c r="CE57" s="59">
        <f t="shared" si="40"/>
        <v>275.18739333988754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41.106309084692292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41.106309084692292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8.8225000000000016</v>
      </c>
      <c r="CT57" s="12">
        <f>IF('Données projet'!$A$140&gt;35,CT56+CS57-DB56,IF(A57&lt;'Données projet'!$A$140,$CQ$205^A57,IF(A57='Données projet'!$A$140,'Données projet'!$B$140,CT56+CS57-DB56)))</f>
        <v>173.18750000000006</v>
      </c>
      <c r="CU57" s="17">
        <f>CT57*VLOOKUP('Données projet'!$B$13,Paramètres!$A$1:$I$89,3,0)*VLOOKUP('Données projet'!$B$13,Paramètres!$A$1:$I$89,5,0)</f>
        <v>175.61212500000005</v>
      </c>
      <c r="CV57" s="13">
        <f t="shared" si="41"/>
        <v>44.344567081778571</v>
      </c>
      <c r="CW57" s="20">
        <f t="shared" si="13"/>
        <v>383.09123870909769</v>
      </c>
      <c r="CX57" s="59">
        <f t="shared" si="14"/>
        <v>676.42457204243101</v>
      </c>
      <c r="CY57" s="59">
        <f ca="1">AVERAGE(OFFSET($CX$3,0,0,'Données projet'!$E$13+1,1))-AVERAGE(OFFSET($H$3,0,0,'Données projet'!$E$13+1,1))</f>
        <v>402.54350692668021</v>
      </c>
      <c r="CZ57" s="59">
        <f t="shared" si="42"/>
        <v>163.60655196884522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50.216542613059566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50.216542613059566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11</v>
      </c>
      <c r="DO57" s="12">
        <f>IF('Données projet'!$A$166&gt;35,DO56+DN57-DW56,IF(A57&lt;'Données projet'!$A$166,$DL$205^A57,IF(A57='Données projet'!$A$166,'Données projet'!$B$166,DO56+DN57-DW56)))</f>
        <v>233.00000000000003</v>
      </c>
      <c r="DP57" s="17">
        <f>DO57*VLOOKUP('Données projet'!$B$14,Paramètres!$A$1:$I$89,3,0)*VLOOKUP('Données projet'!$B$14,Paramètres!$A$1:$I$89,5,0)</f>
        <v>199.91400000000007</v>
      </c>
      <c r="DQ57" s="13">
        <f t="shared" si="43"/>
        <v>49.725267055272241</v>
      </c>
      <c r="DR57" s="20">
        <f t="shared" si="16"/>
        <v>434.78839012126599</v>
      </c>
      <c r="DS57" s="59">
        <f t="shared" si="17"/>
        <v>728.12172345459931</v>
      </c>
      <c r="DT57" s="59">
        <f ca="1">AVERAGE(OFFSET($DS$3,0,0,'Données projet'!$E$14+1,1))-AVERAGE(OFFSET($H$3,0,0,'Données projet'!$E$14+1,1))</f>
        <v>352.76625414822473</v>
      </c>
      <c r="DU57" s="59">
        <f t="shared" si="44"/>
        <v>186.48649111821521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45.110350586011677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45.110350586011677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6.0096153837500026</v>
      </c>
      <c r="EJ57" s="12">
        <f>IF('Données projet'!$A$192&gt;35,EJ56+EI57-ER56,IF(A57&lt;'Données projet'!$A$192,$EG$205^A57,IF(A57='Données projet'!$A$192,'Données projet'!$B$192,EJ56+EI57-ER56)))</f>
        <v>154.32692309750004</v>
      </c>
      <c r="EK57" s="17">
        <f>EJ57*VLOOKUP('Données projet'!$B$15,Paramètres!$A$1:$I$89,3,0)*VLOOKUP('Données projet'!$B$15,Paramètres!$A$1:$I$89,5,0)</f>
        <v>120.37500001605004</v>
      </c>
      <c r="EL57" s="13">
        <f t="shared" si="45"/>
        <v>31.762446000875379</v>
      </c>
      <c r="EM57" s="20">
        <f t="shared" si="19"/>
        <v>264.97271847947843</v>
      </c>
      <c r="EN57" s="59">
        <f t="shared" si="20"/>
        <v>558.3060518128118</v>
      </c>
      <c r="EO57" s="59">
        <f ca="1">AVERAGE(OFFSET($EN$3,0,0,'Données projet'!$E$15+1,1))-AVERAGE(OFFSET($H$3,0,0,'Données projet'!$E$15+1,1))</f>
        <v>130.66539383144681</v>
      </c>
      <c r="EP57" s="59">
        <f t="shared" si="46"/>
        <v>126.36398121441903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30.88561481101587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30.88561481101587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8.8225000000000016</v>
      </c>
      <c r="FE57" s="12">
        <f>IF('Données projet'!$A$218&gt;35,FE56+FD57-FM56,IF(A57&lt;'Données projet'!$A$218,$FB$205^A57,IF(A57='Données projet'!$A$218,'Données projet'!$B$218,FE56+FD57-FM56)))</f>
        <v>173.18750000000006</v>
      </c>
      <c r="FF57" s="17">
        <f>FE57*VLOOKUP('Données projet'!$B$16,Paramètres!$A$1:$I$89,3,0)*VLOOKUP('Données projet'!$B$16,Paramètres!$A$1:$I$89,5,0)</f>
        <v>167.50695000000007</v>
      </c>
      <c r="FG57" s="13">
        <f t="shared" si="47"/>
        <v>42.531184134944972</v>
      </c>
      <c r="FH57" s="20">
        <f t="shared" si="22"/>
        <v>365.81641695169589</v>
      </c>
      <c r="FI57" s="59">
        <f t="shared" si="23"/>
        <v>659.1497502850292</v>
      </c>
      <c r="FJ57" s="59">
        <f ca="1">AVERAGE(OFFSET($FI$3,0,0,'Données projet'!$E$16+1,1))-AVERAGE(OFFSET($H$3,0,0,'Données projet'!$E$16+1,1))</f>
        <v>380.43199889536805</v>
      </c>
      <c r="FK57" s="59">
        <f t="shared" si="48"/>
        <v>154.72646317672996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47.89885603091836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47.89885603091836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9.75</v>
      </c>
      <c r="N58" s="13">
        <f>IF('Données projet'!$A$36&gt;35,N57+M58-V57,IF(A58&lt;'Données projet'!$A$36,$K$205^A58,IF(A58='Données projet'!$A$36,'Données projet'!$B$36,N57+M58-V57)))</f>
        <v>255.25</v>
      </c>
      <c r="O58" s="13">
        <f>N58*VLOOKUP('Données projet'!$B$9,Paramètres!$A$1:$I$89,3,0)*VLOOKUP('Données projet'!$B$9,Paramètres!$A$1:$I$89,5,0)</f>
        <v>159.27600000000001</v>
      </c>
      <c r="P58" s="13">
        <f t="shared" si="33"/>
        <v>40.679172107249002</v>
      </c>
      <c r="Q58" s="20">
        <f t="shared" si="53"/>
        <v>348.25525808679203</v>
      </c>
      <c r="R58" s="59">
        <f t="shared" si="0"/>
        <v>641.58859142012534</v>
      </c>
      <c r="S58" s="59">
        <f ca="1">AVERAGE(OFFSET($R$3,0,0,'Données projet'!$E$9+1,1))-AVERAGE(OFFSET($H$3,0,0,'Données projet'!$E$9+1,1))</f>
        <v>179.44051550872138</v>
      </c>
      <c r="T58" s="59">
        <f t="shared" si="34"/>
        <v>272.9500808380069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74.964408487917453</v>
      </c>
      <c r="AA58" s="21">
        <f>EXP(-LN(2)/25)*AA57+(1-EXP(-LN(2)/25))/(LN(2)/25)*Calculateur!V58*Calculateur!X58*VLOOKUP('Données projet'!$B$9,Paramètres!$A$1:$I$89,3,0)*0.475*44/12</f>
        <v>24.194763843637485</v>
      </c>
      <c r="AB58" s="21">
        <f>EXP(-LN(2)/2)*AB57+(1-EXP(-LN(2)/2))/(LN(2)/2)*V58*Y58*VLOOKUP('Données projet'!$B$9,Paramètres!$A$1:$I$89,3,0)*0.475*44/12</f>
        <v>3.8114936868794161E-5</v>
      </c>
      <c r="AC58" s="22">
        <f t="shared" si="3"/>
        <v>99.159210446491812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347.49</v>
      </c>
      <c r="AG58" s="12">
        <f>VLOOKUP(A58,'Données projet'!$A$61:$I$81,9,0)</f>
        <v>17.661999999999999</v>
      </c>
      <c r="AH58" s="12">
        <f t="array" ref="AH58">INDEX(AG:AG,MIN(IF(ISNUMBER(AG58:AG254),ROW(AG58:AG254),"")))</f>
        <v>17.661999999999999</v>
      </c>
      <c r="AI58" s="13">
        <f>IF('Données projet'!$A$62&gt;35,AI57+AH58-AQ57,IF(A58&lt;'Données projet'!$A$62,$AF$205^A58,IF(A58='Données projet'!$A$62,'Données projet'!$B$62,AI57+AH58-AQ57)))</f>
        <v>347.4899999999999</v>
      </c>
      <c r="AJ58" s="13">
        <f>AI58*VLOOKUP('Données projet'!$B$10,Paramètres!$A$1:$I$89,3,0)*VLOOKUP('Données projet'!$B$10,Paramètres!$A$1:$I$89,5,0)</f>
        <v>167.14268999999993</v>
      </c>
      <c r="AK58" s="13">
        <f t="shared" si="35"/>
        <v>42.449451247887097</v>
      </c>
      <c r="AL58" s="20">
        <f t="shared" si="4"/>
        <v>365.03964600673652</v>
      </c>
      <c r="AM58" s="59">
        <f t="shared" si="5"/>
        <v>658.37297934006983</v>
      </c>
      <c r="AN58" s="59">
        <f ca="1">AVERAGE(OFFSET($AM$3,0,0,'Données projet'!$E$10+1,1))-AVERAGE(OFFSET($H$3,0,0,'Données projet'!$E$10+1,1))</f>
        <v>174.18188687702559</v>
      </c>
      <c r="AO58" s="59">
        <f t="shared" si="36"/>
        <v>32.17353897322738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32.831453846378011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32.831453846378011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0.8600000000003547</v>
      </c>
      <c r="BE58" s="13">
        <f>BD58*VLOOKUP('Données projet'!$B$11,Paramètres!$A$1:$I$89,3,0)*VLOOKUP('Données projet'!$B$11,Paramètres!$A$1:$I$89,5,0)</f>
        <v>0.48074000000019829</v>
      </c>
      <c r="BF58" s="13">
        <f t="shared" si="37"/>
        <v>0.24126147010950588</v>
      </c>
      <c r="BG58" s="20">
        <f t="shared" si="7"/>
        <v>1.2574858937744013</v>
      </c>
      <c r="BH58" s="59">
        <f t="shared" si="8"/>
        <v>294.59081922710772</v>
      </c>
      <c r="BI58" s="59">
        <f ca="1">AVERAGE(OFFSET($BH$3,0,0,'Données projet'!$E$11+1,1))-AVERAGE(OFFSET($H$3,0,0,'Données projet'!$E$11+1,1))</f>
        <v>350.01600895263641</v>
      </c>
      <c r="BJ58" s="59">
        <f t="shared" si="38"/>
        <v>464.08921044376882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371.78983470943894</v>
      </c>
      <c r="BQ58" s="21">
        <f>EXP(-LN(2)/25)*BQ57+(1-EXP(-LN(2)/25))/(LN(2)/25)*Calculateur!BL58*Calculateur!BN58*VLOOKUP('Données projet'!$B$11,Paramètres!$A$1:$I$89,3,0)*0.475*44/12</f>
        <v>25.285635770076045</v>
      </c>
      <c r="BR58" s="21">
        <f>EXP(-LN(2)/2)*BR57+(1-EXP(-LN(2)/2))/(LN(2)/2)*BL58*BO58*VLOOKUP('Données projet'!$B$11,Paramètres!$A$1:$I$89,3,0)*0.475*44/12</f>
        <v>1.2773506436510067E-4</v>
      </c>
      <c r="BS58" s="22">
        <f t="shared" si="9"/>
        <v>397.07559821457937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774.93160518198874</v>
      </c>
      <c r="CD58" s="59">
        <f ca="1">AVERAGE(OFFSET($CC$3,0,0,'Données projet'!$E$12+1,1))-AVERAGE(OFFSET($H$3,0,0,'Données projet'!$E$12+1,1))</f>
        <v>279.49721661620544</v>
      </c>
      <c r="CE58" s="59">
        <f t="shared" si="40"/>
        <v>275.18739333988754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47.758503179864732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47.758503179864732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8.8225000000000016</v>
      </c>
      <c r="CT58" s="12">
        <f>IF('Données projet'!$A$140&gt;35,CT57+CS58-DB57,IF(A58&lt;'Données projet'!$A$140,$CQ$205^A58,IF(A58='Données projet'!$A$140,'Données projet'!$B$140,CT57+CS58-DB57)))</f>
        <v>182.01000000000005</v>
      </c>
      <c r="CU58" s="17">
        <f>CT58*VLOOKUP('Données projet'!$B$13,Paramètres!$A$1:$I$89,3,0)*VLOOKUP('Données projet'!$B$13,Paramètres!$A$1:$I$89,5,0)</f>
        <v>184.55814000000004</v>
      </c>
      <c r="CV58" s="13">
        <f t="shared" si="41"/>
        <v>46.334807653923768</v>
      </c>
      <c r="CW58" s="20">
        <f t="shared" si="13"/>
        <v>402.13855049725061</v>
      </c>
      <c r="CX58" s="59">
        <f t="shared" si="14"/>
        <v>695.47188383058392</v>
      </c>
      <c r="CY58" s="59">
        <f ca="1">AVERAGE(OFFSET($CX$3,0,0,'Données projet'!$E$13+1,1))-AVERAGE(OFFSET($H$3,0,0,'Données projet'!$E$13+1,1))</f>
        <v>402.54350692668021</v>
      </c>
      <c r="CZ58" s="59">
        <f t="shared" si="42"/>
        <v>163.60655196884522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49.231826841484093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49.231826841484093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244</v>
      </c>
      <c r="DM58" s="12">
        <f>VLOOKUP(A58,'Données projet'!$A$165:$I$185,9,0)</f>
        <v>11</v>
      </c>
      <c r="DN58" s="12">
        <f t="array" ref="DN58">INDEX(DM:DM,MIN(IF(ISNUMBER(DM58:DM254),ROW(DM58:DM254),"")))</f>
        <v>11</v>
      </c>
      <c r="DO58" s="12">
        <f>IF('Données projet'!$A$166&gt;35,DO57+DN58-DW57,IF(A58&lt;'Données projet'!$A$166,$DL$205^A58,IF(A58='Données projet'!$A$166,'Données projet'!$B$166,DO57+DN58-DW57)))</f>
        <v>244.00000000000003</v>
      </c>
      <c r="DP58" s="17">
        <f>DO58*VLOOKUP('Données projet'!$B$14,Paramètres!$A$1:$I$89,3,0)*VLOOKUP('Données projet'!$B$14,Paramètres!$A$1:$I$89,5,0)</f>
        <v>209.35200000000003</v>
      </c>
      <c r="DQ58" s="13">
        <f t="shared" si="43"/>
        <v>51.79395593509436</v>
      </c>
      <c r="DR58" s="20">
        <f t="shared" si="16"/>
        <v>454.82920658695599</v>
      </c>
      <c r="DS58" s="59">
        <f t="shared" si="17"/>
        <v>748.1625399202893</v>
      </c>
      <c r="DT58" s="59">
        <f ca="1">AVERAGE(OFFSET($DS$3,0,0,'Données projet'!$E$14+1,1))-AVERAGE(OFFSET($H$3,0,0,'Données projet'!$E$14+1,1))</f>
        <v>352.76625414822473</v>
      </c>
      <c r="DU58" s="59">
        <f t="shared" si="44"/>
        <v>186.48649111821521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28</v>
      </c>
      <c r="DX58" s="16">
        <f>IF(ISNA(VLOOKUP(A58,'Données projet'!$A$165:$I$185,5,0)),0%,VLOOKUP(A58,'Données projet'!$A$165:$I$185,5,0)*VLOOKUP('Données projet'!$B$14,Paramètres!$A$1:$I$89,7,0))</f>
        <v>0.53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58.30140893650379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58.30140893650379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6.0096153837500026</v>
      </c>
      <c r="EJ58" s="12">
        <f>IF('Données projet'!$A$192&gt;35,EJ57+EI58-ER57,IF(A58&lt;'Données projet'!$A$192,$EG$205^A58,IF(A58='Données projet'!$A$192,'Données projet'!$B$192,EJ57+EI58-ER57)))</f>
        <v>160.33653848125005</v>
      </c>
      <c r="EK58" s="17">
        <f>EJ58*VLOOKUP('Données projet'!$B$15,Paramètres!$A$1:$I$89,3,0)*VLOOKUP('Données projet'!$B$15,Paramètres!$A$1:$I$89,5,0)</f>
        <v>125.06250001537504</v>
      </c>
      <c r="EL58" s="13">
        <f t="shared" si="45"/>
        <v>32.852889713124483</v>
      </c>
      <c r="EM58" s="20">
        <f t="shared" si="19"/>
        <v>275.03597044380331</v>
      </c>
      <c r="EN58" s="59">
        <f t="shared" si="20"/>
        <v>568.36930377713657</v>
      </c>
      <c r="EO58" s="59">
        <f ca="1">AVERAGE(OFFSET($EN$3,0,0,'Données projet'!$E$15+1,1))-AVERAGE(OFFSET($H$3,0,0,'Données projet'!$E$15+1,1))</f>
        <v>130.66539383144681</v>
      </c>
      <c r="EP58" s="59">
        <f t="shared" si="46"/>
        <v>126.36398121441903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30.27996674293675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30.27996674293675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8.8225000000000016</v>
      </c>
      <c r="FE58" s="12">
        <f>IF('Données projet'!$A$218&gt;35,FE57+FD58-FM57,IF(A58&lt;'Données projet'!$A$218,$FB$205^A58,IF(A58='Données projet'!$A$218,'Données projet'!$B$218,FE57+FD58-FM57)))</f>
        <v>182.01000000000005</v>
      </c>
      <c r="FF58" s="17">
        <f>FE58*VLOOKUP('Données projet'!$B$16,Paramètres!$A$1:$I$89,3,0)*VLOOKUP('Données projet'!$B$16,Paramètres!$A$1:$I$89,5,0)</f>
        <v>176.04007200000004</v>
      </c>
      <c r="FG58" s="13">
        <f t="shared" si="47"/>
        <v>44.440037774008445</v>
      </c>
      <c r="FH58" s="20">
        <f t="shared" si="22"/>
        <v>384.00285785639812</v>
      </c>
      <c r="FI58" s="59">
        <f t="shared" si="23"/>
        <v>677.33619118973138</v>
      </c>
      <c r="FJ58" s="59">
        <f ca="1">AVERAGE(OFFSET($FI$3,0,0,'Données projet'!$E$16+1,1))-AVERAGE(OFFSET($H$3,0,0,'Données projet'!$E$16+1,1))</f>
        <v>380.43199889536805</v>
      </c>
      <c r="FK58" s="59">
        <f t="shared" si="48"/>
        <v>154.72646317672996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46.95958867956945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46.95958867956945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9.75</v>
      </c>
      <c r="N59" s="13">
        <f>IF('Données projet'!$A$36&gt;35,N58+M59-V58,IF(A59&lt;'Données projet'!$A$36,$K$205^A59,IF(A59='Données projet'!$A$36,'Données projet'!$B$36,N58+M59-V58)))</f>
        <v>265</v>
      </c>
      <c r="O59" s="13">
        <f>N59*VLOOKUP('Données projet'!$B$9,Paramètres!$A$1:$I$89,3,0)*VLOOKUP('Données projet'!$B$9,Paramètres!$A$1:$I$89,5,0)</f>
        <v>165.35999999999999</v>
      </c>
      <c r="P59" s="13">
        <f t="shared" si="33"/>
        <v>42.04915012784209</v>
      </c>
      <c r="Q59" s="20">
        <f t="shared" si="53"/>
        <v>361.2376031393249</v>
      </c>
      <c r="R59" s="59">
        <f t="shared" si="0"/>
        <v>654.57093647265822</v>
      </c>
      <c r="S59" s="59">
        <f ca="1">AVERAGE(OFFSET($R$3,0,0,'Données projet'!$E$9+1,1))-AVERAGE(OFFSET($H$3,0,0,'Données projet'!$E$9+1,1))</f>
        <v>179.44051550872138</v>
      </c>
      <c r="T59" s="59">
        <f t="shared" si="34"/>
        <v>272.9500808380069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73.494402161243727</v>
      </c>
      <c r="AA59" s="21">
        <f>EXP(-LN(2)/25)*AA58+(1-EXP(-LN(2)/25))/(LN(2)/25)*Calculateur!V59*Calculateur!X59*VLOOKUP('Données projet'!$B$9,Paramètres!$A$1:$I$89,3,0)*0.475*44/12</f>
        <v>23.533156753985885</v>
      </c>
      <c r="AB59" s="21">
        <f>EXP(-LN(2)/2)*AB58+(1-EXP(-LN(2)/2))/(LN(2)/2)*V59*Y59*VLOOKUP('Données projet'!$B$9,Paramètres!$A$1:$I$89,3,0)*0.475*44/12</f>
        <v>2.6951330324421506E-5</v>
      </c>
      <c r="AC59" s="22">
        <f t="shared" si="3"/>
        <v>97.027585866559932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17.501999999999999</v>
      </c>
      <c r="AI59" s="13">
        <f>IF('Données projet'!$A$62&gt;35,AI58+AH59-AQ58,IF(A59&lt;'Données projet'!$A$62,$AF$205^A59,IF(A59='Données projet'!$A$62,'Données projet'!$B$62,AI58+AH59-AQ58)))</f>
        <v>364.9919999999999</v>
      </c>
      <c r="AJ59" s="13">
        <f>AI59*VLOOKUP('Données projet'!$B$10,Paramètres!$A$1:$I$89,3,0)*VLOOKUP('Données projet'!$B$10,Paramètres!$A$1:$I$89,5,0)</f>
        <v>175.56115199999994</v>
      </c>
      <c r="AK59" s="13">
        <f t="shared" si="35"/>
        <v>44.333193711975206</v>
      </c>
      <c r="AL59" s="20">
        <f t="shared" si="4"/>
        <v>382.98265211502331</v>
      </c>
      <c r="AM59" s="59">
        <f t="shared" si="5"/>
        <v>676.31598544835663</v>
      </c>
      <c r="AN59" s="59">
        <f ca="1">AVERAGE(OFFSET($AM$3,0,0,'Données projet'!$E$10+1,1))-AVERAGE(OFFSET($H$3,0,0,'Données projet'!$E$10+1,1))</f>
        <v>174.18188687702559</v>
      </c>
      <c r="AO59" s="59">
        <f t="shared" si="36"/>
        <v>32.17353897322738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32.187649061660061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32.187649061660061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0.8600000000003547</v>
      </c>
      <c r="BE59" s="13">
        <f>BD59*VLOOKUP('Données projet'!$B$11,Paramètres!$A$1:$I$89,3,0)*VLOOKUP('Données projet'!$B$11,Paramètres!$A$1:$I$89,5,0)</f>
        <v>0.48074000000019829</v>
      </c>
      <c r="BF59" s="13">
        <f t="shared" si="37"/>
        <v>0.24126147010950588</v>
      </c>
      <c r="BG59" s="20">
        <f t="shared" si="7"/>
        <v>1.2574858937744013</v>
      </c>
      <c r="BH59" s="59">
        <f t="shared" si="8"/>
        <v>294.59081922710772</v>
      </c>
      <c r="BI59" s="59">
        <f ca="1">AVERAGE(OFFSET($BH$3,0,0,'Données projet'!$E$11+1,1))-AVERAGE(OFFSET($H$3,0,0,'Données projet'!$E$11+1,1))</f>
        <v>350.01600895263641</v>
      </c>
      <c r="BJ59" s="59">
        <f t="shared" si="38"/>
        <v>464.08921044376882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364.49926282019442</v>
      </c>
      <c r="BQ59" s="21">
        <f>EXP(-LN(2)/25)*BQ58+(1-EXP(-LN(2)/25))/(LN(2)/25)*Calculateur!BL59*Calculateur!BN59*VLOOKUP('Données projet'!$B$11,Paramètres!$A$1:$I$89,3,0)*0.475*44/12</f>
        <v>24.594198730229522</v>
      </c>
      <c r="BR59" s="21">
        <f>EXP(-LN(2)/2)*BR58+(1-EXP(-LN(2)/2))/(LN(2)/2)*BL59*BO59*VLOOKUP('Données projet'!$B$11,Paramètres!$A$1:$I$89,3,0)*0.475*44/12</f>
        <v>9.032233020786281E-5</v>
      </c>
      <c r="BS59" s="22">
        <f t="shared" si="9"/>
        <v>389.09355187275418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758.39754468748799</v>
      </c>
      <c r="CD59" s="59">
        <f ca="1">AVERAGE(OFFSET($CC$3,0,0,'Données projet'!$E$12+1,1))-AVERAGE(OFFSET($H$3,0,0,'Données projet'!$E$12+1,1))</f>
        <v>279.49721661620544</v>
      </c>
      <c r="CE59" s="59">
        <f t="shared" si="40"/>
        <v>275.18739333988754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46.821988062318198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46.821988062318198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8.8225000000000016</v>
      </c>
      <c r="CT59" s="12">
        <f>IF('Données projet'!$A$140&gt;35,CT58+CS59-DB58,IF(A59&lt;'Données projet'!$A$140,$CQ$205^A59,IF(A59='Données projet'!$A$140,'Données projet'!$B$140,CT58+CS59-DB58)))</f>
        <v>190.83250000000004</v>
      </c>
      <c r="CU59" s="17">
        <f>CT59*VLOOKUP('Données projet'!$B$13,Paramètres!$A$1:$I$89,3,0)*VLOOKUP('Données projet'!$B$13,Paramètres!$A$1:$I$89,5,0)</f>
        <v>193.50415500000005</v>
      </c>
      <c r="CV59" s="13">
        <f t="shared" si="41"/>
        <v>48.313845854906042</v>
      </c>
      <c r="CW59" s="20">
        <f t="shared" si="13"/>
        <v>421.16635148896142</v>
      </c>
      <c r="CX59" s="59">
        <f t="shared" si="14"/>
        <v>714.49968482229474</v>
      </c>
      <c r="CY59" s="59">
        <f ca="1">AVERAGE(OFFSET($CX$3,0,0,'Données projet'!$E$13+1,1))-AVERAGE(OFFSET($H$3,0,0,'Données projet'!$E$13+1,1))</f>
        <v>402.54350692668021</v>
      </c>
      <c r="CZ59" s="59">
        <f t="shared" si="42"/>
        <v>163.60655196884522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48.266420745571899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48.266420745571899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10.8</v>
      </c>
      <c r="DO59" s="12">
        <f>IF('Données projet'!$A$166&gt;35,DO58+DN59-DW58,IF(A59&lt;'Données projet'!$A$166,$DL$205^A59,IF(A59='Données projet'!$A$166,'Données projet'!$B$166,DO58+DN59-DW58)))</f>
        <v>226.80000000000004</v>
      </c>
      <c r="DP59" s="17">
        <f>DO59*VLOOKUP('Données projet'!$B$14,Paramètres!$A$1:$I$89,3,0)*VLOOKUP('Données projet'!$B$14,Paramètres!$A$1:$I$89,5,0)</f>
        <v>194.59440000000006</v>
      </c>
      <c r="DQ59" s="13">
        <f t="shared" si="43"/>
        <v>48.554292648263456</v>
      </c>
      <c r="DR59" s="20">
        <f t="shared" si="16"/>
        <v>423.48397302905897</v>
      </c>
      <c r="DS59" s="59">
        <f t="shared" si="17"/>
        <v>716.81730636239229</v>
      </c>
      <c r="DT59" s="59">
        <f ca="1">AVERAGE(OFFSET($DS$3,0,0,'Données projet'!$E$14+1,1))-AVERAGE(OFFSET($H$3,0,0,'Données projet'!$E$14+1,1))</f>
        <v>352.76625414822473</v>
      </c>
      <c r="DU59" s="59">
        <f t="shared" si="44"/>
        <v>186.48649111821521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57.158153867607112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57.158153867607112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6.0096153837500026</v>
      </c>
      <c r="EJ59" s="12">
        <f>IF('Données projet'!$A$192&gt;35,EJ58+EI59-ER58,IF(A59&lt;'Données projet'!$A$192,$EG$205^A59,IF(A59='Données projet'!$A$192,'Données projet'!$B$192,EJ58+EI59-ER58)))</f>
        <v>166.34615386500005</v>
      </c>
      <c r="EK59" s="17">
        <f>EJ59*VLOOKUP('Données projet'!$B$15,Paramètres!$A$1:$I$89,3,0)*VLOOKUP('Données projet'!$B$15,Paramètres!$A$1:$I$89,5,0)</f>
        <v>129.75000001470005</v>
      </c>
      <c r="EL59" s="13">
        <f t="shared" si="45"/>
        <v>33.938585205761967</v>
      </c>
      <c r="EM59" s="20">
        <f t="shared" si="19"/>
        <v>285.09095259230469</v>
      </c>
      <c r="EN59" s="59">
        <f t="shared" si="20"/>
        <v>578.42428592563806</v>
      </c>
      <c r="EO59" s="59">
        <f ca="1">AVERAGE(OFFSET($EN$3,0,0,'Données projet'!$E$15+1,1))-AVERAGE(OFFSET($H$3,0,0,'Données projet'!$E$15+1,1))</f>
        <v>130.66539383144681</v>
      </c>
      <c r="EP59" s="59">
        <f t="shared" si="46"/>
        <v>126.36398121441903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29.686195064063817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29.686195064063817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8.8225000000000016</v>
      </c>
      <c r="FE59" s="12">
        <f>IF('Données projet'!$A$218&gt;35,FE58+FD59-FM58,IF(A59&lt;'Données projet'!$A$218,$FB$205^A59,IF(A59='Données projet'!$A$218,'Données projet'!$B$218,FE58+FD59-FM58)))</f>
        <v>190.83250000000004</v>
      </c>
      <c r="FF59" s="17">
        <f>FE59*VLOOKUP('Données projet'!$B$16,Paramètres!$A$1:$I$89,3,0)*VLOOKUP('Données projet'!$B$16,Paramètres!$A$1:$I$89,5,0)</f>
        <v>184.57319400000003</v>
      </c>
      <c r="FG59" s="13">
        <f t="shared" si="47"/>
        <v>46.338147140615611</v>
      </c>
      <c r="FH59" s="20">
        <f t="shared" si="22"/>
        <v>402.17058581990551</v>
      </c>
      <c r="FI59" s="59">
        <f t="shared" si="23"/>
        <v>695.50391915323883</v>
      </c>
      <c r="FJ59" s="59">
        <f ca="1">AVERAGE(OFFSET($FI$3,0,0,'Données projet'!$E$16+1,1))-AVERAGE(OFFSET($H$3,0,0,'Données projet'!$E$16+1,1))</f>
        <v>380.43199889536805</v>
      </c>
      <c r="FK59" s="59">
        <f t="shared" si="48"/>
        <v>154.72646317672996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46.038739788083973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46.038739788083973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9.75</v>
      </c>
      <c r="N60" s="13">
        <f>IF('Données projet'!$A$36&gt;35,N59+M60-V59,IF(A60&lt;'Données projet'!$A$36,$K$205^A60,IF(A60='Données projet'!$A$36,'Données projet'!$B$36,N59+M60-V59)))</f>
        <v>274.75</v>
      </c>
      <c r="O60" s="13">
        <f>N60*VLOOKUP('Données projet'!$B$9,Paramètres!$A$1:$I$89,3,0)*VLOOKUP('Données projet'!$B$9,Paramètres!$A$1:$I$89,5,0)</f>
        <v>171.44399999999999</v>
      </c>
      <c r="P60" s="13">
        <f t="shared" si="33"/>
        <v>43.413272173627242</v>
      </c>
      <c r="Q60" s="20">
        <f t="shared" si="53"/>
        <v>374.20974903573409</v>
      </c>
      <c r="R60" s="59">
        <f t="shared" si="0"/>
        <v>667.54308236906741</v>
      </c>
      <c r="S60" s="59">
        <f ca="1">AVERAGE(OFFSET($R$3,0,0,'Données projet'!$E$9+1,1))-AVERAGE(OFFSET($H$3,0,0,'Données projet'!$E$9+1,1))</f>
        <v>179.44051550872138</v>
      </c>
      <c r="T60" s="59">
        <f t="shared" si="34"/>
        <v>272.9500808380069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72.05322176202074</v>
      </c>
      <c r="AA60" s="21">
        <f>EXP(-LN(2)/25)*AA59+(1-EXP(-LN(2)/25))/(LN(2)/25)*Calculateur!V60*Calculateur!X60*VLOOKUP('Données projet'!$B$9,Paramètres!$A$1:$I$89,3,0)*0.475*44/12</f>
        <v>22.889641344993212</v>
      </c>
      <c r="AB60" s="21">
        <f>EXP(-LN(2)/2)*AB59+(1-EXP(-LN(2)/2))/(LN(2)/2)*V60*Y60*VLOOKUP('Données projet'!$B$9,Paramètres!$A$1:$I$89,3,0)*0.475*44/12</f>
        <v>1.905746843439708E-5</v>
      </c>
      <c r="AC60" s="22">
        <f t="shared" si="3"/>
        <v>94.942882164482384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17.501999999999999</v>
      </c>
      <c r="AI60" s="13">
        <f>IF('Données projet'!$A$62&gt;35,AI59+AH60-AQ59,IF(A60&lt;'Données projet'!$A$62,$AF$205^A60,IF(A60='Données projet'!$A$62,'Données projet'!$B$62,AI59+AH60-AQ59)))</f>
        <v>382.49399999999991</v>
      </c>
      <c r="AJ60" s="13">
        <f>AI60*VLOOKUP('Données projet'!$B$10,Paramètres!$A$1:$I$89,3,0)*VLOOKUP('Données projet'!$B$10,Paramètres!$A$1:$I$89,5,0)</f>
        <v>183.97961399999994</v>
      </c>
      <c r="AK60" s="13">
        <f t="shared" si="35"/>
        <v>46.206446957289053</v>
      </c>
      <c r="AL60" s="20">
        <f t="shared" si="4"/>
        <v>400.9073895006116</v>
      </c>
      <c r="AM60" s="59">
        <f t="shared" si="5"/>
        <v>694.24072283394491</v>
      </c>
      <c r="AN60" s="59">
        <f ca="1">AVERAGE(OFFSET($AM$3,0,0,'Données projet'!$E$10+1,1))-AVERAGE(OFFSET($H$3,0,0,'Données projet'!$E$10+1,1))</f>
        <v>174.18188687702559</v>
      </c>
      <c r="AO60" s="59">
        <f t="shared" si="36"/>
        <v>32.17353897322738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31.556468896088283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31.556468896088283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0.8600000000003547</v>
      </c>
      <c r="BE60" s="13">
        <f>BD60*VLOOKUP('Données projet'!$B$11,Paramètres!$A$1:$I$89,3,0)*VLOOKUP('Données projet'!$B$11,Paramètres!$A$1:$I$89,5,0)</f>
        <v>0.48074000000019829</v>
      </c>
      <c r="BF60" s="13">
        <f t="shared" si="37"/>
        <v>0.24126147010950588</v>
      </c>
      <c r="BG60" s="20">
        <f t="shared" si="7"/>
        <v>1.2574858937744013</v>
      </c>
      <c r="BH60" s="59">
        <f t="shared" si="8"/>
        <v>294.59081922710772</v>
      </c>
      <c r="BI60" s="59">
        <f ca="1">AVERAGE(OFFSET($BH$3,0,0,'Données projet'!$E$11+1,1))-AVERAGE(OFFSET($H$3,0,0,'Données projet'!$E$11+1,1))</f>
        <v>350.01600895263641</v>
      </c>
      <c r="BJ60" s="59">
        <f t="shared" si="38"/>
        <v>464.08921044376882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357.35165459888822</v>
      </c>
      <c r="BQ60" s="21">
        <f>EXP(-LN(2)/25)*BQ59+(1-EXP(-LN(2)/25))/(LN(2)/25)*Calculateur!BL60*Calculateur!BN60*VLOOKUP('Données projet'!$B$11,Paramètres!$A$1:$I$89,3,0)*0.475*44/12</f>
        <v>23.921669072598696</v>
      </c>
      <c r="BR60" s="21">
        <f>EXP(-LN(2)/2)*BR59+(1-EXP(-LN(2)/2))/(LN(2)/2)*BL60*BO60*VLOOKUP('Données projet'!$B$11,Paramètres!$A$1:$I$89,3,0)*0.475*44/12</f>
        <v>6.3867532182550337E-5</v>
      </c>
      <c r="BS60" s="22">
        <f t="shared" si="9"/>
        <v>381.2733875390191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768.85929501779003</v>
      </c>
      <c r="CD60" s="59">
        <f ca="1">AVERAGE(OFFSET($CC$3,0,0,'Données projet'!$E$12+1,1))-AVERAGE(OFFSET($H$3,0,0,'Données projet'!$E$12+1,1))</f>
        <v>279.49721661620544</v>
      </c>
      <c r="CE60" s="59">
        <f t="shared" si="40"/>
        <v>275.18739333988754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45.903837435008931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45.903837435008931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8.8225000000000016</v>
      </c>
      <c r="CT60" s="12">
        <f>IF('Données projet'!$A$140&gt;35,CT59+CS60-DB59,IF(A60&lt;'Données projet'!$A$140,$CQ$205^A60,IF(A60='Données projet'!$A$140,'Données projet'!$B$140,CT59+CS60-DB59)))</f>
        <v>199.65500000000003</v>
      </c>
      <c r="CU60" s="17">
        <f>CT60*VLOOKUP('Données projet'!$B$13,Paramètres!$A$1:$I$89,3,0)*VLOOKUP('Données projet'!$B$13,Paramètres!$A$1:$I$89,5,0)</f>
        <v>202.45017000000004</v>
      </c>
      <c r="CV60" s="13">
        <f t="shared" si="41"/>
        <v>50.282258740066162</v>
      </c>
      <c r="CW60" s="20">
        <f t="shared" si="13"/>
        <v>440.17564672228195</v>
      </c>
      <c r="CX60" s="59">
        <f t="shared" si="14"/>
        <v>733.50898005561521</v>
      </c>
      <c r="CY60" s="59">
        <f ca="1">AVERAGE(OFFSET($CX$3,0,0,'Données projet'!$E$13+1,1))-AVERAGE(OFFSET($H$3,0,0,'Données projet'!$E$13+1,1))</f>
        <v>402.54350692668021</v>
      </c>
      <c r="CZ60" s="59">
        <f t="shared" si="42"/>
        <v>163.60655196884522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47.319945674360966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47.319945674360966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10.8</v>
      </c>
      <c r="DO60" s="12">
        <f>IF('Données projet'!$A$166&gt;35,DO59+DN60-DW59,IF(A60&lt;'Données projet'!$A$166,$DL$205^A60,IF(A60='Données projet'!$A$166,'Données projet'!$B$166,DO59+DN60-DW59)))</f>
        <v>237.60000000000005</v>
      </c>
      <c r="DP60" s="17">
        <f>DO60*VLOOKUP('Données projet'!$B$14,Paramètres!$A$1:$I$89,3,0)*VLOOKUP('Données projet'!$B$14,Paramètres!$A$1:$I$89,5,0)</f>
        <v>203.86080000000007</v>
      </c>
      <c r="DQ60" s="13">
        <f t="shared" si="43"/>
        <v>50.591708220421786</v>
      </c>
      <c r="DR60" s="20">
        <f t="shared" si="16"/>
        <v>443.17145181723475</v>
      </c>
      <c r="DS60" s="59">
        <f t="shared" si="17"/>
        <v>736.50478515056807</v>
      </c>
      <c r="DT60" s="59">
        <f ca="1">AVERAGE(OFFSET($DS$3,0,0,'Données projet'!$E$14+1,1))-AVERAGE(OFFSET($H$3,0,0,'Données projet'!$E$14+1,1))</f>
        <v>352.76625414822473</v>
      </c>
      <c r="DU60" s="59">
        <f t="shared" si="44"/>
        <v>186.48649111821521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56.037317333294759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56.037317333294759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6.0096153837500026</v>
      </c>
      <c r="EJ60" s="12">
        <f>IF('Données projet'!$A$192&gt;35,EJ59+EI60-ER59,IF(A60&lt;'Données projet'!$A$192,$EG$205^A60,IF(A60='Données projet'!$A$192,'Données projet'!$B$192,EJ59+EI60-ER59)))</f>
        <v>172.35576924875005</v>
      </c>
      <c r="EK60" s="17">
        <f>EJ60*VLOOKUP('Données projet'!$B$15,Paramètres!$A$1:$I$89,3,0)*VLOOKUP('Données projet'!$B$15,Paramètres!$A$1:$I$89,5,0)</f>
        <v>134.43750001402503</v>
      </c>
      <c r="EL60" s="13">
        <f t="shared" si="45"/>
        <v>35.019723668228849</v>
      </c>
      <c r="EM60" s="20">
        <f t="shared" si="19"/>
        <v>295.1379979132588</v>
      </c>
      <c r="EN60" s="59">
        <f t="shared" si="20"/>
        <v>588.47133124659217</v>
      </c>
      <c r="EO60" s="59">
        <f ca="1">AVERAGE(OFFSET($EN$3,0,0,'Données projet'!$E$15+1,1))-AVERAGE(OFFSET($H$3,0,0,'Données projet'!$E$15+1,1))</f>
        <v>130.66539383144681</v>
      </c>
      <c r="EP60" s="59">
        <f t="shared" si="46"/>
        <v>126.36398121441903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29.104066885648617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29.104066885648617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8.8225000000000016</v>
      </c>
      <c r="FE60" s="12">
        <f>IF('Données projet'!$A$218&gt;35,FE59+FD60-FM59,IF(A60&lt;'Données projet'!$A$218,$FB$205^A60,IF(A60='Données projet'!$A$218,'Données projet'!$B$218,FE59+FD60-FM59)))</f>
        <v>199.65500000000003</v>
      </c>
      <c r="FF60" s="17">
        <f>FE60*VLOOKUP('Données projet'!$B$16,Paramètres!$A$1:$I$89,3,0)*VLOOKUP('Données projet'!$B$16,Paramètres!$A$1:$I$89,5,0)</f>
        <v>193.10631600000005</v>
      </c>
      <c r="FG60" s="13">
        <f t="shared" si="47"/>
        <v>48.226065692576078</v>
      </c>
      <c r="FH60" s="20">
        <f t="shared" si="22"/>
        <v>420.32056478123673</v>
      </c>
      <c r="FI60" s="59">
        <f t="shared" si="23"/>
        <v>713.65389811456998</v>
      </c>
      <c r="FJ60" s="59">
        <f ca="1">AVERAGE(OFFSET($FI$3,0,0,'Données projet'!$E$16+1,1))-AVERAGE(OFFSET($H$3,0,0,'Données projet'!$E$16+1,1))</f>
        <v>380.43199889536805</v>
      </c>
      <c r="FK60" s="59">
        <f t="shared" si="48"/>
        <v>154.72646317672996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45.135948181698161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45.135948181698161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9.75</v>
      </c>
      <c r="N61" s="13">
        <f>IF('Données projet'!$A$36&gt;35,N60+M61-V60,IF(A61&lt;'Données projet'!$A$36,$K$205^A61,IF(A61='Données projet'!$A$36,'Données projet'!$B$36,N60+M61-V60)))</f>
        <v>284.5</v>
      </c>
      <c r="O61" s="13">
        <f>N61*VLOOKUP('Données projet'!$B$9,Paramètres!$A$1:$I$89,3,0)*VLOOKUP('Données projet'!$B$9,Paramètres!$A$1:$I$89,5,0)</f>
        <v>177.52800000000002</v>
      </c>
      <c r="P61" s="13">
        <f t="shared" si="33"/>
        <v>44.771769863863661</v>
      </c>
      <c r="Q61" s="20">
        <f t="shared" si="53"/>
        <v>387.17209917956257</v>
      </c>
      <c r="R61" s="59">
        <f t="shared" si="0"/>
        <v>680.50543251289582</v>
      </c>
      <c r="S61" s="59">
        <f ca="1">AVERAGE(OFFSET($R$3,0,0,'Données projet'!$E$9+1,1))-AVERAGE(OFFSET($H$3,0,0,'Données projet'!$E$9+1,1))</f>
        <v>179.44051550872138</v>
      </c>
      <c r="T61" s="59">
        <f t="shared" si="34"/>
        <v>272.9500808380069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70.640302031393276</v>
      </c>
      <c r="AA61" s="21">
        <f>EXP(-LN(2)/25)*AA60+(1-EXP(-LN(2)/25))/(LN(2)/25)*Calculateur!V61*Calculateur!X61*VLOOKUP('Données projet'!$B$9,Paramètres!$A$1:$I$89,3,0)*0.475*44/12</f>
        <v>22.263722898700451</v>
      </c>
      <c r="AB61" s="21">
        <f>EXP(-LN(2)/2)*AB60+(1-EXP(-LN(2)/2))/(LN(2)/2)*V61*Y61*VLOOKUP('Données projet'!$B$9,Paramètres!$A$1:$I$89,3,0)*0.475*44/12</f>
        <v>1.3475665162210753E-5</v>
      </c>
      <c r="AC61" s="22">
        <f t="shared" si="3"/>
        <v>92.904038405758882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17.501999999999999</v>
      </c>
      <c r="AI61" s="13">
        <f>IF('Données projet'!$A$62&gt;35,AI60+AH61-AQ60,IF(A61&lt;'Données projet'!$A$62,$AF$205^A61,IF(A61='Données projet'!$A$62,'Données projet'!$B$62,AI60+AH61-AQ60)))</f>
        <v>399.99599999999992</v>
      </c>
      <c r="AJ61" s="13">
        <f>AI61*VLOOKUP('Données projet'!$B$10,Paramètres!$A$1:$I$89,3,0)*VLOOKUP('Données projet'!$B$10,Paramètres!$A$1:$I$89,5,0)</f>
        <v>192.39807599999995</v>
      </c>
      <c r="AK61" s="13">
        <f t="shared" si="35"/>
        <v>48.069745769565571</v>
      </c>
      <c r="AL61" s="20">
        <f t="shared" si="4"/>
        <v>418.81478958199324</v>
      </c>
      <c r="AM61" s="59">
        <f t="shared" si="5"/>
        <v>712.14812291532655</v>
      </c>
      <c r="AN61" s="59">
        <f ca="1">AVERAGE(OFFSET($AM$3,0,0,'Données projet'!$E$10+1,1))-AVERAGE(OFFSET($H$3,0,0,'Données projet'!$E$10+1,1))</f>
        <v>174.18188687702559</v>
      </c>
      <c r="AO61" s="59">
        <f t="shared" si="36"/>
        <v>32.17353897322738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30.93766578858148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30.93766578858148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0.8600000000003547</v>
      </c>
      <c r="BE61" s="13">
        <f>BD61*VLOOKUP('Données projet'!$B$11,Paramètres!$A$1:$I$89,3,0)*VLOOKUP('Données projet'!$B$11,Paramètres!$A$1:$I$89,5,0)</f>
        <v>0.48074000000019829</v>
      </c>
      <c r="BF61" s="13">
        <f t="shared" si="37"/>
        <v>0.24126147010950588</v>
      </c>
      <c r="BG61" s="20">
        <f t="shared" si="7"/>
        <v>1.2574858937744013</v>
      </c>
      <c r="BH61" s="59">
        <f t="shared" si="8"/>
        <v>294.59081922710772</v>
      </c>
      <c r="BI61" s="59">
        <f ca="1">AVERAGE(OFFSET($BH$3,0,0,'Données projet'!$E$11+1,1))-AVERAGE(OFFSET($H$3,0,0,'Données projet'!$E$11+1,1))</f>
        <v>350.01600895263641</v>
      </c>
      <c r="BJ61" s="59">
        <f t="shared" si="38"/>
        <v>464.08921044376882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350.34420661519124</v>
      </c>
      <c r="BQ61" s="21">
        <f>EXP(-LN(2)/25)*BQ60+(1-EXP(-LN(2)/25))/(LN(2)/25)*Calculateur!BL61*Calculateur!BN61*VLOOKUP('Données projet'!$B$11,Paramètres!$A$1:$I$89,3,0)*0.475*44/12</f>
        <v>23.267529773822581</v>
      </c>
      <c r="BR61" s="21">
        <f>EXP(-LN(2)/2)*BR60+(1-EXP(-LN(2)/2))/(LN(2)/2)*BL61*BO61*VLOOKUP('Données projet'!$B$11,Paramètres!$A$1:$I$89,3,0)*0.475*44/12</f>
        <v>4.5161165103931405E-5</v>
      </c>
      <c r="BS61" s="22">
        <f t="shared" si="9"/>
        <v>373.61178155017888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779.31614946902209</v>
      </c>
      <c r="CD61" s="59">
        <f ca="1">AVERAGE(OFFSET($CC$3,0,0,'Données projet'!$E$12+1,1))-AVERAGE(OFFSET($H$3,0,0,'Données projet'!$E$12+1,1))</f>
        <v>279.49721661620544</v>
      </c>
      <c r="CE61" s="59">
        <f t="shared" si="40"/>
        <v>275.18739333988754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45.003691181484612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45.003691181484612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8.8225000000000016</v>
      </c>
      <c r="CT61" s="12">
        <f>IF('Données projet'!$A$140&gt;35,CT60+CS61-DB60,IF(A61&lt;'Données projet'!$A$140,$CQ$205^A61,IF(A61='Données projet'!$A$140,'Données projet'!$B$140,CT60+CS61-DB60)))</f>
        <v>208.47750000000002</v>
      </c>
      <c r="CU61" s="17">
        <f>CT61*VLOOKUP('Données projet'!$B$13,Paramètres!$A$1:$I$89,3,0)*VLOOKUP('Données projet'!$B$13,Paramètres!$A$1:$I$89,5,0)</f>
        <v>211.39618500000003</v>
      </c>
      <c r="CV61" s="13">
        <f t="shared" si="41"/>
        <v>52.240569482550697</v>
      </c>
      <c r="CW61" s="20">
        <f t="shared" si="13"/>
        <v>459.1673473904425</v>
      </c>
      <c r="CX61" s="59">
        <f t="shared" si="14"/>
        <v>752.50068072377576</v>
      </c>
      <c r="CY61" s="59">
        <f ca="1">AVERAGE(OFFSET($CX$3,0,0,'Données projet'!$E$13+1,1))-AVERAGE(OFFSET($H$3,0,0,'Données projet'!$E$13+1,1))</f>
        <v>402.54350692668021</v>
      </c>
      <c r="CZ61" s="59">
        <f t="shared" si="42"/>
        <v>163.60655196884522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46.392030402003691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46.392030402003691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10.8</v>
      </c>
      <c r="DO61" s="12">
        <f>IF('Données projet'!$A$166&gt;35,DO60+DN61-DW60,IF(A61&lt;'Données projet'!$A$166,$DL$205^A61,IF(A61='Données projet'!$A$166,'Données projet'!$B$166,DO60+DN61-DW60)))</f>
        <v>248.40000000000006</v>
      </c>
      <c r="DP61" s="17">
        <f>DO61*VLOOKUP('Données projet'!$B$14,Paramètres!$A$1:$I$89,3,0)*VLOOKUP('Données projet'!$B$14,Paramètres!$A$1:$I$89,5,0)</f>
        <v>213.12720000000004</v>
      </c>
      <c r="DQ61" s="13">
        <f t="shared" si="43"/>
        <v>52.618368568459893</v>
      </c>
      <c r="DR61" s="20">
        <f t="shared" si="16"/>
        <v>462.8401985900677</v>
      </c>
      <c r="DS61" s="59">
        <f t="shared" si="17"/>
        <v>756.17353192340101</v>
      </c>
      <c r="DT61" s="59">
        <f ca="1">AVERAGE(OFFSET($DS$3,0,0,'Données projet'!$E$14+1,1))-AVERAGE(OFFSET($H$3,0,0,'Données projet'!$E$14+1,1))</f>
        <v>352.76625414822473</v>
      </c>
      <c r="DU61" s="59">
        <f t="shared" si="44"/>
        <v>186.48649111821521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54.938459719777491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54.938459719777491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6.0096153837500026</v>
      </c>
      <c r="EJ61" s="12">
        <f>IF('Données projet'!$A$192&gt;35,EJ60+EI61-ER60,IF(A61&lt;'Données projet'!$A$192,$EG$205^A61,IF(A61='Données projet'!$A$192,'Données projet'!$B$192,EJ60+EI61-ER60)))</f>
        <v>178.36538463250005</v>
      </c>
      <c r="EK61" s="17">
        <f>EJ61*VLOOKUP('Données projet'!$B$15,Paramètres!$A$1:$I$89,3,0)*VLOOKUP('Données projet'!$B$15,Paramètres!$A$1:$I$89,5,0)</f>
        <v>139.12500001335005</v>
      </c>
      <c r="EL61" s="13">
        <f t="shared" si="45"/>
        <v>36.096482201309165</v>
      </c>
      <c r="EM61" s="20">
        <f t="shared" si="19"/>
        <v>305.17741485719807</v>
      </c>
      <c r="EN61" s="59">
        <f t="shared" si="20"/>
        <v>598.51074819053133</v>
      </c>
      <c r="EO61" s="59">
        <f ca="1">AVERAGE(OFFSET($EN$3,0,0,'Données projet'!$E$15+1,1))-AVERAGE(OFFSET($H$3,0,0,'Données projet'!$E$15+1,1))</f>
        <v>130.66539383144681</v>
      </c>
      <c r="EP61" s="59">
        <f t="shared" si="46"/>
        <v>126.36398121441903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28.533353885749012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28.533353885749012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8.8225000000000016</v>
      </c>
      <c r="FE61" s="12">
        <f>IF('Données projet'!$A$218&gt;35,FE60+FD61-FM60,IF(A61&lt;'Données projet'!$A$218,$FB$205^A61,IF(A61='Données projet'!$A$218,'Données projet'!$B$218,FE60+FD61-FM60)))</f>
        <v>208.47750000000002</v>
      </c>
      <c r="FF61" s="17">
        <f>FE61*VLOOKUP('Données projet'!$B$16,Paramètres!$A$1:$I$89,3,0)*VLOOKUP('Données projet'!$B$16,Paramètres!$A$1:$I$89,5,0)</f>
        <v>201.63943800000004</v>
      </c>
      <c r="FG61" s="13">
        <f t="shared" si="47"/>
        <v>50.104295208910102</v>
      </c>
      <c r="FH61" s="20">
        <f t="shared" si="22"/>
        <v>438.45366867218513</v>
      </c>
      <c r="FI61" s="59">
        <f t="shared" si="23"/>
        <v>731.78700200551839</v>
      </c>
      <c r="FJ61" s="59">
        <f ca="1">AVERAGE(OFFSET($FI$3,0,0,'Données projet'!$E$16+1,1))-AVERAGE(OFFSET($H$3,0,0,'Données projet'!$E$16+1,1))</f>
        <v>380.43199889536805</v>
      </c>
      <c r="FK61" s="59">
        <f t="shared" si="48"/>
        <v>154.72646317672996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44.250859768065069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44.250859768065069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9.75</v>
      </c>
      <c r="N62" s="13">
        <f>IF('Données projet'!$A$36&gt;35,N61+M62-V61,IF(A62&lt;'Données projet'!$A$36,$K$205^A62,IF(A62='Données projet'!$A$36,'Données projet'!$B$36,N61+M62-V61)))</f>
        <v>294.25</v>
      </c>
      <c r="O62" s="13">
        <f>N62*VLOOKUP('Données projet'!$B$9,Paramètres!$A$1:$I$89,3,0)*VLOOKUP('Données projet'!$B$9,Paramètres!$A$1:$I$89,5,0)</f>
        <v>183.61199999999999</v>
      </c>
      <c r="P62" s="13">
        <f t="shared" si="33"/>
        <v>46.124858041839339</v>
      </c>
      <c r="Q62" s="20">
        <f t="shared" si="53"/>
        <v>400.12502775620351</v>
      </c>
      <c r="R62" s="59">
        <f t="shared" si="0"/>
        <v>693.45836108953677</v>
      </c>
      <c r="S62" s="59">
        <f ca="1">AVERAGE(OFFSET($R$3,0,0,'Données projet'!$E$9+1,1))-AVERAGE(OFFSET($H$3,0,0,'Données projet'!$E$9+1,1))</f>
        <v>179.44051550872138</v>
      </c>
      <c r="T62" s="59">
        <f t="shared" si="34"/>
        <v>272.9500808380069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69.25508879488747</v>
      </c>
      <c r="AA62" s="21">
        <f>EXP(-LN(2)/25)*AA61+(1-EXP(-LN(2)/25))/(LN(2)/25)*Calculateur!V62*Calculateur!X62*VLOOKUP('Données projet'!$B$9,Paramètres!$A$1:$I$89,3,0)*0.475*44/12</f>
        <v>21.654920225237184</v>
      </c>
      <c r="AB62" s="21">
        <f>EXP(-LN(2)/2)*AB61+(1-EXP(-LN(2)/2))/(LN(2)/2)*V62*Y62*VLOOKUP('Données projet'!$B$9,Paramètres!$A$1:$I$89,3,0)*0.475*44/12</f>
        <v>9.5287342171985401E-6</v>
      </c>
      <c r="AC62" s="22">
        <f t="shared" si="3"/>
        <v>90.910018548858858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17.501999999999999</v>
      </c>
      <c r="AI62" s="13">
        <f>IF('Données projet'!$A$62&gt;35,AI61+AH62-AQ61,IF(A62&lt;'Données projet'!$A$62,$AF$205^A62,IF(A62='Données projet'!$A$62,'Données projet'!$B$62,AI61+AH62-AQ61)))</f>
        <v>417.49799999999993</v>
      </c>
      <c r="AJ62" s="13">
        <f>AI62*VLOOKUP('Données projet'!$B$10,Paramètres!$A$1:$I$89,3,0)*VLOOKUP('Données projet'!$B$10,Paramètres!$A$1:$I$89,5,0)</f>
        <v>200.81653799999998</v>
      </c>
      <c r="AK62" s="13">
        <f t="shared" si="35"/>
        <v>49.923575488625474</v>
      </c>
      <c r="AL62" s="20">
        <f t="shared" si="4"/>
        <v>436.70569765935602</v>
      </c>
      <c r="AM62" s="59">
        <f t="shared" si="5"/>
        <v>730.03903099268928</v>
      </c>
      <c r="AN62" s="59">
        <f ca="1">AVERAGE(OFFSET($AM$3,0,0,'Données projet'!$E$10+1,1))-AVERAGE(OFFSET($H$3,0,0,'Données projet'!$E$10+1,1))</f>
        <v>174.18188687702559</v>
      </c>
      <c r="AO62" s="59">
        <f t="shared" si="36"/>
        <v>32.17353897322738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30.33099703258026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30.33099703258026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0.8600000000003547</v>
      </c>
      <c r="BE62" s="13">
        <f>BD62*VLOOKUP('Données projet'!$B$11,Paramètres!$A$1:$I$89,3,0)*VLOOKUP('Données projet'!$B$11,Paramètres!$A$1:$I$89,5,0)</f>
        <v>0.48074000000019829</v>
      </c>
      <c r="BF62" s="13">
        <f t="shared" si="37"/>
        <v>0.24126147010950588</v>
      </c>
      <c r="BG62" s="20">
        <f t="shared" si="7"/>
        <v>1.2574858937744013</v>
      </c>
      <c r="BH62" s="59">
        <f t="shared" si="8"/>
        <v>294.59081922710772</v>
      </c>
      <c r="BI62" s="59">
        <f ca="1">AVERAGE(OFFSET($BH$3,0,0,'Données projet'!$E$11+1,1))-AVERAGE(OFFSET($H$3,0,0,'Données projet'!$E$11+1,1))</f>
        <v>350.01600895263641</v>
      </c>
      <c r="BJ62" s="59">
        <f t="shared" si="38"/>
        <v>464.08921044376882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343.47417041233336</v>
      </c>
      <c r="BQ62" s="21">
        <f>EXP(-LN(2)/25)*BQ61+(1-EXP(-LN(2)/25))/(LN(2)/25)*Calculateur!BL62*Calculateur!BN62*VLOOKUP('Données projet'!$B$11,Paramètres!$A$1:$I$89,3,0)*0.475*44/12</f>
        <v>22.631277948571189</v>
      </c>
      <c r="BR62" s="21">
        <f>EXP(-LN(2)/2)*BR61+(1-EXP(-LN(2)/2))/(LN(2)/2)*BL62*BO62*VLOOKUP('Données projet'!$B$11,Paramètres!$A$1:$I$89,3,0)*0.475*44/12</f>
        <v>3.1933766091275169E-5</v>
      </c>
      <c r="BS62" s="22">
        <f t="shared" si="9"/>
        <v>366.10548029467066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789.7682282466053</v>
      </c>
      <c r="CD62" s="59">
        <f ca="1">AVERAGE(OFFSET($CC$3,0,0,'Données projet'!$E$12+1,1))-AVERAGE(OFFSET($H$3,0,0,'Données projet'!$E$12+1,1))</f>
        <v>279.49721661620544</v>
      </c>
      <c r="CE62" s="59">
        <f t="shared" si="40"/>
        <v>275.18739333988754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44.121196246956906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44.121196246956906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217.3</v>
      </c>
      <c r="CR62" s="12">
        <f>VLOOKUP(A62,'Données projet'!$A$139:$I$159,9,0)</f>
        <v>8.8225000000000016</v>
      </c>
      <c r="CS62" s="12">
        <f t="array" ref="CS62">INDEX(CR:CR,MIN(IF(ISNUMBER(CR62:CR258),ROW(CR62:CR258),"")))</f>
        <v>8.8225000000000016</v>
      </c>
      <c r="CT62" s="12">
        <f>IF('Données projet'!$A$140&gt;35,CT61+CS62-DB61,IF(A62&lt;'Données projet'!$A$140,$CQ$205^A62,IF(A62='Données projet'!$A$140,'Données projet'!$B$140,CT61+CS62-DB61)))</f>
        <v>217.3</v>
      </c>
      <c r="CU62" s="17">
        <f>CT62*VLOOKUP('Données projet'!$B$13,Paramètres!$A$1:$I$89,3,0)*VLOOKUP('Données projet'!$B$13,Paramètres!$A$1:$I$89,5,0)</f>
        <v>220.34220000000002</v>
      </c>
      <c r="CV62" s="13">
        <f t="shared" si="41"/>
        <v>54.189254470723576</v>
      </c>
      <c r="CW62" s="20">
        <f t="shared" si="13"/>
        <v>478.14228320317687</v>
      </c>
      <c r="CX62" s="59">
        <f t="shared" si="14"/>
        <v>771.47561653651019</v>
      </c>
      <c r="CY62" s="59">
        <f ca="1">AVERAGE(OFFSET($CX$3,0,0,'Données projet'!$E$13+1,1))-AVERAGE(OFFSET($H$3,0,0,'Données projet'!$E$13+1,1))</f>
        <v>402.54350692668021</v>
      </c>
      <c r="CZ62" s="59">
        <f t="shared" si="42"/>
        <v>163.60655196884522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48.96</v>
      </c>
      <c r="DC62" s="16">
        <f>IF(ISNA(VLOOKUP(A62,'Données projet'!$A$139:$I$159,5,0)),0%,VLOOKUP(A62,'Données projet'!$A$139:$I$159,5,0)*VLOOKUP('Données projet'!$B$13,Paramètres!$A$1:$I$89,7,0))</f>
        <v>0.43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69.081383243683447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69.081383243683447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10.8</v>
      </c>
      <c r="DO62" s="12">
        <f>IF('Données projet'!$A$166&gt;35,DO61+DN62-DW61,IF(A62&lt;'Données projet'!$A$166,$DL$205^A62,IF(A62='Données projet'!$A$166,'Données projet'!$B$166,DO61+DN62-DW61)))</f>
        <v>259.20000000000005</v>
      </c>
      <c r="DP62" s="17">
        <f>DO62*VLOOKUP('Données projet'!$B$14,Paramètres!$A$1:$I$89,3,0)*VLOOKUP('Données projet'!$B$14,Paramètres!$A$1:$I$89,5,0)</f>
        <v>222.39360000000005</v>
      </c>
      <c r="DQ62" s="13">
        <f t="shared" si="43"/>
        <v>54.634794757949287</v>
      </c>
      <c r="DR62" s="20">
        <f t="shared" si="16"/>
        <v>482.49112087009513</v>
      </c>
      <c r="DS62" s="59">
        <f t="shared" si="17"/>
        <v>775.82445420342844</v>
      </c>
      <c r="DT62" s="59">
        <f ca="1">AVERAGE(OFFSET($DS$3,0,0,'Données projet'!$E$14+1,1))-AVERAGE(OFFSET($H$3,0,0,'Données projet'!$E$14+1,1))</f>
        <v>352.76625414822473</v>
      </c>
      <c r="DU62" s="59">
        <f t="shared" si="44"/>
        <v>186.48649111821521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53.86115003382433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53.86115003382433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6.0096153837500026</v>
      </c>
      <c r="EJ62" s="12">
        <f>IF('Données projet'!$A$192&gt;35,EJ61+EI62-ER61,IF(A62&lt;'Données projet'!$A$192,$EG$205^A62,IF(A62='Données projet'!$A$192,'Données projet'!$B$192,EJ61+EI62-ER61)))</f>
        <v>184.37500001625006</v>
      </c>
      <c r="EK62" s="17">
        <f>EJ62*VLOOKUP('Données projet'!$B$15,Paramètres!$A$1:$I$89,3,0)*VLOOKUP('Données projet'!$B$15,Paramètres!$A$1:$I$89,5,0)</f>
        <v>143.81250001267506</v>
      </c>
      <c r="EL62" s="13">
        <f t="shared" si="45"/>
        <v>37.169025294685142</v>
      </c>
      <c r="EM62" s="20">
        <f t="shared" si="19"/>
        <v>315.20948991031895</v>
      </c>
      <c r="EN62" s="59">
        <f t="shared" si="20"/>
        <v>608.54282324365226</v>
      </c>
      <c r="EO62" s="59">
        <f ca="1">AVERAGE(OFFSET($EN$3,0,0,'Données projet'!$E$15+1,1))-AVERAGE(OFFSET($H$3,0,0,'Données projet'!$E$15+1,1))</f>
        <v>130.66539383144681</v>
      </c>
      <c r="EP62" s="59">
        <f t="shared" si="46"/>
        <v>126.36398121441903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27.973832219676879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27.973832219676879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>
        <f>VLOOKUP(A62,'Données projet'!$A$217:$I$237,2,0)</f>
        <v>217.3</v>
      </c>
      <c r="FC62" s="12">
        <f>VLOOKUP(A62,'Données projet'!$A$217:$I$237,9,0)</f>
        <v>8.8225000000000016</v>
      </c>
      <c r="FD62" s="12">
        <f t="array" ref="FD62">INDEX(FC:FC,MIN(IF(ISNUMBER(FC62:FC258),ROW(FC62:FC258),"")))</f>
        <v>8.8225000000000016</v>
      </c>
      <c r="FE62" s="12">
        <f>IF('Données projet'!$A$218&gt;35,FE61+FD62-FM61,IF(A62&lt;'Données projet'!$A$218,$FB$205^A62,IF(A62='Données projet'!$A$218,'Données projet'!$B$218,FE61+FD62-FM61)))</f>
        <v>217.3</v>
      </c>
      <c r="FF62" s="17">
        <f>FE62*VLOOKUP('Données projet'!$B$16,Paramètres!$A$1:$I$89,3,0)*VLOOKUP('Données projet'!$B$16,Paramètres!$A$1:$I$89,5,0)</f>
        <v>210.17256</v>
      </c>
      <c r="FG62" s="13">
        <f t="shared" si="47"/>
        <v>51.973292597026166</v>
      </c>
      <c r="FH62" s="20">
        <f t="shared" si="22"/>
        <v>456.57069327315395</v>
      </c>
      <c r="FI62" s="59">
        <f t="shared" si="23"/>
        <v>749.90402660648726</v>
      </c>
      <c r="FJ62" s="59">
        <f ca="1">AVERAGE(OFFSET($FI$3,0,0,'Données projet'!$E$16+1,1))-AVERAGE(OFFSET($H$3,0,0,'Données projet'!$E$16+1,1))</f>
        <v>380.43199889536805</v>
      </c>
      <c r="FK62" s="59">
        <f t="shared" si="48"/>
        <v>154.72646317672996</v>
      </c>
      <c r="FL62" s="15">
        <f>IF(ISNA(VLOOKUP(A62,'Données projet'!$A$217:$I$237,3,0)),0,VLOOKUP(A62,'Données projet'!$A$217:$I$237,3,0))</f>
        <v>3</v>
      </c>
      <c r="FM62" s="15">
        <f>IF(ISNA(VLOOKUP(A62,'Données projet'!$A$217:$I$237,4,0)),0,VLOOKUP(A62,'Données projet'!$A$217:$I$237,4,0))</f>
        <v>48.96</v>
      </c>
      <c r="FN62" s="16">
        <f>IF(ISNA(VLOOKUP(A62,'Données projet'!$A$217:$I$237,5,0)),0%,VLOOKUP(A62,'Données projet'!$A$217:$I$237,5,0)*VLOOKUP('Données projet'!$B$16,Paramètres!$A$1:$I$89,7,0))</f>
        <v>0.43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65.893011709359598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65.893011709359598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304</v>
      </c>
      <c r="L63" s="12">
        <f>VLOOKUP(A63,'Données projet'!$A$35:$I$55,9,0)</f>
        <v>9.75</v>
      </c>
      <c r="M63" s="12">
        <f t="array" ref="M63">INDEX(L:L,MIN(IF(ISNUMBER(L63:L259),ROW(L63:L259),"")))</f>
        <v>9.75</v>
      </c>
      <c r="N63" s="13">
        <f>IF('Données projet'!$A$36&gt;35,N62+M63-V62,IF(A63&lt;'Données projet'!$A$36,$K$205^A63,IF(A63='Données projet'!$A$36,'Données projet'!$B$36,N62+M63-V62)))</f>
        <v>304</v>
      </c>
      <c r="O63" s="13">
        <f>N63*VLOOKUP('Données projet'!$B$9,Paramètres!$A$1:$I$89,3,0)*VLOOKUP('Données projet'!$B$9,Paramètres!$A$1:$I$89,5,0)</f>
        <v>189.696</v>
      </c>
      <c r="P63" s="13">
        <f t="shared" si="33"/>
        <v>47.472736505152469</v>
      </c>
      <c r="Q63" s="20">
        <f t="shared" si="53"/>
        <v>413.06888274647389</v>
      </c>
      <c r="R63" s="59">
        <f t="shared" si="0"/>
        <v>706.4022160798072</v>
      </c>
      <c r="S63" s="59">
        <f ca="1">AVERAGE(OFFSET($R$3,0,0,'Données projet'!$E$9+1,1))-AVERAGE(OFFSET($H$3,0,0,'Données projet'!$E$9+1,1))</f>
        <v>179.44051550872138</v>
      </c>
      <c r="T63" s="59">
        <f t="shared" si="34"/>
        <v>272.9500808380069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67.897038745052896</v>
      </c>
      <c r="AA63" s="21">
        <f>EXP(-LN(2)/25)*AA62+(1-EXP(-LN(2)/25))/(LN(2)/25)*Calculateur!V63*Calculateur!X63*VLOOKUP('Données projet'!$B$9,Paramètres!$A$1:$I$89,3,0)*0.475*44/12</f>
        <v>21.06276529289531</v>
      </c>
      <c r="AB63" s="21">
        <f>EXP(-LN(2)/2)*AB62+(1-EXP(-LN(2)/2))/(LN(2)/2)*V63*Y63*VLOOKUP('Données projet'!$B$9,Paramètres!$A$1:$I$89,3,0)*0.475*44/12</f>
        <v>6.7378325811053764E-6</v>
      </c>
      <c r="AC63" s="22">
        <f t="shared" si="3"/>
        <v>88.959810775780781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435</v>
      </c>
      <c r="AG63" s="12">
        <f>VLOOKUP(A63,'Données projet'!$A$61:$I$81,9,0)</f>
        <v>17.501999999999999</v>
      </c>
      <c r="AH63" s="12">
        <f t="array" ref="AH63">INDEX(AG:AG,MIN(IF(ISNUMBER(AG63:AG259),ROW(AG63:AG259),"")))</f>
        <v>17.501999999999999</v>
      </c>
      <c r="AI63" s="13">
        <f>IF('Données projet'!$A$62&gt;35,AI62+AH63-AQ62,IF(A63&lt;'Données projet'!$A$62,$AF$205^A63,IF(A63='Données projet'!$A$62,'Données projet'!$B$62,AI62+AH63-AQ62)))</f>
        <v>434.99999999999994</v>
      </c>
      <c r="AJ63" s="13">
        <f>AI63*VLOOKUP('Données projet'!$B$10,Paramètres!$A$1:$I$89,3,0)*VLOOKUP('Données projet'!$B$10,Paramètres!$A$1:$I$89,5,0)</f>
        <v>209.23499999999999</v>
      </c>
      <c r="AK63" s="13">
        <f t="shared" si="35"/>
        <v>51.768378460242751</v>
      </c>
      <c r="AL63" s="20">
        <f t="shared" si="4"/>
        <v>454.58088415158949</v>
      </c>
      <c r="AM63" s="59">
        <f t="shared" si="5"/>
        <v>747.9142174849228</v>
      </c>
      <c r="AN63" s="59">
        <f ca="1">AVERAGE(OFFSET($AM$3,0,0,'Données projet'!$E$10+1,1))-AVERAGE(OFFSET($H$3,0,0,'Données projet'!$E$10+1,1))</f>
        <v>174.18188687702559</v>
      </c>
      <c r="AO63" s="59">
        <f t="shared" si="36"/>
        <v>32.17353897322738</v>
      </c>
      <c r="AP63" s="15">
        <f>IF(ISNA(VLOOKUP(A63,'Données projet'!$A$61:$I$81,3,0)),0,VLOOKUP(A63,'Données projet'!$A$61:$I$81,3,0))</f>
        <v>2</v>
      </c>
      <c r="AQ63" s="15">
        <f>IF(ISNA(VLOOKUP(A63,'Données projet'!$A$61:$I$81,4,0)),0,VLOOKUP(A63,'Données projet'!$A$61:$I$81,4,0))</f>
        <v>143.41999999999999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80.068416200234992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80.068416200234992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0.8600000000003547</v>
      </c>
      <c r="BE63" s="13">
        <f>BD63*VLOOKUP('Données projet'!$B$11,Paramètres!$A$1:$I$89,3,0)*VLOOKUP('Données projet'!$B$11,Paramètres!$A$1:$I$89,5,0)</f>
        <v>0.48074000000019829</v>
      </c>
      <c r="BF63" s="13">
        <f t="shared" si="37"/>
        <v>0.24126147010950588</v>
      </c>
      <c r="BG63" s="20">
        <f t="shared" si="7"/>
        <v>1.2574858937744013</v>
      </c>
      <c r="BH63" s="59">
        <f t="shared" si="8"/>
        <v>294.59081922710772</v>
      </c>
      <c r="BI63" s="59">
        <f ca="1">AVERAGE(OFFSET($BH$3,0,0,'Données projet'!$E$11+1,1))-AVERAGE(OFFSET($H$3,0,0,'Données projet'!$E$11+1,1))</f>
        <v>350.01600895263641</v>
      </c>
      <c r="BJ63" s="59">
        <f t="shared" si="38"/>
        <v>464.08921044376882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336.73885142910518</v>
      </c>
      <c r="BQ63" s="21">
        <f>EXP(-LN(2)/25)*BQ62+(1-EXP(-LN(2)/25))/(LN(2)/25)*Calculateur!BL63*Calculateur!BN63*VLOOKUP('Données projet'!$B$11,Paramètres!$A$1:$I$89,3,0)*0.475*44/12</f>
        <v>22.012424462940327</v>
      </c>
      <c r="BR63" s="21">
        <f>EXP(-LN(2)/2)*BR62+(1-EXP(-LN(2)/2))/(LN(2)/2)*BL63*BO63*VLOOKUP('Données projet'!$B$11,Paramètres!$A$1:$I$89,3,0)*0.475*44/12</f>
        <v>2.2580582551965702E-5</v>
      </c>
      <c r="BS63" s="22">
        <f t="shared" si="9"/>
        <v>358.75129847262804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800.2156460810221</v>
      </c>
      <c r="CD63" s="59">
        <f ca="1">AVERAGE(OFFSET($CC$3,0,0,'Données projet'!$E$12+1,1))-AVERAGE(OFFSET($H$3,0,0,'Données projet'!$E$12+1,1))</f>
        <v>279.49721661620544</v>
      </c>
      <c r="CE63" s="59">
        <f t="shared" si="40"/>
        <v>275.18739333988754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49.781987275783123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49.781987275783123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8.0925000000000011</v>
      </c>
      <c r="CT63" s="12">
        <f>IF('Données projet'!$A$140&gt;35,CT62+CS63-DB62,IF(A63&lt;'Données projet'!$A$140,$CQ$205^A63,IF(A63='Données projet'!$A$140,'Données projet'!$B$140,CT62+CS63-DB62)))</f>
        <v>176.4325</v>
      </c>
      <c r="CU63" s="17">
        <f>CT63*VLOOKUP('Données projet'!$B$13,Paramètres!$A$1:$I$89,3,0)*VLOOKUP('Données projet'!$B$13,Paramètres!$A$1:$I$89,5,0)</f>
        <v>178.90255500000001</v>
      </c>
      <c r="CV63" s="13">
        <f t="shared" si="41"/>
        <v>45.077938037753576</v>
      </c>
      <c r="CW63" s="20">
        <f t="shared" si="13"/>
        <v>390.09935870742078</v>
      </c>
      <c r="CX63" s="59">
        <f t="shared" si="14"/>
        <v>683.43269204075409</v>
      </c>
      <c r="CY63" s="59">
        <f ca="1">AVERAGE(OFFSET($CX$3,0,0,'Données projet'!$E$13+1,1))-AVERAGE(OFFSET($H$3,0,0,'Données projet'!$E$13+1,1))</f>
        <v>402.54350692668021</v>
      </c>
      <c r="CZ63" s="59">
        <f t="shared" si="42"/>
        <v>163.60655196884522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67.726739453758057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67.726739453758057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270</v>
      </c>
      <c r="DM63" s="12">
        <f>VLOOKUP(A63,'Données projet'!$A$165:$I$185,9,0)</f>
        <v>10.8</v>
      </c>
      <c r="DN63" s="12">
        <f t="array" ref="DN63">INDEX(DM:DM,MIN(IF(ISNUMBER(DM63:DM259),ROW(DM63:DM259),"")))</f>
        <v>10.8</v>
      </c>
      <c r="DO63" s="12">
        <f>IF('Données projet'!$A$166&gt;35,DO62+DN63-DW62,IF(A63&lt;'Données projet'!$A$166,$DL$205^A63,IF(A63='Données projet'!$A$166,'Données projet'!$B$166,DO62+DN63-DW62)))</f>
        <v>270.00000000000006</v>
      </c>
      <c r="DP63" s="17">
        <f>DO63*VLOOKUP('Données projet'!$B$14,Paramètres!$A$1:$I$89,3,0)*VLOOKUP('Données projet'!$B$14,Paramètres!$A$1:$I$89,5,0)</f>
        <v>231.66000000000011</v>
      </c>
      <c r="DQ63" s="13">
        <f t="shared" si="43"/>
        <v>56.641461975682823</v>
      </c>
      <c r="DR63" s="20">
        <f t="shared" si="16"/>
        <v>502.1250462743144</v>
      </c>
      <c r="DS63" s="59">
        <f t="shared" si="17"/>
        <v>795.45837960764766</v>
      </c>
      <c r="DT63" s="59">
        <f ca="1">AVERAGE(OFFSET($DS$3,0,0,'Données projet'!$E$14+1,1))-AVERAGE(OFFSET($H$3,0,0,'Données projet'!$E$14+1,1))</f>
        <v>352.76625414822473</v>
      </c>
      <c r="DU63" s="59">
        <f t="shared" si="44"/>
        <v>186.48649111821521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28</v>
      </c>
      <c r="DX63" s="16">
        <f>IF(ISNA(VLOOKUP(A63,'Données projet'!$A$165:$I$185,5,0)),0%,VLOOKUP(A63,'Données projet'!$A$165:$I$185,5,0)*VLOOKUP('Données projet'!$B$14,Paramètres!$A$1:$I$89,7,0))</f>
        <v>0.53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66.880610544605474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66.880610544605474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190.3846154</v>
      </c>
      <c r="EH63" s="12">
        <f>VLOOKUP(A63,'Données projet'!$A$191:$I$211,9,0)</f>
        <v>6.0096153837500026</v>
      </c>
      <c r="EI63" s="12">
        <f t="array" ref="EI63">INDEX(EH:EH,MIN(IF(ISNUMBER(EH63:EH259),ROW(EH63:EH259),"")))</f>
        <v>6.0096153837500026</v>
      </c>
      <c r="EJ63" s="12">
        <f>IF('Données projet'!$A$192&gt;35,EJ62+EI63-ER62,IF(A63&lt;'Données projet'!$A$192,$EG$205^A63,IF(A63='Données projet'!$A$192,'Données projet'!$B$192,EJ62+EI63-ER62)))</f>
        <v>190.38461540000006</v>
      </c>
      <c r="EK63" s="17">
        <f>EJ63*VLOOKUP('Données projet'!$B$15,Paramètres!$A$1:$I$89,3,0)*VLOOKUP('Données projet'!$B$15,Paramètres!$A$1:$I$89,5,0)</f>
        <v>148.50000001200004</v>
      </c>
      <c r="EL63" s="13">
        <f t="shared" si="45"/>
        <v>38.23750610644047</v>
      </c>
      <c r="EM63" s="20">
        <f t="shared" si="19"/>
        <v>325.23448982295054</v>
      </c>
      <c r="EN63" s="59">
        <f t="shared" si="20"/>
        <v>618.56782315628379</v>
      </c>
      <c r="EO63" s="59">
        <f ca="1">AVERAGE(OFFSET($EN$3,0,0,'Données projet'!$E$15+1,1))-AVERAGE(OFFSET($H$3,0,0,'Données projet'!$E$15+1,1))</f>
        <v>130.66539383144681</v>
      </c>
      <c r="EP63" s="59">
        <f t="shared" si="46"/>
        <v>126.36398121441903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30.128205130000001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38.596060618047858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38.596060618047858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8.0925000000000011</v>
      </c>
      <c r="FE63" s="12">
        <f>IF('Données projet'!$A$218&gt;35,FE62+FD63-FM62,IF(A63&lt;'Données projet'!$A$218,$FB$205^A63,IF(A63='Données projet'!$A$218,'Données projet'!$B$218,FE62+FD63-FM62)))</f>
        <v>176.4325</v>
      </c>
      <c r="FF63" s="17">
        <f>FE63*VLOOKUP('Données projet'!$B$16,Paramètres!$A$1:$I$89,3,0)*VLOOKUP('Données projet'!$B$16,Paramètres!$A$1:$I$89,5,0)</f>
        <v>170.64551399999999</v>
      </c>
      <c r="FG63" s="13">
        <f t="shared" si="47"/>
        <v>43.234565343070656</v>
      </c>
      <c r="FH63" s="20">
        <f t="shared" si="22"/>
        <v>372.50780485584801</v>
      </c>
      <c r="FI63" s="59">
        <f t="shared" si="23"/>
        <v>665.84113818918127</v>
      </c>
      <c r="FJ63" s="59">
        <f ca="1">AVERAGE(OFFSET($FI$3,0,0,'Données projet'!$E$16+1,1))-AVERAGE(OFFSET($H$3,0,0,'Données projet'!$E$16+1,1))</f>
        <v>380.43199889536805</v>
      </c>
      <c r="FK63" s="59">
        <f t="shared" si="48"/>
        <v>154.72646317672996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64.600889940507685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64.600889940507685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304</v>
      </c>
      <c r="O64" s="13">
        <f>N64*VLOOKUP('Données projet'!$B$9,Paramètres!$A$1:$I$89,3,0)*VLOOKUP('Données projet'!$B$9,Paramètres!$A$1:$I$89,5,0)</f>
        <v>189.696</v>
      </c>
      <c r="P64" s="13">
        <f t="shared" si="33"/>
        <v>47.472736505152469</v>
      </c>
      <c r="Q64" s="20">
        <f t="shared" si="53"/>
        <v>413.06888274647389</v>
      </c>
      <c r="R64" s="59">
        <f t="shared" si="0"/>
        <v>706.4022160798072</v>
      </c>
      <c r="S64" s="59">
        <f ca="1">AVERAGE(OFFSET($R$3,0,0,'Données projet'!$E$9+1,1))-AVERAGE(OFFSET($H$3,0,0,'Données projet'!$E$9+1,1))</f>
        <v>179.44051550872138</v>
      </c>
      <c r="T64" s="59">
        <f t="shared" si="34"/>
        <v>272.9500808380069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66.565619228366842</v>
      </c>
      <c r="AA64" s="21">
        <f>EXP(-LN(2)/25)*AA63+(1-EXP(-LN(2)/25))/(LN(2)/25)*Calculateur!V64*Calculateur!X64*VLOOKUP('Données projet'!$B$9,Paramètres!$A$1:$I$89,3,0)*0.475*44/12</f>
        <v>20.486802868318399</v>
      </c>
      <c r="AB64" s="21">
        <f>EXP(-LN(2)/2)*AB63+(1-EXP(-LN(2)/2))/(LN(2)/2)*V64*Y64*VLOOKUP('Données projet'!$B$9,Paramètres!$A$1:$I$89,3,0)*0.475*44/12</f>
        <v>4.7643671085992701E-6</v>
      </c>
      <c r="AC64" s="22">
        <f t="shared" si="3"/>
        <v>87.052426861052339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14.017999999999995</v>
      </c>
      <c r="AI64" s="13">
        <f>IF('Données projet'!$A$62&gt;35,AI63+AH64-AQ63,IF(A64&lt;'Données projet'!$A$62,$AF$205^A64,IF(A64='Données projet'!$A$62,'Données projet'!$B$62,AI63+AH64-AQ63)))</f>
        <v>305.59799999999996</v>
      </c>
      <c r="AJ64" s="13">
        <f>AI64*VLOOKUP('Données projet'!$B$10,Paramètres!$A$1:$I$89,3,0)*VLOOKUP('Données projet'!$B$10,Paramètres!$A$1:$I$89,5,0)</f>
        <v>146.99263799999997</v>
      </c>
      <c r="AK64" s="13">
        <f t="shared" si="35"/>
        <v>37.894348331917669</v>
      </c>
      <c r="AL64" s="20">
        <f t="shared" si="4"/>
        <v>322.01150119475648</v>
      </c>
      <c r="AM64" s="59">
        <f t="shared" si="5"/>
        <v>615.34483452808979</v>
      </c>
      <c r="AN64" s="59">
        <f ca="1">AVERAGE(OFFSET($AM$3,0,0,'Données projet'!$E$10+1,1))-AVERAGE(OFFSET($H$3,0,0,'Données projet'!$E$10+1,1))</f>
        <v>174.18188687702559</v>
      </c>
      <c r="AO64" s="59">
        <f t="shared" si="36"/>
        <v>32.17353897322738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78.498323395460019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78.498323395460019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0.8600000000003547</v>
      </c>
      <c r="BE64" s="13">
        <f>BD64*VLOOKUP('Données projet'!$B$11,Paramètres!$A$1:$I$89,3,0)*VLOOKUP('Données projet'!$B$11,Paramètres!$A$1:$I$89,5,0)</f>
        <v>0.48074000000019829</v>
      </c>
      <c r="BF64" s="13">
        <f t="shared" si="37"/>
        <v>0.24126147010950588</v>
      </c>
      <c r="BG64" s="20">
        <f t="shared" si="7"/>
        <v>1.2574858937744013</v>
      </c>
      <c r="BH64" s="59">
        <f t="shared" si="8"/>
        <v>294.59081922710772</v>
      </c>
      <c r="BI64" s="59">
        <f ca="1">AVERAGE(OFFSET($BH$3,0,0,'Données projet'!$E$11+1,1))-AVERAGE(OFFSET($H$3,0,0,'Données projet'!$E$11+1,1))</f>
        <v>350.01600895263641</v>
      </c>
      <c r="BJ64" s="59">
        <f t="shared" si="38"/>
        <v>464.08921044376882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330.13560794299917</v>
      </c>
      <c r="BQ64" s="21">
        <f>EXP(-LN(2)/25)*BQ63+(1-EXP(-LN(2)/25))/(LN(2)/25)*Calculateur!BL64*Calculateur!BN64*VLOOKUP('Données projet'!$B$11,Paramètres!$A$1:$I$89,3,0)*0.475*44/12</f>
        <v>21.410493558418132</v>
      </c>
      <c r="BR64" s="21">
        <f>EXP(-LN(2)/2)*BR63+(1-EXP(-LN(2)/2))/(LN(2)/2)*BL64*BO64*VLOOKUP('Données projet'!$B$11,Paramètres!$A$1:$I$89,3,0)*0.475*44/12</f>
        <v>1.5966883045637584E-5</v>
      </c>
      <c r="BS64" s="22">
        <f t="shared" si="9"/>
        <v>351.54611746830034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785.3856723863737</v>
      </c>
      <c r="CD64" s="59">
        <f ca="1">AVERAGE(OFFSET($CC$3,0,0,'Données projet'!$E$12+1,1))-AVERAGE(OFFSET($H$3,0,0,'Données projet'!$E$12+1,1))</f>
        <v>279.49721661620544</v>
      </c>
      <c r="CE64" s="59">
        <f t="shared" si="40"/>
        <v>275.18739333988754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48.805792869319056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48.805792869319056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8.0925000000000011</v>
      </c>
      <c r="CT64" s="12">
        <f>IF('Données projet'!$A$140&gt;35,CT63+CS64-DB63,IF(A64&lt;'Données projet'!$A$140,$CQ$205^A64,IF(A64='Données projet'!$A$140,'Données projet'!$B$140,CT63+CS64-DB63)))</f>
        <v>184.52500000000001</v>
      </c>
      <c r="CU64" s="17">
        <f>CT64*VLOOKUP('Données projet'!$B$13,Paramètres!$A$1:$I$89,3,0)*VLOOKUP('Données projet'!$B$13,Paramètres!$A$1:$I$89,5,0)</f>
        <v>187.10835000000003</v>
      </c>
      <c r="CV64" s="13">
        <f t="shared" si="41"/>
        <v>46.900080591755028</v>
      </c>
      <c r="CW64" s="20">
        <f t="shared" si="13"/>
        <v>407.56468328064005</v>
      </c>
      <c r="CX64" s="59">
        <f t="shared" si="14"/>
        <v>700.89801661397337</v>
      </c>
      <c r="CY64" s="59">
        <f ca="1">AVERAGE(OFFSET($CX$3,0,0,'Données projet'!$E$13+1,1))-AVERAGE(OFFSET($H$3,0,0,'Données projet'!$E$13+1,1))</f>
        <v>402.54350692668021</v>
      </c>
      <c r="CZ64" s="59">
        <f t="shared" si="42"/>
        <v>163.60655196884522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66.398659402301988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66.398659402301988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10.4</v>
      </c>
      <c r="DO64" s="12">
        <f>IF('Données projet'!$A$166&gt;35,DO63+DN64-DW63,IF(A64&lt;'Données projet'!$A$166,$DL$205^A64,IF(A64='Données projet'!$A$166,'Données projet'!$B$166,DO63+DN64-DW63)))</f>
        <v>252.40000000000003</v>
      </c>
      <c r="DP64" s="17">
        <f>DO64*VLOOKUP('Données projet'!$B$14,Paramètres!$A$1:$I$89,3,0)*VLOOKUP('Données projet'!$B$14,Paramètres!$A$1:$I$89,5,0)</f>
        <v>216.55920000000003</v>
      </c>
      <c r="DQ64" s="13">
        <f t="shared" si="43"/>
        <v>53.366360125240483</v>
      </c>
      <c r="DR64" s="20">
        <f t="shared" si="16"/>
        <v>470.12035055146049</v>
      </c>
      <c r="DS64" s="59">
        <f t="shared" si="17"/>
        <v>763.4536838847938</v>
      </c>
      <c r="DT64" s="59">
        <f ca="1">AVERAGE(OFFSET($DS$3,0,0,'Données projet'!$E$14+1,1))-AVERAGE(OFFSET($H$3,0,0,'Données projet'!$E$14+1,1))</f>
        <v>352.76625414822473</v>
      </c>
      <c r="DU64" s="59">
        <f t="shared" si="44"/>
        <v>186.48649111821521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65.569122564970201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65.569122564970201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5.5555555588888881</v>
      </c>
      <c r="EJ64" s="12">
        <f>IF('Données projet'!$A$192&gt;35,EJ63+EI64-ER63,IF(A64&lt;'Données projet'!$A$192,$EG$205^A64,IF(A64='Données projet'!$A$192,'Données projet'!$B$192,EJ63+EI64-ER63)))</f>
        <v>165.81196582888896</v>
      </c>
      <c r="EK64" s="17">
        <f>EJ64*VLOOKUP('Données projet'!$B$15,Paramètres!$A$1:$I$89,3,0)*VLOOKUP('Données projet'!$B$15,Paramètres!$A$1:$I$89,5,0)</f>
        <v>129.33333334653338</v>
      </c>
      <c r="EL64" s="13">
        <f t="shared" si="45"/>
        <v>33.842266177437295</v>
      </c>
      <c r="EM64" s="20">
        <f t="shared" si="19"/>
        <v>284.19750250424892</v>
      </c>
      <c r="EN64" s="59">
        <f t="shared" si="20"/>
        <v>577.53083583758223</v>
      </c>
      <c r="EO64" s="59">
        <f ca="1">AVERAGE(OFFSET($EN$3,0,0,'Données projet'!$E$15+1,1))-AVERAGE(OFFSET($H$3,0,0,'Données projet'!$E$15+1,1))</f>
        <v>130.66539383144681</v>
      </c>
      <c r="EP64" s="59">
        <f t="shared" si="46"/>
        <v>126.36398121441903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37.83921541060041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37.83921541060041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8.0925000000000011</v>
      </c>
      <c r="FE64" s="12">
        <f>IF('Données projet'!$A$218&gt;35,FE63+FD64-FM63,IF(A64&lt;'Données projet'!$A$218,$FB$205^A64,IF(A64='Données projet'!$A$218,'Données projet'!$B$218,FE63+FD64-FM63)))</f>
        <v>184.52500000000001</v>
      </c>
      <c r="FF64" s="17">
        <f>FE64*VLOOKUP('Données projet'!$B$16,Paramètres!$A$1:$I$89,3,0)*VLOOKUP('Données projet'!$B$16,Paramètres!$A$1:$I$89,5,0)</f>
        <v>178.47258000000002</v>
      </c>
      <c r="FG64" s="13">
        <f t="shared" si="47"/>
        <v>44.982194998388692</v>
      </c>
      <c r="FH64" s="20">
        <f t="shared" si="22"/>
        <v>389.18373312219364</v>
      </c>
      <c r="FI64" s="59">
        <f t="shared" si="23"/>
        <v>682.5170664555269</v>
      </c>
      <c r="FJ64" s="59">
        <f ca="1">AVERAGE(OFFSET($FI$3,0,0,'Données projet'!$E$16+1,1))-AVERAGE(OFFSET($H$3,0,0,'Données projet'!$E$16+1,1))</f>
        <v>380.43199889536805</v>
      </c>
      <c r="FK64" s="59">
        <f t="shared" si="48"/>
        <v>154.72646317672996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63.334105891426503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63.334105891426503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304</v>
      </c>
      <c r="O65" s="13">
        <f>N65*VLOOKUP('Données projet'!$B$9,Paramètres!$A$1:$I$89,3,0)*VLOOKUP('Données projet'!$B$9,Paramètres!$A$1:$I$89,5,0)</f>
        <v>189.696</v>
      </c>
      <c r="P65" s="13">
        <f t="shared" si="33"/>
        <v>47.472736505152469</v>
      </c>
      <c r="Q65" s="20">
        <f t="shared" si="53"/>
        <v>413.06888274647389</v>
      </c>
      <c r="R65" s="59">
        <f t="shared" si="0"/>
        <v>706.4022160798072</v>
      </c>
      <c r="S65" s="59">
        <f ca="1">AVERAGE(OFFSET($R$3,0,0,'Données projet'!$E$9+1,1))-AVERAGE(OFFSET($H$3,0,0,'Données projet'!$E$9+1,1))</f>
        <v>179.44051550872138</v>
      </c>
      <c r="T65" s="59">
        <f t="shared" si="34"/>
        <v>272.9500808380069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65.260308036317284</v>
      </c>
      <c r="AA65" s="21">
        <f>EXP(-LN(2)/25)*AA64+(1-EXP(-LN(2)/25))/(LN(2)/25)*Calculateur!V65*Calculateur!X65*VLOOKUP('Données projet'!$B$9,Paramètres!$A$1:$I$89,3,0)*0.475*44/12</f>
        <v>19.926590166530094</v>
      </c>
      <c r="AB65" s="21">
        <f>EXP(-LN(2)/2)*AB64+(1-EXP(-LN(2)/2))/(LN(2)/2)*V65*Y65*VLOOKUP('Données projet'!$B$9,Paramètres!$A$1:$I$89,3,0)*0.475*44/12</f>
        <v>3.3689162905526882E-6</v>
      </c>
      <c r="AC65" s="22">
        <f t="shared" si="3"/>
        <v>85.18690157176367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14.017999999999995</v>
      </c>
      <c r="AI65" s="13">
        <f>IF('Données projet'!$A$62&gt;35,AI64+AH65-AQ64,IF(A65&lt;'Données projet'!$A$62,$AF$205^A65,IF(A65='Données projet'!$A$62,'Données projet'!$B$62,AI64+AH65-AQ64)))</f>
        <v>319.61599999999993</v>
      </c>
      <c r="AJ65" s="13">
        <f>AI65*VLOOKUP('Données projet'!$B$10,Paramètres!$A$1:$I$89,3,0)*VLOOKUP('Données projet'!$B$10,Paramètres!$A$1:$I$89,5,0)</f>
        <v>153.73529599999998</v>
      </c>
      <c r="AK65" s="13">
        <f t="shared" si="35"/>
        <v>39.426226045479794</v>
      </c>
      <c r="AL65" s="20">
        <f t="shared" si="4"/>
        <v>336.42298422921061</v>
      </c>
      <c r="AM65" s="59">
        <f t="shared" si="5"/>
        <v>629.75631756254393</v>
      </c>
      <c r="AN65" s="59">
        <f ca="1">AVERAGE(OFFSET($AM$3,0,0,'Données projet'!$E$10+1,1))-AVERAGE(OFFSET($H$3,0,0,'Données projet'!$E$10+1,1))</f>
        <v>174.18188687702559</v>
      </c>
      <c r="AO65" s="59">
        <f t="shared" si="36"/>
        <v>32.17353897322738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76.95901915292464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76.95901915292464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0.8600000000003547</v>
      </c>
      <c r="BE65" s="13">
        <f>BD65*VLOOKUP('Données projet'!$B$11,Paramètres!$A$1:$I$89,3,0)*VLOOKUP('Données projet'!$B$11,Paramètres!$A$1:$I$89,5,0)</f>
        <v>0.48074000000019829</v>
      </c>
      <c r="BF65" s="13">
        <f t="shared" si="37"/>
        <v>0.24126147010950588</v>
      </c>
      <c r="BG65" s="20">
        <f t="shared" si="7"/>
        <v>1.2574858937744013</v>
      </c>
      <c r="BH65" s="59">
        <f t="shared" si="8"/>
        <v>294.59081922710772</v>
      </c>
      <c r="BI65" s="59">
        <f ca="1">AVERAGE(OFFSET($BH$3,0,0,'Données projet'!$E$11+1,1))-AVERAGE(OFFSET($H$3,0,0,'Données projet'!$E$11+1,1))</f>
        <v>350.01600895263641</v>
      </c>
      <c r="BJ65" s="59">
        <f t="shared" si="38"/>
        <v>464.08921044376882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323.66185003407486</v>
      </c>
      <c r="BQ65" s="21">
        <f>EXP(-LN(2)/25)*BQ64+(1-EXP(-LN(2)/25))/(LN(2)/25)*Calculateur!BL65*Calculateur!BN65*VLOOKUP('Données projet'!$B$11,Paramètres!$A$1:$I$89,3,0)*0.475*44/12</f>
        <v>20.825022486134266</v>
      </c>
      <c r="BR65" s="21">
        <f>EXP(-LN(2)/2)*BR64+(1-EXP(-LN(2)/2))/(LN(2)/2)*BL65*BO65*VLOOKUP('Données projet'!$B$11,Paramètres!$A$1:$I$89,3,0)*0.475*44/12</f>
        <v>1.1290291275982851E-5</v>
      </c>
      <c r="BS65" s="22">
        <f t="shared" si="9"/>
        <v>344.48688381050044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794.14996450218871</v>
      </c>
      <c r="CD65" s="59">
        <f ca="1">AVERAGE(OFFSET($CC$3,0,0,'Données projet'!$E$12+1,1))-AVERAGE(OFFSET($H$3,0,0,'Données projet'!$E$12+1,1))</f>
        <v>279.49721661620544</v>
      </c>
      <c r="CE65" s="59">
        <f t="shared" si="40"/>
        <v>275.18739333988754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47.848741039745953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47.848741039745953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8.0925000000000011</v>
      </c>
      <c r="CT65" s="12">
        <f>IF('Données projet'!$A$140&gt;35,CT64+CS65-DB64,IF(A65&lt;'Données projet'!$A$140,$CQ$205^A65,IF(A65='Données projet'!$A$140,'Données projet'!$B$140,CT64+CS65-DB64)))</f>
        <v>192.61750000000001</v>
      </c>
      <c r="CU65" s="17">
        <f>CT65*VLOOKUP('Données projet'!$B$13,Paramètres!$A$1:$I$89,3,0)*VLOOKUP('Données projet'!$B$13,Paramètres!$A$1:$I$89,5,0)</f>
        <v>195.31414500000002</v>
      </c>
      <c r="CV65" s="13">
        <f t="shared" si="41"/>
        <v>48.712941994837806</v>
      </c>
      <c r="CW65" s="20">
        <f t="shared" si="13"/>
        <v>425.01384318267583</v>
      </c>
      <c r="CX65" s="59">
        <f t="shared" si="14"/>
        <v>718.34717651600909</v>
      </c>
      <c r="CY65" s="59">
        <f ca="1">AVERAGE(OFFSET($CX$3,0,0,'Données projet'!$E$13+1,1))-AVERAGE(OFFSET($H$3,0,0,'Données projet'!$E$13+1,1))</f>
        <v>402.54350692668021</v>
      </c>
      <c r="CZ65" s="59">
        <f t="shared" si="42"/>
        <v>163.60655196884522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65.096622190606112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65.096622190606112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10.4</v>
      </c>
      <c r="DO65" s="12">
        <f>IF('Données projet'!$A$166&gt;35,DO64+DN65-DW64,IF(A65&lt;'Données projet'!$A$166,$DL$205^A65,IF(A65='Données projet'!$A$166,'Données projet'!$B$166,DO64+DN65-DW64)))</f>
        <v>262.8</v>
      </c>
      <c r="DP65" s="17">
        <f>DO65*VLOOKUP('Données projet'!$B$14,Paramètres!$A$1:$I$89,3,0)*VLOOKUP('Données projet'!$B$14,Paramètres!$A$1:$I$89,5,0)</f>
        <v>225.48240000000004</v>
      </c>
      <c r="DQ65" s="13">
        <f t="shared" si="43"/>
        <v>55.304745901414371</v>
      </c>
      <c r="DR65" s="20">
        <f t="shared" si="16"/>
        <v>489.03761244496349</v>
      </c>
      <c r="DS65" s="59">
        <f t="shared" si="17"/>
        <v>782.3709457782968</v>
      </c>
      <c r="DT65" s="59">
        <f ca="1">AVERAGE(OFFSET($DS$3,0,0,'Données projet'!$E$14+1,1))-AVERAGE(OFFSET($H$3,0,0,'Données projet'!$E$14+1,1))</f>
        <v>352.76625414822473</v>
      </c>
      <c r="DU65" s="59">
        <f t="shared" si="44"/>
        <v>186.48649111821521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64.283352064686895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64.283352064686895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5.5555555588888881</v>
      </c>
      <c r="EJ65" s="12">
        <f>IF('Données projet'!$A$192&gt;35,EJ64+EI65-ER64,IF(A65&lt;'Données projet'!$A$192,$EG$205^A65,IF(A65='Données projet'!$A$192,'Données projet'!$B$192,EJ64+EI65-ER64)))</f>
        <v>171.36752138777786</v>
      </c>
      <c r="EK65" s="17">
        <f>EJ65*VLOOKUP('Données projet'!$B$15,Paramètres!$A$1:$I$89,3,0)*VLOOKUP('Données projet'!$B$15,Paramètres!$A$1:$I$89,5,0)</f>
        <v>133.66666668246674</v>
      </c>
      <c r="EL65" s="13">
        <f t="shared" si="45"/>
        <v>34.842241922344392</v>
      </c>
      <c r="EM65" s="20">
        <f t="shared" si="19"/>
        <v>293.48634915337936</v>
      </c>
      <c r="EN65" s="59">
        <f t="shared" si="20"/>
        <v>586.81968248671274</v>
      </c>
      <c r="EO65" s="59">
        <f ca="1">AVERAGE(OFFSET($EN$3,0,0,'Données projet'!$E$15+1,1))-AVERAGE(OFFSET($H$3,0,0,'Données projet'!$E$15+1,1))</f>
        <v>130.66539383144681</v>
      </c>
      <c r="EP65" s="59">
        <f t="shared" si="46"/>
        <v>126.36398121441903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37.097211476041011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37.097211476041011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8.0925000000000011</v>
      </c>
      <c r="FE65" s="12">
        <f>IF('Données projet'!$A$218&gt;35,FE64+FD65-FM64,IF(A65&lt;'Données projet'!$A$218,$FB$205^A65,IF(A65='Données projet'!$A$218,'Données projet'!$B$218,FE64+FD65-FM64)))</f>
        <v>192.61750000000001</v>
      </c>
      <c r="FF65" s="17">
        <f>FE65*VLOOKUP('Données projet'!$B$16,Paramètres!$A$1:$I$89,3,0)*VLOOKUP('Données projet'!$B$16,Paramètres!$A$1:$I$89,5,0)</f>
        <v>186.299646</v>
      </c>
      <c r="FG65" s="13">
        <f t="shared" si="47"/>
        <v>46.720923037010827</v>
      </c>
      <c r="FH65" s="20">
        <f t="shared" si="22"/>
        <v>405.84415773946051</v>
      </c>
      <c r="FI65" s="59">
        <f t="shared" si="23"/>
        <v>699.17749107279383</v>
      </c>
      <c r="FJ65" s="59">
        <f ca="1">AVERAGE(OFFSET($FI$3,0,0,'Données projet'!$E$16+1,1))-AVERAGE(OFFSET($H$3,0,0,'Données projet'!$E$16+1,1))</f>
        <v>380.43199889536805</v>
      </c>
      <c r="FK65" s="59">
        <f t="shared" si="48"/>
        <v>154.72646317672996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62.09216270488583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62.09216270488583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304</v>
      </c>
      <c r="O66" s="13">
        <f>N66*VLOOKUP('Données projet'!$B$9,Paramètres!$A$1:$I$89,3,0)*VLOOKUP('Données projet'!$B$9,Paramètres!$A$1:$I$89,5,0)</f>
        <v>189.696</v>
      </c>
      <c r="P66" s="13">
        <f t="shared" si="33"/>
        <v>47.472736505152469</v>
      </c>
      <c r="Q66" s="20">
        <f t="shared" si="53"/>
        <v>413.06888274647389</v>
      </c>
      <c r="R66" s="59">
        <f t="shared" si="0"/>
        <v>706.4022160798072</v>
      </c>
      <c r="S66" s="59">
        <f ca="1">AVERAGE(OFFSET($R$3,0,0,'Données projet'!$E$9+1,1))-AVERAGE(OFFSET($H$3,0,0,'Données projet'!$E$9+1,1))</f>
        <v>179.44051550872138</v>
      </c>
      <c r="T66" s="59">
        <f t="shared" si="34"/>
        <v>272.9500808380069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63.980593200582604</v>
      </c>
      <c r="AA66" s="21">
        <f>EXP(-LN(2)/25)*AA65+(1-EXP(-LN(2)/25))/(LN(2)/25)*Calculateur!V66*Calculateur!X66*VLOOKUP('Données projet'!$B$9,Paramètres!$A$1:$I$89,3,0)*0.475*44/12</f>
        <v>19.381696510532493</v>
      </c>
      <c r="AB66" s="21">
        <f>EXP(-LN(2)/2)*AB65+(1-EXP(-LN(2)/2))/(LN(2)/2)*V66*Y66*VLOOKUP('Données projet'!$B$9,Paramètres!$A$1:$I$89,3,0)*0.475*44/12</f>
        <v>2.382183554299635E-6</v>
      </c>
      <c r="AC66" s="22">
        <f t="shared" si="3"/>
        <v>83.362292093298649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14.017999999999995</v>
      </c>
      <c r="AI66" s="13">
        <f>IF('Données projet'!$A$62&gt;35,AI65+AH66-AQ65,IF(A66&lt;'Données projet'!$A$62,$AF$205^A66,IF(A66='Données projet'!$A$62,'Données projet'!$B$62,AI65+AH66-AQ65)))</f>
        <v>333.6339999999999</v>
      </c>
      <c r="AJ66" s="13">
        <f>AI66*VLOOKUP('Données projet'!$B$10,Paramètres!$A$1:$I$89,3,0)*VLOOKUP('Données projet'!$B$10,Paramètres!$A$1:$I$89,5,0)</f>
        <v>160.47795399999995</v>
      </c>
      <c r="AK66" s="13">
        <f t="shared" si="35"/>
        <v>40.950300544004101</v>
      </c>
      <c r="AL66" s="20">
        <f t="shared" si="4"/>
        <v>350.82087666414037</v>
      </c>
      <c r="AM66" s="59">
        <f t="shared" si="5"/>
        <v>644.15420999747369</v>
      </c>
      <c r="AN66" s="59">
        <f ca="1">AVERAGE(OFFSET($AM$3,0,0,'Données projet'!$E$10+1,1))-AVERAGE(OFFSET($H$3,0,0,'Données projet'!$E$10+1,1))</f>
        <v>174.18188687702559</v>
      </c>
      <c r="AO66" s="59">
        <f t="shared" si="36"/>
        <v>32.17353897322738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75.449899727702501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75.449899727702501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0.8600000000003547</v>
      </c>
      <c r="BE66" s="13">
        <f>BD66*VLOOKUP('Données projet'!$B$11,Paramètres!$A$1:$I$89,3,0)*VLOOKUP('Données projet'!$B$11,Paramètres!$A$1:$I$89,5,0)</f>
        <v>0.48074000000019829</v>
      </c>
      <c r="BF66" s="13">
        <f t="shared" si="37"/>
        <v>0.24126147010950588</v>
      </c>
      <c r="BG66" s="20">
        <f t="shared" si="7"/>
        <v>1.2574858937744013</v>
      </c>
      <c r="BH66" s="59">
        <f t="shared" si="8"/>
        <v>294.59081922710772</v>
      </c>
      <c r="BI66" s="59">
        <f ca="1">AVERAGE(OFFSET($BH$3,0,0,'Données projet'!$E$11+1,1))-AVERAGE(OFFSET($H$3,0,0,'Données projet'!$E$11+1,1))</f>
        <v>350.01600895263641</v>
      </c>
      <c r="BJ66" s="59">
        <f t="shared" si="38"/>
        <v>464.08921044376882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317.31503856914213</v>
      </c>
      <c r="BQ66" s="21">
        <f>EXP(-LN(2)/25)*BQ65+(1-EXP(-LN(2)/25))/(LN(2)/25)*Calculateur!BL66*Calculateur!BN66*VLOOKUP('Données projet'!$B$11,Paramètres!$A$1:$I$89,3,0)*0.475*44/12</f>
        <v>20.255561151110587</v>
      </c>
      <c r="BR66" s="21">
        <f>EXP(-LN(2)/2)*BR65+(1-EXP(-LN(2)/2))/(LN(2)/2)*BL66*BO66*VLOOKUP('Données projet'!$B$11,Paramètres!$A$1:$I$89,3,0)*0.475*44/12</f>
        <v>7.9834415228187922E-6</v>
      </c>
      <c r="BS66" s="22">
        <f t="shared" si="9"/>
        <v>337.57060770369429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802.91101079835039</v>
      </c>
      <c r="CD66" s="59">
        <f ca="1">AVERAGE(OFFSET($CC$3,0,0,'Données projet'!$E$12+1,1))-AVERAGE(OFFSET($H$3,0,0,'Données projet'!$E$12+1,1))</f>
        <v>279.49721661620544</v>
      </c>
      <c r="CE66" s="59">
        <f t="shared" si="40"/>
        <v>275.18739333988754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46.910456412806802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46.910456412806802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8.0925000000000011</v>
      </c>
      <c r="CT66" s="12">
        <f>IF('Données projet'!$A$140&gt;35,CT65+CS66-DB65,IF(A66&lt;'Données projet'!$A$140,$CQ$205^A66,IF(A66='Données projet'!$A$140,'Données projet'!$B$140,CT65+CS66-DB65)))</f>
        <v>200.71</v>
      </c>
      <c r="CU66" s="17">
        <f>CT66*VLOOKUP('Données projet'!$B$13,Paramètres!$A$1:$I$89,3,0)*VLOOKUP('Données projet'!$B$13,Paramètres!$A$1:$I$89,5,0)</f>
        <v>203.51994000000002</v>
      </c>
      <c r="CV66" s="13">
        <f t="shared" si="41"/>
        <v>50.516956765068784</v>
      </c>
      <c r="CW66" s="20">
        <f t="shared" si="13"/>
        <v>442.44759519916147</v>
      </c>
      <c r="CX66" s="59">
        <f t="shared" si="14"/>
        <v>735.78092853249473</v>
      </c>
      <c r="CY66" s="59">
        <f ca="1">AVERAGE(OFFSET($CX$3,0,0,'Données projet'!$E$13+1,1))-AVERAGE(OFFSET($H$3,0,0,'Données projet'!$E$13+1,1))</f>
        <v>402.54350692668021</v>
      </c>
      <c r="CZ66" s="59">
        <f t="shared" si="42"/>
        <v>163.60655196884522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63.820117134467317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63.820117134467317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10.4</v>
      </c>
      <c r="DO66" s="12">
        <f>IF('Données projet'!$A$166&gt;35,DO65+DN66-DW65,IF(A66&lt;'Données projet'!$A$166,$DL$205^A66,IF(A66='Données projet'!$A$166,'Données projet'!$B$166,DO65+DN66-DW65)))</f>
        <v>273.2</v>
      </c>
      <c r="DP66" s="17">
        <f>DO66*VLOOKUP('Données projet'!$B$14,Paramètres!$A$1:$I$89,3,0)*VLOOKUP('Données projet'!$B$14,Paramètres!$A$1:$I$89,5,0)</f>
        <v>234.40560000000005</v>
      </c>
      <c r="DQ66" s="13">
        <f t="shared" si="43"/>
        <v>57.234220788626125</v>
      </c>
      <c r="DR66" s="20">
        <f t="shared" si="16"/>
        <v>507.93935454019061</v>
      </c>
      <c r="DS66" s="59">
        <f t="shared" si="17"/>
        <v>801.27268787352386</v>
      </c>
      <c r="DT66" s="59">
        <f ca="1">AVERAGE(OFFSET($DS$3,0,0,'Données projet'!$E$14+1,1))-AVERAGE(OFFSET($H$3,0,0,'Données projet'!$E$14+1,1))</f>
        <v>352.76625414822473</v>
      </c>
      <c r="DU66" s="59">
        <f t="shared" si="44"/>
        <v>186.48649111821521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63.022794739671582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63.022794739671582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5.5555555588888881</v>
      </c>
      <c r="EJ66" s="12">
        <f>IF('Données projet'!$A$192&gt;35,EJ65+EI66-ER65,IF(A66&lt;'Données projet'!$A$192,$EG$205^A66,IF(A66='Données projet'!$A$192,'Données projet'!$B$192,EJ65+EI66-ER65)))</f>
        <v>176.92307694666675</v>
      </c>
      <c r="EK66" s="17">
        <f>EJ66*VLOOKUP('Données projet'!$B$15,Paramètres!$A$1:$I$89,3,0)*VLOOKUP('Données projet'!$B$15,Paramètres!$A$1:$I$89,5,0)</f>
        <v>138.00000001840007</v>
      </c>
      <c r="EL66" s="13">
        <f t="shared" si="45"/>
        <v>35.838450606352851</v>
      </c>
      <c r="EM66" s="20">
        <f t="shared" si="19"/>
        <v>302.76863483811127</v>
      </c>
      <c r="EN66" s="59">
        <f t="shared" si="20"/>
        <v>596.10196817144458</v>
      </c>
      <c r="EO66" s="59">
        <f ca="1">AVERAGE(OFFSET($EN$3,0,0,'Données projet'!$E$15+1,1))-AVERAGE(OFFSET($H$3,0,0,'Données projet'!$E$15+1,1))</f>
        <v>130.66539383144681</v>
      </c>
      <c r="EP66" s="59">
        <f t="shared" si="46"/>
        <v>126.36398121441903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36.36975778606061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36.36975778606061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8.0925000000000011</v>
      </c>
      <c r="FE66" s="12">
        <f>IF('Données projet'!$A$218&gt;35,FE65+FD66-FM65,IF(A66&lt;'Données projet'!$A$218,$FB$205^A66,IF(A66='Données projet'!$A$218,'Données projet'!$B$218,FE65+FD66-FM65)))</f>
        <v>200.71</v>
      </c>
      <c r="FF66" s="17">
        <f>FE66*VLOOKUP('Données projet'!$B$16,Paramètres!$A$1:$I$89,3,0)*VLOOKUP('Données projet'!$B$16,Paramètres!$A$1:$I$89,5,0)</f>
        <v>194.12671200000003</v>
      </c>
      <c r="FG66" s="13">
        <f t="shared" si="47"/>
        <v>48.451166208251109</v>
      </c>
      <c r="FH66" s="20">
        <f t="shared" si="22"/>
        <v>422.48980454603742</v>
      </c>
      <c r="FI66" s="59">
        <f t="shared" si="23"/>
        <v>715.82313787937073</v>
      </c>
      <c r="FJ66" s="59">
        <f ca="1">AVERAGE(OFFSET($FI$3,0,0,'Données projet'!$E$16+1,1))-AVERAGE(OFFSET($H$3,0,0,'Données projet'!$E$16+1,1))</f>
        <v>380.43199889536805</v>
      </c>
      <c r="FK66" s="59">
        <f t="shared" si="48"/>
        <v>154.72646317672996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60.87457326672267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60.87457326672267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304</v>
      </c>
      <c r="O67" s="13">
        <f>N67*VLOOKUP('Données projet'!$B$9,Paramètres!$A$1:$I$89,3,0)*VLOOKUP('Données projet'!$B$9,Paramètres!$A$1:$I$89,5,0)</f>
        <v>189.696</v>
      </c>
      <c r="P67" s="13">
        <f t="shared" si="33"/>
        <v>47.472736505152469</v>
      </c>
      <c r="Q67" s="20">
        <f t="shared" ref="Q67:Q98" si="54">(O67+P67)*0.475*44/12</f>
        <v>413.06888274647389</v>
      </c>
      <c r="R67" s="59">
        <f t="shared" ref="R67:R130" si="55">Q67+(I67+J67)*44/12</f>
        <v>706.4022160798072</v>
      </c>
      <c r="S67" s="59">
        <f ca="1">AVERAGE(OFFSET($R$3,0,0,'Données projet'!$E$9+1,1))-AVERAGE(OFFSET($H$3,0,0,'Données projet'!$E$9+1,1))</f>
        <v>179.44051550872138</v>
      </c>
      <c r="T67" s="59">
        <f t="shared" si="34"/>
        <v>272.9500808380069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62.725972792227701</v>
      </c>
      <c r="AA67" s="21">
        <f>EXP(-LN(2)/25)*AA66+(1-EXP(-LN(2)/25))/(LN(2)/25)*Calculateur!V67*Calculateur!X67*VLOOKUP('Données projet'!$B$9,Paramètres!$A$1:$I$89,3,0)*0.475*44/12</f>
        <v>18.851703000212858</v>
      </c>
      <c r="AB67" s="21">
        <f>EXP(-LN(2)/2)*AB66+(1-EXP(-LN(2)/2))/(LN(2)/2)*V67*Y67*VLOOKUP('Données projet'!$B$9,Paramètres!$A$1:$I$89,3,0)*0.475*44/12</f>
        <v>1.6844581452763441E-6</v>
      </c>
      <c r="AC67" s="22">
        <f t="shared" si="3"/>
        <v>81.5776774768987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14.017999999999995</v>
      </c>
      <c r="AI67" s="13">
        <f>IF('Données projet'!$A$62&gt;35,AI66+AH67-AQ66,IF(A67&lt;'Données projet'!$A$62,$AF$205^A67,IF(A67='Données projet'!$A$62,'Données projet'!$B$62,AI66+AH67-AQ66)))</f>
        <v>347.65199999999987</v>
      </c>
      <c r="AJ67" s="13">
        <f>AI67*VLOOKUP('Données projet'!$B$10,Paramètres!$A$1:$I$89,3,0)*VLOOKUP('Données projet'!$B$10,Paramètres!$A$1:$I$89,5,0)</f>
        <v>167.22061199999996</v>
      </c>
      <c r="AK67" s="13">
        <f t="shared" si="35"/>
        <v>42.46693717683376</v>
      </c>
      <c r="AL67" s="20">
        <f t="shared" si="4"/>
        <v>365.20581481631871</v>
      </c>
      <c r="AM67" s="59">
        <f t="shared" si="5"/>
        <v>658.53914814965196</v>
      </c>
      <c r="AN67" s="59">
        <f ca="1">AVERAGE(OFFSET($AM$3,0,0,'Données projet'!$E$10+1,1))-AVERAGE(OFFSET($H$3,0,0,'Données projet'!$E$10+1,1))</f>
        <v>174.18188687702559</v>
      </c>
      <c r="AO67" s="59">
        <f t="shared" si="36"/>
        <v>32.17353897322738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73.970373213937009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73.970373213937009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0.8600000000003547</v>
      </c>
      <c r="BE67" s="13">
        <f>BD67*VLOOKUP('Données projet'!$B$11,Paramètres!$A$1:$I$89,3,0)*VLOOKUP('Données projet'!$B$11,Paramètres!$A$1:$I$89,5,0)</f>
        <v>0.48074000000019829</v>
      </c>
      <c r="BF67" s="13">
        <f t="shared" si="37"/>
        <v>0.24126147010950588</v>
      </c>
      <c r="BG67" s="20">
        <f t="shared" si="7"/>
        <v>1.2574858937744013</v>
      </c>
      <c r="BH67" s="59">
        <f t="shared" si="8"/>
        <v>294.59081922710772</v>
      </c>
      <c r="BI67" s="59">
        <f ca="1">AVERAGE(OFFSET($BH$3,0,0,'Données projet'!$E$11+1,1))-AVERAGE(OFFSET($H$3,0,0,'Données projet'!$E$11+1,1))</f>
        <v>350.01600895263641</v>
      </c>
      <c r="BJ67" s="59">
        <f t="shared" si="38"/>
        <v>464.08921044376882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311.09268420586397</v>
      </c>
      <c r="BQ67" s="21">
        <f>EXP(-LN(2)/25)*BQ66+(1-EXP(-LN(2)/25))/(LN(2)/25)*Calculateur!BL67*Calculateur!BN67*VLOOKUP('Données projet'!$B$11,Paramètres!$A$1:$I$89,3,0)*0.475*44/12</f>
        <v>19.701671766239802</v>
      </c>
      <c r="BR67" s="21">
        <f>EXP(-LN(2)/2)*BR66+(1-EXP(-LN(2)/2))/(LN(2)/2)*BL67*BO67*VLOOKUP('Données projet'!$B$11,Paramètres!$A$1:$I$89,3,0)*0.475*44/12</f>
        <v>5.6451456379914256E-6</v>
      </c>
      <c r="BS67" s="22">
        <f t="shared" si="9"/>
        <v>330.79436161724942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811.66887496082245</v>
      </c>
      <c r="CD67" s="59">
        <f ca="1">AVERAGE(OFFSET($CC$3,0,0,'Données projet'!$E$12+1,1))-AVERAGE(OFFSET($H$3,0,0,'Données projet'!$E$12+1,1))</f>
        <v>279.49721661620544</v>
      </c>
      <c r="CE67" s="59">
        <f t="shared" si="40"/>
        <v>275.18739333988754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45.990570975104816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45.990570975104816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8.0925000000000011</v>
      </c>
      <c r="CT67" s="12">
        <f>IF('Données projet'!$A$140&gt;35,CT66+CS67-DB66,IF(A67&lt;'Données projet'!$A$140,$CQ$205^A67,IF(A67='Données projet'!$A$140,'Données projet'!$B$140,CT66+CS67-DB66)))</f>
        <v>208.80250000000001</v>
      </c>
      <c r="CU67" s="17">
        <f>CT67*VLOOKUP('Données projet'!$B$13,Paramètres!$A$1:$I$89,3,0)*VLOOKUP('Données projet'!$B$13,Paramètres!$A$1:$I$89,5,0)</f>
        <v>211.72573500000004</v>
      </c>
      <c r="CV67" s="13">
        <f t="shared" si="41"/>
        <v>52.312522398402301</v>
      </c>
      <c r="CW67" s="20">
        <f t="shared" si="13"/>
        <v>459.86663163555068</v>
      </c>
      <c r="CX67" s="59">
        <f t="shared" si="14"/>
        <v>753.19996496888393</v>
      </c>
      <c r="CY67" s="59">
        <f ca="1">AVERAGE(OFFSET($CX$3,0,0,'Données projet'!$E$13+1,1))-AVERAGE(OFFSET($H$3,0,0,'Données projet'!$E$13+1,1))</f>
        <v>402.54350692668021</v>
      </c>
      <c r="CZ67" s="59">
        <f t="shared" si="42"/>
        <v>163.60655196884522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62.568643563888202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62.568643563888202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10.4</v>
      </c>
      <c r="DO67" s="12">
        <f>IF('Données projet'!$A$166&gt;35,DO66+DN67-DW66,IF(A67&lt;'Données projet'!$A$166,$DL$205^A67,IF(A67='Données projet'!$A$166,'Données projet'!$B$166,DO66+DN67-DW66)))</f>
        <v>283.59999999999997</v>
      </c>
      <c r="DP67" s="17">
        <f>DO67*VLOOKUP('Données projet'!$B$14,Paramètres!$A$1:$I$89,3,0)*VLOOKUP('Données projet'!$B$14,Paramètres!$A$1:$I$89,5,0)</f>
        <v>243.3288</v>
      </c>
      <c r="DQ67" s="13">
        <f t="shared" si="43"/>
        <v>59.155162833418565</v>
      </c>
      <c r="DR67" s="20">
        <f t="shared" si="16"/>
        <v>526.82623526820396</v>
      </c>
      <c r="DS67" s="59">
        <f t="shared" si="17"/>
        <v>820.15956860153733</v>
      </c>
      <c r="DT67" s="59">
        <f ca="1">AVERAGE(OFFSET($DS$3,0,0,'Données projet'!$E$14+1,1))-AVERAGE(OFFSET($H$3,0,0,'Données projet'!$E$14+1,1))</f>
        <v>352.76625414822473</v>
      </c>
      <c r="DU67" s="59">
        <f t="shared" si="44"/>
        <v>186.48649111821521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61.786956174935767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61.786956174935767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5.5555555588888881</v>
      </c>
      <c r="EJ67" s="12">
        <f>IF('Données projet'!$A$192&gt;35,EJ66+EI67-ER66,IF(A67&lt;'Données projet'!$A$192,$EG$205^A67,IF(A67='Données projet'!$A$192,'Données projet'!$B$192,EJ66+EI67-ER66)))</f>
        <v>182.47863250555565</v>
      </c>
      <c r="EK67" s="17">
        <f>EJ67*VLOOKUP('Données projet'!$B$15,Paramètres!$A$1:$I$89,3,0)*VLOOKUP('Données projet'!$B$15,Paramètres!$A$1:$I$89,5,0)</f>
        <v>142.3333333543334</v>
      </c>
      <c r="EL67" s="13">
        <f t="shared" si="45"/>
        <v>36.831024090620843</v>
      </c>
      <c r="EM67" s="20">
        <f t="shared" si="19"/>
        <v>312.04458921662859</v>
      </c>
      <c r="EN67" s="59">
        <f t="shared" si="20"/>
        <v>605.37792254996191</v>
      </c>
      <c r="EO67" s="59">
        <f ca="1">AVERAGE(OFFSET($EN$3,0,0,'Données projet'!$E$15+1,1))-AVERAGE(OFFSET($H$3,0,0,'Données projet'!$E$15+1,1))</f>
        <v>130.66539383144681</v>
      </c>
      <c r="EP67" s="59">
        <f t="shared" si="46"/>
        <v>126.36398121441903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35.656569019237786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35.656569019237786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8.0925000000000011</v>
      </c>
      <c r="FE67" s="12">
        <f>IF('Données projet'!$A$218&gt;35,FE66+FD67-FM66,IF(A67&lt;'Données projet'!$A$218,$FB$205^A67,IF(A67='Données projet'!$A$218,'Données projet'!$B$218,FE66+FD67-FM66)))</f>
        <v>208.80250000000001</v>
      </c>
      <c r="FF67" s="17">
        <f>FE67*VLOOKUP('Données projet'!$B$16,Paramètres!$A$1:$I$89,3,0)*VLOOKUP('Données projet'!$B$16,Paramètres!$A$1:$I$89,5,0)</f>
        <v>201.953778</v>
      </c>
      <c r="FG67" s="13">
        <f t="shared" si="47"/>
        <v>50.17330575325672</v>
      </c>
      <c r="FH67" s="20">
        <f t="shared" si="22"/>
        <v>439.12133753692211</v>
      </c>
      <c r="FI67" s="59">
        <f t="shared" si="23"/>
        <v>732.45467087025543</v>
      </c>
      <c r="FJ67" s="59">
        <f ca="1">AVERAGE(OFFSET($FI$3,0,0,'Données projet'!$E$16+1,1))-AVERAGE(OFFSET($H$3,0,0,'Données projet'!$E$16+1,1))</f>
        <v>380.43199889536805</v>
      </c>
      <c r="FK67" s="59">
        <f t="shared" si="48"/>
        <v>154.72646317672996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59.680860014785665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59.680860014785665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304</v>
      </c>
      <c r="O68" s="13">
        <f>N68*VLOOKUP('Données projet'!$B$9,Paramètres!$A$1:$I$89,3,0)*VLOOKUP('Données projet'!$B$9,Paramètres!$A$1:$I$89,5,0)</f>
        <v>189.696</v>
      </c>
      <c r="P68" s="13">
        <f t="shared" si="33"/>
        <v>47.472736505152469</v>
      </c>
      <c r="Q68" s="20">
        <f t="shared" si="54"/>
        <v>413.06888274647389</v>
      </c>
      <c r="R68" s="59">
        <f t="shared" si="55"/>
        <v>706.4022160798072</v>
      </c>
      <c r="S68" s="59">
        <f ca="1">AVERAGE(OFFSET($R$3,0,0,'Données projet'!$E$9+1,1))-AVERAGE(OFFSET($H$3,0,0,'Données projet'!$E$9+1,1))</f>
        <v>179.44051550872138</v>
      </c>
      <c r="T68" s="59">
        <f t="shared" si="34"/>
        <v>272.9500808380069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61.495954724837752</v>
      </c>
      <c r="AA68" s="21">
        <f>EXP(-LN(2)/25)*AA67+(1-EXP(-LN(2)/25))/(LN(2)/25)*Calculateur!V68*Calculateur!X68*VLOOKUP('Données projet'!$B$9,Paramètres!$A$1:$I$89,3,0)*0.475*44/12</f>
        <v>18.336202190304064</v>
      </c>
      <c r="AB68" s="21">
        <f>EXP(-LN(2)/2)*AB67+(1-EXP(-LN(2)/2))/(LN(2)/2)*V68*Y68*VLOOKUP('Données projet'!$B$9,Paramètres!$A$1:$I$89,3,0)*0.475*44/12</f>
        <v>1.1910917771498175E-6</v>
      </c>
      <c r="AC68" s="22">
        <f t="shared" ref="AC68:AC131" si="57">SUM(Z68:AB68)</f>
        <v>79.832158106233592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361.67</v>
      </c>
      <c r="AG68" s="12">
        <f>VLOOKUP(A68,'Données projet'!$A$61:$I$81,9,0)</f>
        <v>14.017999999999995</v>
      </c>
      <c r="AH68" s="12">
        <f t="array" ref="AH68">INDEX(AG:AG,MIN(IF(ISNUMBER(AG68:AG264),ROW(AG68:AG264),"")))</f>
        <v>14.017999999999995</v>
      </c>
      <c r="AI68" s="13">
        <f>IF('Données projet'!$A$62&gt;35,AI67+AH68-AQ67,IF(A68&lt;'Données projet'!$A$62,$AF$205^A68,IF(A68='Données projet'!$A$62,'Données projet'!$B$62,AI67+AH68-AQ67)))</f>
        <v>361.66999999999985</v>
      </c>
      <c r="AJ68" s="13">
        <f>AI68*VLOOKUP('Données projet'!$B$10,Paramètres!$A$1:$I$89,3,0)*VLOOKUP('Données projet'!$B$10,Paramètres!$A$1:$I$89,5,0)</f>
        <v>173.96326999999994</v>
      </c>
      <c r="AK68" s="13">
        <f t="shared" si="35"/>
        <v>43.976470162582402</v>
      </c>
      <c r="AL68" s="20">
        <f t="shared" ref="AL68:AL131" si="58">(AJ68+AK68)*0.475*44/12</f>
        <v>379.57838078316422</v>
      </c>
      <c r="AM68" s="59">
        <f t="shared" ref="AM68:AM131" si="59">AL68+(AD68+AE68)*44/12</f>
        <v>672.91171411649748</v>
      </c>
      <c r="AN68" s="59">
        <f ca="1">AVERAGE(OFFSET($AM$3,0,0,'Données projet'!$E$10+1,1))-AVERAGE(OFFSET($H$3,0,0,'Données projet'!$E$10+1,1))</f>
        <v>174.18188687702559</v>
      </c>
      <c r="AO68" s="59">
        <f t="shared" si="36"/>
        <v>32.17353897322738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72.519859312684389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72.519859312684389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0.8600000000003547</v>
      </c>
      <c r="BE68" s="13">
        <f>BD68*VLOOKUP('Données projet'!$B$11,Paramètres!$A$1:$I$89,3,0)*VLOOKUP('Données projet'!$B$11,Paramètres!$A$1:$I$89,5,0)</f>
        <v>0.48074000000019829</v>
      </c>
      <c r="BF68" s="13">
        <f t="shared" si="37"/>
        <v>0.24126147010950588</v>
      </c>
      <c r="BG68" s="20">
        <f t="shared" ref="BG68:BG131" si="61">(BE68+BF68)*0.475*44/12</f>
        <v>1.2574858937744013</v>
      </c>
      <c r="BH68" s="59">
        <f t="shared" ref="BH68:BH131" si="62">BG68+(AY68+AZ68)*44/12</f>
        <v>294.59081922710772</v>
      </c>
      <c r="BI68" s="59">
        <f ca="1">AVERAGE(OFFSET($BH$3,0,0,'Données projet'!$E$11+1,1))-AVERAGE(OFFSET($H$3,0,0,'Données projet'!$E$11+1,1))</f>
        <v>350.01600895263641</v>
      </c>
      <c r="BJ68" s="59">
        <f t="shared" si="38"/>
        <v>464.08921044376882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304.99234641638833</v>
      </c>
      <c r="BQ68" s="21">
        <f>EXP(-LN(2)/25)*BQ67+(1-EXP(-LN(2)/25))/(LN(2)/25)*Calculateur!BL68*Calculateur!BN68*VLOOKUP('Données projet'!$B$11,Paramètres!$A$1:$I$89,3,0)*0.475*44/12</f>
        <v>19.162928515726083</v>
      </c>
      <c r="BR68" s="21">
        <f>EXP(-LN(2)/2)*BR67+(1-EXP(-LN(2)/2))/(LN(2)/2)*BL68*BO68*VLOOKUP('Données projet'!$B$11,Paramètres!$A$1:$I$89,3,0)*0.475*44/12</f>
        <v>3.9917207614093961E-6</v>
      </c>
      <c r="BS68" s="22">
        <f t="shared" ref="BS68:BS131" si="63">SUM(BP68:BR68)</f>
        <v>324.15527892383517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820.423618347505</v>
      </c>
      <c r="CD68" s="59">
        <f ca="1">AVERAGE(OFFSET($CC$3,0,0,'Données projet'!$E$12+1,1))-AVERAGE(OFFSET($H$3,0,0,'Données projet'!$E$12+1,1))</f>
        <v>279.49721661620544</v>
      </c>
      <c r="CE68" s="59">
        <f t="shared" si="40"/>
        <v>275.18739333988754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51.148563221721147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51.148563221721147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8.0925000000000011</v>
      </c>
      <c r="CT68" s="12">
        <f>IF('Données projet'!$A$140&gt;35,CT67+CS68-DB67,IF(A68&lt;'Données projet'!$A$140,$CQ$205^A68,IF(A68='Données projet'!$A$140,'Données projet'!$B$140,CT67+CS68-DB67)))</f>
        <v>216.89500000000001</v>
      </c>
      <c r="CU68" s="17">
        <f>CT68*VLOOKUP('Données projet'!$B$13,Paramètres!$A$1:$I$89,3,0)*VLOOKUP('Données projet'!$B$13,Paramètres!$A$1:$I$89,5,0)</f>
        <v>219.93153000000001</v>
      </c>
      <c r="CV68" s="13">
        <f t="shared" si="41"/>
        <v>54.10000383480466</v>
      </c>
      <c r="CW68" s="20">
        <f t="shared" ref="CW68:CW131" si="67">(CU68+CV68)*0.475*44/12</f>
        <v>477.2715880956182</v>
      </c>
      <c r="CX68" s="59">
        <f t="shared" ref="CX68:CX131" si="68">CW68+(CO68+CP68)*44/12</f>
        <v>770.60492142895146</v>
      </c>
      <c r="CY68" s="59">
        <f ca="1">AVERAGE(OFFSET($CX$3,0,0,'Données projet'!$E$13+1,1))-AVERAGE(OFFSET($H$3,0,0,'Données projet'!$E$13+1,1))</f>
        <v>402.54350692668021</v>
      </c>
      <c r="CZ68" s="59">
        <f t="shared" si="42"/>
        <v>163.60655196884522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61.341710626704632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61.341710626704632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294</v>
      </c>
      <c r="DM68" s="12">
        <f>VLOOKUP(A68,'Données projet'!$A$165:$I$185,9,0)</f>
        <v>10.4</v>
      </c>
      <c r="DN68" s="12">
        <f t="array" ref="DN68">INDEX(DM:DM,MIN(IF(ISNUMBER(DM68:DM264),ROW(DM68:DM264),"")))</f>
        <v>10.4</v>
      </c>
      <c r="DO68" s="12">
        <f>IF('Données projet'!$A$166&gt;35,DO67+DN68-DW67,IF(A68&lt;'Données projet'!$A$166,$DL$205^A68,IF(A68='Données projet'!$A$166,'Données projet'!$B$166,DO67+DN68-DW67)))</f>
        <v>293.99999999999994</v>
      </c>
      <c r="DP68" s="17">
        <f>DO68*VLOOKUP('Données projet'!$B$14,Paramètres!$A$1:$I$89,3,0)*VLOOKUP('Données projet'!$B$14,Paramètres!$A$1:$I$89,5,0)</f>
        <v>252.25199999999998</v>
      </c>
      <c r="DQ68" s="13">
        <f t="shared" si="43"/>
        <v>61.067920784150822</v>
      </c>
      <c r="DR68" s="20">
        <f t="shared" ref="DR68:DR131" si="70">(DP68+DQ68)*0.475*44/12</f>
        <v>545.69886203239594</v>
      </c>
      <c r="DS68" s="59">
        <f t="shared" ref="DS68:DS131" si="71">DR68+(DJ68+DK68)*44/12</f>
        <v>839.03219536572919</v>
      </c>
      <c r="DT68" s="59">
        <f ca="1">AVERAGE(OFFSET($DS$3,0,0,'Données projet'!$E$14+1,1))-AVERAGE(OFFSET($H$3,0,0,'Données projet'!$E$14+1,1))</f>
        <v>352.76625414822473</v>
      </c>
      <c r="DU68" s="59">
        <f t="shared" si="44"/>
        <v>186.48649111821521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28</v>
      </c>
      <c r="DX68" s="16">
        <f>IF(ISNA(VLOOKUP(A68,'Données projet'!$A$165:$I$185,5,0)),0%,VLOOKUP(A68,'Données projet'!$A$165:$I$185,5,0)*VLOOKUP('Données projet'!$B$14,Paramètres!$A$1:$I$89,7,0))</f>
        <v>0.53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74.650996461554115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74.650996461554115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5.5555555588888881</v>
      </c>
      <c r="EJ68" s="12">
        <f>IF('Données projet'!$A$192&gt;35,EJ67+EI68-ER67,IF(A68&lt;'Données projet'!$A$192,$EG$205^A68,IF(A68='Données projet'!$A$192,'Données projet'!$B$192,EJ67+EI68-ER67)))</f>
        <v>188.03418806444455</v>
      </c>
      <c r="EK68" s="17">
        <f>EJ68*VLOOKUP('Données projet'!$B$15,Paramètres!$A$1:$I$89,3,0)*VLOOKUP('Données projet'!$B$15,Paramètres!$A$1:$I$89,5,0)</f>
        <v>146.66666669026677</v>
      </c>
      <c r="EL68" s="13">
        <f t="shared" si="45"/>
        <v>37.820085751063971</v>
      </c>
      <c r="EM68" s="20">
        <f t="shared" ref="EM68:EM131" si="73">(EK68+EL68)*0.475*44/12</f>
        <v>321.31442716865104</v>
      </c>
      <c r="EN68" s="59">
        <f t="shared" ref="EN68:EN131" si="74">EM68+(EE68+EF68)*44/12</f>
        <v>614.64776050198429</v>
      </c>
      <c r="EO68" s="59">
        <f ca="1">AVERAGE(OFFSET($EN$3,0,0,'Données projet'!$E$15+1,1))-AVERAGE(OFFSET($H$3,0,0,'Données projet'!$E$15+1,1))</f>
        <v>130.66539383144681</v>
      </c>
      <c r="EP68" s="59">
        <f t="shared" si="46"/>
        <v>126.36398121441903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34.957365449130165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34.957365449130165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8.0925000000000011</v>
      </c>
      <c r="FE68" s="12">
        <f>IF('Données projet'!$A$218&gt;35,FE67+FD68-FM67,IF(A68&lt;'Données projet'!$A$218,$FB$205^A68,IF(A68='Données projet'!$A$218,'Données projet'!$B$218,FE67+FD68-FM67)))</f>
        <v>216.89500000000001</v>
      </c>
      <c r="FF68" s="17">
        <f>FE68*VLOOKUP('Données projet'!$B$16,Paramètres!$A$1:$I$89,3,0)*VLOOKUP('Données projet'!$B$16,Paramètres!$A$1:$I$89,5,0)</f>
        <v>209.78084400000003</v>
      </c>
      <c r="FG68" s="13">
        <f t="shared" si="47"/>
        <v>51.887691688499395</v>
      </c>
      <c r="FH68" s="20">
        <f t="shared" ref="FH68:FH131" si="76">(FF68+FG68)*0.475*44/12</f>
        <v>455.73936632413648</v>
      </c>
      <c r="FI68" s="59">
        <f t="shared" ref="FI68:FI131" si="77">FH68+(EZ68+FA68)*44/12</f>
        <v>749.0726996574698</v>
      </c>
      <c r="FJ68" s="59">
        <f ca="1">AVERAGE(OFFSET($FI$3,0,0,'Données projet'!$E$16+1,1))-AVERAGE(OFFSET($H$3,0,0,'Données projet'!$E$16+1,1))</f>
        <v>380.43199889536805</v>
      </c>
      <c r="FK68" s="59">
        <f t="shared" si="48"/>
        <v>154.72646317672996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58.510554751625953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58.510554751625953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304</v>
      </c>
      <c r="O69" s="13">
        <f>N69*VLOOKUP('Données projet'!$B$9,Paramètres!$A$1:$I$89,3,0)*VLOOKUP('Données projet'!$B$9,Paramètres!$A$1:$I$89,5,0)</f>
        <v>189.696</v>
      </c>
      <c r="P69" s="13">
        <f t="shared" ref="P69:P132" si="87">EXP(-1.0587+0.8836*LN(O69)+0.284)</f>
        <v>47.472736505152469</v>
      </c>
      <c r="Q69" s="20">
        <f t="shared" si="54"/>
        <v>413.06888274647389</v>
      </c>
      <c r="R69" s="59">
        <f t="shared" si="55"/>
        <v>706.4022160798072</v>
      </c>
      <c r="S69" s="59">
        <f ca="1">AVERAGE(OFFSET($R$3,0,0,'Données projet'!$E$9+1,1))-AVERAGE(OFFSET($H$3,0,0,'Données projet'!$E$9+1,1))</f>
        <v>179.44051550872138</v>
      </c>
      <c r="T69" s="59">
        <f t="shared" ref="T69:T132" si="88">$T$3</f>
        <v>272.9500808380069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60.29005656151238</v>
      </c>
      <c r="AA69" s="21">
        <f>EXP(-LN(2)/25)*AA68+(1-EXP(-LN(2)/25))/(LN(2)/25)*Calculateur!V69*Calculateur!X69*VLOOKUP('Données projet'!$B$9,Paramètres!$A$1:$I$89,3,0)*0.475*44/12</f>
        <v>17.834797777151234</v>
      </c>
      <c r="AB69" s="21">
        <f>EXP(-LN(2)/2)*AB68+(1-EXP(-LN(2)/2))/(LN(2)/2)*V69*Y69*VLOOKUP('Données projet'!$B$9,Paramètres!$A$1:$I$89,3,0)*0.475*44/12</f>
        <v>8.4222907263817205E-7</v>
      </c>
      <c r="AC69" s="22">
        <f t="shared" si="57"/>
        <v>78.124855180892681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13.574000000000002</v>
      </c>
      <c r="AI69" s="13">
        <f>IF('Données projet'!$A$62&gt;35,AI68+AH69-AQ68,IF(A69&lt;'Données projet'!$A$62,$AF$205^A69,IF(A69='Données projet'!$A$62,'Données projet'!$B$62,AI68+AH69-AQ68)))</f>
        <v>375.24399999999986</v>
      </c>
      <c r="AJ69" s="13">
        <f>AI69*VLOOKUP('Données projet'!$B$10,Paramètres!$A$1:$I$89,3,0)*VLOOKUP('Données projet'!$B$10,Paramètres!$A$1:$I$89,5,0)</f>
        <v>180.49236399999995</v>
      </c>
      <c r="AK69" s="13">
        <f t="shared" ref="AK69:AK132" si="89">EXP(-1.0587+0.8836*LN(AJ69)+0.284)</f>
        <v>45.43171066420043</v>
      </c>
      <c r="AL69" s="20">
        <f t="shared" si="58"/>
        <v>393.48443004014899</v>
      </c>
      <c r="AM69" s="59">
        <f t="shared" si="59"/>
        <v>686.81776337348231</v>
      </c>
      <c r="AN69" s="59">
        <f ca="1">AVERAGE(OFFSET($AM$3,0,0,'Données projet'!$E$10+1,1))-AVERAGE(OFFSET($H$3,0,0,'Données projet'!$E$10+1,1))</f>
        <v>174.18188687702559</v>
      </c>
      <c r="AO69" s="59">
        <f t="shared" ref="AO69:AO132" si="90">$AO$3</f>
        <v>32.17353897322738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71.097789104309214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71.097789104309214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0.8600000000003547</v>
      </c>
      <c r="BE69" s="13">
        <f>BD69*VLOOKUP('Données projet'!$B$11,Paramètres!$A$1:$I$89,3,0)*VLOOKUP('Données projet'!$B$11,Paramètres!$A$1:$I$89,5,0)</f>
        <v>0.48074000000019829</v>
      </c>
      <c r="BF69" s="13">
        <f t="shared" ref="BF69:BF132" si="91">EXP(-1.0587+0.8836*LN(BE69)+0.284)</f>
        <v>0.24126147010950588</v>
      </c>
      <c r="BG69" s="20">
        <f t="shared" si="61"/>
        <v>1.2574858937744013</v>
      </c>
      <c r="BH69" s="59">
        <f t="shared" si="62"/>
        <v>294.59081922710772</v>
      </c>
      <c r="BI69" s="59">
        <f ca="1">AVERAGE(OFFSET($BH$3,0,0,'Données projet'!$E$11+1,1))-AVERAGE(OFFSET($H$3,0,0,'Données projet'!$E$11+1,1))</f>
        <v>350.01600895263641</v>
      </c>
      <c r="BJ69" s="59">
        <f t="shared" ref="BJ69:BJ132" si="92">$BJ$3</f>
        <v>464.08921044376882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299.01163253012561</v>
      </c>
      <c r="BQ69" s="21">
        <f>EXP(-LN(2)/25)*BQ68+(1-EXP(-LN(2)/25))/(LN(2)/25)*Calculateur!BL69*Calculateur!BN69*VLOOKUP('Données projet'!$B$11,Paramètres!$A$1:$I$89,3,0)*0.475*44/12</f>
        <v>18.638917227728939</v>
      </c>
      <c r="BR69" s="21">
        <f>EXP(-LN(2)/2)*BR68+(1-EXP(-LN(2)/2))/(LN(2)/2)*BL69*BO69*VLOOKUP('Données projet'!$B$11,Paramètres!$A$1:$I$89,3,0)*0.475*44/12</f>
        <v>2.8225728189957128E-6</v>
      </c>
      <c r="BS69" s="22">
        <f t="shared" si="63"/>
        <v>317.65055258042736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806.27979327409707</v>
      </c>
      <c r="CD69" s="59">
        <f ca="1">AVERAGE(OFFSET($CC$3,0,0,'Données projet'!$E$12+1,1))-AVERAGE(OFFSET($H$3,0,0,'Données projet'!$E$12+1,1))</f>
        <v>279.49721661620544</v>
      </c>
      <c r="CE69" s="59">
        <f t="shared" ref="CE69:CE132" si="94">$CE$3</f>
        <v>275.18739333988754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50.145571094486257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50.145571094486257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8.0925000000000011</v>
      </c>
      <c r="CT69" s="12">
        <f>IF('Données projet'!$A$140&gt;35,CT68+CS69-DB68,IF(A69&lt;'Données projet'!$A$140,$CQ$205^A69,IF(A69='Données projet'!$A$140,'Données projet'!$B$140,CT68+CS69-DB68)))</f>
        <v>224.98750000000001</v>
      </c>
      <c r="CU69" s="17">
        <f>CT69*VLOOKUP('Données projet'!$B$13,Paramètres!$A$1:$I$89,3,0)*VLOOKUP('Données projet'!$B$13,Paramètres!$A$1:$I$89,5,0)</f>
        <v>228.13732500000003</v>
      </c>
      <c r="CV69" s="13">
        <f t="shared" ref="CV69:CV132" si="95">EXP(-1.0587+0.8836*LN(CU69)+0.284)</f>
        <v>55.879737239103818</v>
      </c>
      <c r="CW69" s="20">
        <f t="shared" si="67"/>
        <v>494.66305006643915</v>
      </c>
      <c r="CX69" s="59">
        <f t="shared" si="68"/>
        <v>787.99638339977241</v>
      </c>
      <c r="CY69" s="59">
        <f ca="1">AVERAGE(OFFSET($CX$3,0,0,'Données projet'!$E$13+1,1))-AVERAGE(OFFSET($H$3,0,0,'Données projet'!$E$13+1,1))</f>
        <v>402.54350692668021</v>
      </c>
      <c r="CZ69" s="59">
        <f t="shared" ref="CZ69:CZ132" si="96">$CZ$3</f>
        <v>163.60655196884522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60.138837096064037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60.138837096064037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10</v>
      </c>
      <c r="DO69" s="12">
        <f>IF('Données projet'!$A$166&gt;35,DO68+DN69-DW68,IF(A69&lt;'Données projet'!$A$166,$DL$205^A69,IF(A69='Données projet'!$A$166,'Données projet'!$B$166,DO68+DN69-DW68)))</f>
        <v>275.99999999999994</v>
      </c>
      <c r="DP69" s="17">
        <f>DO69*VLOOKUP('Données projet'!$B$14,Paramètres!$A$1:$I$89,3,0)*VLOOKUP('Données projet'!$B$14,Paramètres!$A$1:$I$89,5,0)</f>
        <v>236.80799999999999</v>
      </c>
      <c r="DQ69" s="13">
        <f t="shared" ref="DQ69:DQ132" si="97">EXP(-1.0587+0.8836*LN(DP69)+0.284)</f>
        <v>57.752221878398714</v>
      </c>
      <c r="DR69" s="20">
        <f t="shared" si="70"/>
        <v>513.02571977154435</v>
      </c>
      <c r="DS69" s="59">
        <f t="shared" si="71"/>
        <v>806.3590531048776</v>
      </c>
      <c r="DT69" s="59">
        <f ca="1">AVERAGE(OFFSET($DS$3,0,0,'Données projet'!$E$14+1,1))-AVERAGE(OFFSET($H$3,0,0,'Données projet'!$E$14+1,1))</f>
        <v>352.76625414822473</v>
      </c>
      <c r="DU69" s="59">
        <f t="shared" ref="DU69:DU132" si="98">$DU$3</f>
        <v>186.48649111821521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73.187135953554915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73.187135953554915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5.5555555588888881</v>
      </c>
      <c r="EJ69" s="12">
        <f>IF('Données projet'!$A$192&gt;35,EJ68+EI69-ER68,IF(A69&lt;'Données projet'!$A$192,$EG$205^A69,IF(A69='Données projet'!$A$192,'Données projet'!$B$192,EJ68+EI69-ER68)))</f>
        <v>193.58974362333345</v>
      </c>
      <c r="EK69" s="17">
        <f>EJ69*VLOOKUP('Données projet'!$B$15,Paramètres!$A$1:$I$89,3,0)*VLOOKUP('Données projet'!$B$15,Paramètres!$A$1:$I$89,5,0)</f>
        <v>151.0000000262001</v>
      </c>
      <c r="EL69" s="13">
        <f t="shared" ref="EL69:EL132" si="99">EXP(-1.0587+0.8836*LN(EK69)+0.284)</f>
        <v>38.80575125875724</v>
      </c>
      <c r="EM69" s="20">
        <f t="shared" si="73"/>
        <v>330.57835015463405</v>
      </c>
      <c r="EN69" s="59">
        <f t="shared" si="74"/>
        <v>623.91168348796737</v>
      </c>
      <c r="EO69" s="59">
        <f ca="1">AVERAGE(OFFSET($EN$3,0,0,'Données projet'!$E$15+1,1))-AVERAGE(OFFSET($H$3,0,0,'Données projet'!$E$15+1,1))</f>
        <v>130.66539383144681</v>
      </c>
      <c r="EP69" s="59">
        <f t="shared" ref="EP69:EP132" si="100">$EP$3</f>
        <v>126.36398121441903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34.271872834560284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34.271872834560284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8.0925000000000011</v>
      </c>
      <c r="FE69" s="12">
        <f>IF('Données projet'!$A$218&gt;35,FE68+FD69-FM68,IF(A69&lt;'Données projet'!$A$218,$FB$205^A69,IF(A69='Données projet'!$A$218,'Données projet'!$B$218,FE68+FD69-FM68)))</f>
        <v>224.98750000000001</v>
      </c>
      <c r="FF69" s="17">
        <f>FE69*VLOOKUP('Données projet'!$B$16,Paramètres!$A$1:$I$89,3,0)*VLOOKUP('Données projet'!$B$16,Paramètres!$A$1:$I$89,5,0)</f>
        <v>217.60791000000003</v>
      </c>
      <c r="FG69" s="13">
        <f t="shared" ref="FG69:FG132" si="101">EXP(-1.0587+0.8836*LN(FF69)+0.284)</f>
        <v>53.594646432014372</v>
      </c>
      <c r="FH69" s="20">
        <f t="shared" si="76"/>
        <v>472.34445245242495</v>
      </c>
      <c r="FI69" s="59">
        <f t="shared" si="77"/>
        <v>765.67778578575826</v>
      </c>
      <c r="FJ69" s="59">
        <f ca="1">AVERAGE(OFFSET($FI$3,0,0,'Données projet'!$E$16+1,1))-AVERAGE(OFFSET($H$3,0,0,'Données projet'!$E$16+1,1))</f>
        <v>380.43199889536805</v>
      </c>
      <c r="FK69" s="59">
        <f t="shared" ref="FK69:FK132" si="102">$FK$3</f>
        <v>154.72646317672996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57.363198460861078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57.363198460861078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304</v>
      </c>
      <c r="O70" s="13">
        <f>N70*VLOOKUP('Données projet'!$B$9,Paramètres!$A$1:$I$89,3,0)*VLOOKUP('Données projet'!$B$9,Paramètres!$A$1:$I$89,5,0)</f>
        <v>189.696</v>
      </c>
      <c r="P70" s="13">
        <f t="shared" si="87"/>
        <v>47.472736505152469</v>
      </c>
      <c r="Q70" s="20">
        <f t="shared" si="54"/>
        <v>413.06888274647389</v>
      </c>
      <c r="R70" s="59">
        <f t="shared" si="55"/>
        <v>706.4022160798072</v>
      </c>
      <c r="S70" s="59">
        <f ca="1">AVERAGE(OFFSET($R$3,0,0,'Données projet'!$E$9+1,1))-AVERAGE(OFFSET($H$3,0,0,'Données projet'!$E$9+1,1))</f>
        <v>179.44051550872138</v>
      </c>
      <c r="T70" s="59">
        <f t="shared" si="88"/>
        <v>272.9500808380069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59.107805325644563</v>
      </c>
      <c r="AA70" s="21">
        <f>EXP(-LN(2)/25)*AA69+(1-EXP(-LN(2)/25))/(LN(2)/25)*Calculateur!V70*Calculateur!X70*VLOOKUP('Données projet'!$B$9,Paramètres!$A$1:$I$89,3,0)*0.475*44/12</f>
        <v>17.347104294043781</v>
      </c>
      <c r="AB70" s="21">
        <f>EXP(-LN(2)/2)*AB69+(1-EXP(-LN(2)/2))/(LN(2)/2)*V70*Y70*VLOOKUP('Données projet'!$B$9,Paramètres!$A$1:$I$89,3,0)*0.475*44/12</f>
        <v>5.9554588857490876E-7</v>
      </c>
      <c r="AC70" s="22">
        <f t="shared" si="57"/>
        <v>76.454910215234236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13.574000000000002</v>
      </c>
      <c r="AI70" s="13">
        <f>IF('Données projet'!$A$62&gt;35,AI69+AH70-AQ69,IF(A70&lt;'Données projet'!$A$62,$AF$205^A70,IF(A70='Données projet'!$A$62,'Données projet'!$B$62,AI69+AH70-AQ69)))</f>
        <v>388.81799999999987</v>
      </c>
      <c r="AJ70" s="13">
        <f>AI70*VLOOKUP('Données projet'!$B$10,Paramètres!$A$1:$I$89,3,0)*VLOOKUP('Données projet'!$B$10,Paramètres!$A$1:$I$89,5,0)</f>
        <v>187.02145799999994</v>
      </c>
      <c r="AK70" s="13">
        <f t="shared" si="89"/>
        <v>46.880835159910447</v>
      </c>
      <c r="AL70" s="20">
        <f t="shared" si="58"/>
        <v>407.37982725351054</v>
      </c>
      <c r="AM70" s="59">
        <f t="shared" si="59"/>
        <v>700.71316058684386</v>
      </c>
      <c r="AN70" s="59">
        <f ca="1">AVERAGE(OFFSET($AM$3,0,0,'Données projet'!$E$10+1,1))-AVERAGE(OFFSET($H$3,0,0,'Données projet'!$E$10+1,1))</f>
        <v>174.18188687702559</v>
      </c>
      <c r="AO70" s="59">
        <f t="shared" si="90"/>
        <v>32.17353897322738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69.703604825343092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69.703604825343092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0.8600000000003547</v>
      </c>
      <c r="BE70" s="13">
        <f>BD70*VLOOKUP('Données projet'!$B$11,Paramètres!$A$1:$I$89,3,0)*VLOOKUP('Données projet'!$B$11,Paramètres!$A$1:$I$89,5,0)</f>
        <v>0.48074000000019829</v>
      </c>
      <c r="BF70" s="13">
        <f t="shared" si="91"/>
        <v>0.24126147010950588</v>
      </c>
      <c r="BG70" s="20">
        <f t="shared" si="61"/>
        <v>1.2574858937744013</v>
      </c>
      <c r="BH70" s="59">
        <f t="shared" si="62"/>
        <v>294.59081922710772</v>
      </c>
      <c r="BI70" s="59">
        <f ca="1">AVERAGE(OFFSET($BH$3,0,0,'Données projet'!$E$11+1,1))-AVERAGE(OFFSET($H$3,0,0,'Données projet'!$E$11+1,1))</f>
        <v>350.01600895263641</v>
      </c>
      <c r="BJ70" s="59">
        <f t="shared" si="92"/>
        <v>464.08921044376882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293.14819679529722</v>
      </c>
      <c r="BQ70" s="21">
        <f>EXP(-LN(2)/25)*BQ69+(1-EXP(-LN(2)/25))/(LN(2)/25)*Calculateur!BL70*Calculateur!BN70*VLOOKUP('Données projet'!$B$11,Paramètres!$A$1:$I$89,3,0)*0.475*44/12</f>
        <v>18.129235055958635</v>
      </c>
      <c r="BR70" s="21">
        <f>EXP(-LN(2)/2)*BR69+(1-EXP(-LN(2)/2))/(LN(2)/2)*BL70*BO70*VLOOKUP('Données projet'!$B$11,Paramètres!$A$1:$I$89,3,0)*0.475*44/12</f>
        <v>1.995860380704698E-6</v>
      </c>
      <c r="BS70" s="22">
        <f t="shared" si="63"/>
        <v>311.27743384711624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814.02622575598753</v>
      </c>
      <c r="CD70" s="59">
        <f ca="1">AVERAGE(OFFSET($CC$3,0,0,'Données projet'!$E$12+1,1))-AVERAGE(OFFSET($H$3,0,0,'Données projet'!$E$12+1,1))</f>
        <v>279.49721661620544</v>
      </c>
      <c r="CE70" s="59">
        <f t="shared" si="94"/>
        <v>275.18739333988754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49.162247031101657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49.162247031101657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233.08</v>
      </c>
      <c r="CR70" s="12">
        <f>VLOOKUP(A70,'Données projet'!$A$139:$I$159,9,0)</f>
        <v>8.0925000000000011</v>
      </c>
      <c r="CS70" s="12">
        <f t="array" ref="CS70">INDEX(CR:CR,MIN(IF(ISNUMBER(CR70:CR266),ROW(CR70:CR266),"")))</f>
        <v>8.0925000000000011</v>
      </c>
      <c r="CT70" s="12">
        <f>IF('Données projet'!$A$140&gt;35,CT69+CS70-DB69,IF(A70&lt;'Données projet'!$A$140,$CQ$205^A70,IF(A70='Données projet'!$A$140,'Données projet'!$B$140,CT69+CS70-DB69)))</f>
        <v>233.08</v>
      </c>
      <c r="CU70" s="17">
        <f>CT70*VLOOKUP('Données projet'!$B$13,Paramètres!$A$1:$I$89,3,0)*VLOOKUP('Données projet'!$B$13,Paramètres!$A$1:$I$89,5,0)</f>
        <v>236.34312000000003</v>
      </c>
      <c r="CV70" s="13">
        <f t="shared" si="95"/>
        <v>57.652033222582375</v>
      </c>
      <c r="CW70" s="20">
        <f t="shared" si="67"/>
        <v>512.04155852933104</v>
      </c>
      <c r="CX70" s="59">
        <f t="shared" si="68"/>
        <v>805.3748918626643</v>
      </c>
      <c r="CY70" s="59">
        <f ca="1">AVERAGE(OFFSET($CX$3,0,0,'Données projet'!$E$13+1,1))-AVERAGE(OFFSET($H$3,0,0,'Données projet'!$E$13+1,1))</f>
        <v>402.54350692668021</v>
      </c>
      <c r="CZ70" s="59">
        <f t="shared" si="96"/>
        <v>163.60655196884522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40.630000000000003</v>
      </c>
      <c r="DC70" s="16">
        <f>IF(ISNA(VLOOKUP(A70,'Données projet'!$A$139:$I$159,5,0)),0%,VLOOKUP(A70,'Données projet'!$A$139:$I$159,5,0)*VLOOKUP('Données projet'!$B$13,Paramètres!$A$1:$I$89,7,0))</f>
        <v>0.43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78.543503509814073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78.543503509814073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10</v>
      </c>
      <c r="DO70" s="12">
        <f>IF('Données projet'!$A$166&gt;35,DO69+DN70-DW69,IF(A70&lt;'Données projet'!$A$166,$DL$205^A70,IF(A70='Données projet'!$A$166,'Données projet'!$B$166,DO69+DN70-DW69)))</f>
        <v>285.99999999999994</v>
      </c>
      <c r="DP70" s="17">
        <f>DO70*VLOOKUP('Données projet'!$B$14,Paramètres!$A$1:$I$89,3,0)*VLOOKUP('Données projet'!$B$14,Paramètres!$A$1:$I$89,5,0)</f>
        <v>245.38799999999998</v>
      </c>
      <c r="DQ70" s="13">
        <f t="shared" si="97"/>
        <v>59.597282764919569</v>
      </c>
      <c r="DR70" s="20">
        <f t="shared" si="70"/>
        <v>531.18270081556818</v>
      </c>
      <c r="DS70" s="59">
        <f t="shared" si="71"/>
        <v>824.51603414890155</v>
      </c>
      <c r="DT70" s="59">
        <f ca="1">AVERAGE(OFFSET($DS$3,0,0,'Données projet'!$E$14+1,1))-AVERAGE(OFFSET($H$3,0,0,'Données projet'!$E$14+1,1))</f>
        <v>352.76625414822473</v>
      </c>
      <c r="DU70" s="59">
        <f t="shared" si="98"/>
        <v>186.48649111821521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71.751980857250828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71.751980857250828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5.5555555588888881</v>
      </c>
      <c r="EJ70" s="12">
        <f>IF('Données projet'!$A$192&gt;35,EJ69+EI70-ER69,IF(A70&lt;'Données projet'!$A$192,$EG$205^A70,IF(A70='Données projet'!$A$192,'Données projet'!$B$192,EJ69+EI70-ER69)))</f>
        <v>199.14529918222235</v>
      </c>
      <c r="EK70" s="17">
        <f>EJ70*VLOOKUP('Données projet'!$B$15,Paramètres!$A$1:$I$89,3,0)*VLOOKUP('Données projet'!$B$15,Paramètres!$A$1:$I$89,5,0)</f>
        <v>155.33333336213343</v>
      </c>
      <c r="EL70" s="13">
        <f t="shared" si="99"/>
        <v>39.788129268236489</v>
      </c>
      <c r="EM70" s="20">
        <f t="shared" si="73"/>
        <v>339.83654741456093</v>
      </c>
      <c r="EN70" s="59">
        <f t="shared" si="74"/>
        <v>633.16988074789424</v>
      </c>
      <c r="EO70" s="59">
        <f ca="1">AVERAGE(OFFSET($EN$3,0,0,'Données projet'!$E$15+1,1))-AVERAGE(OFFSET($H$3,0,0,'Données projet'!$E$15+1,1))</f>
        <v>130.66539383144681</v>
      </c>
      <c r="EP70" s="59">
        <f t="shared" si="100"/>
        <v>126.36398121441903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33.599822312052908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33.599822312052908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>
        <f>VLOOKUP(A70,'Données projet'!$A$217:$I$237,2,0)</f>
        <v>233.08</v>
      </c>
      <c r="FC70" s="12">
        <f>VLOOKUP(A70,'Données projet'!$A$217:$I$237,9,0)</f>
        <v>8.0925000000000011</v>
      </c>
      <c r="FD70" s="12">
        <f t="array" ref="FD70">INDEX(FC:FC,MIN(IF(ISNUMBER(FC70:FC266),ROW(FC70:FC266),"")))</f>
        <v>8.0925000000000011</v>
      </c>
      <c r="FE70" s="12">
        <f>IF('Données projet'!$A$218&gt;35,FE69+FD70-FM69,IF(A70&lt;'Données projet'!$A$218,$FB$205^A70,IF(A70='Données projet'!$A$218,'Données projet'!$B$218,FE69+FD70-FM69)))</f>
        <v>233.08</v>
      </c>
      <c r="FF70" s="17">
        <f>FE70*VLOOKUP('Données projet'!$B$16,Paramètres!$A$1:$I$89,3,0)*VLOOKUP('Données projet'!$B$16,Paramètres!$A$1:$I$89,5,0)</f>
        <v>225.43497600000001</v>
      </c>
      <c r="FG70" s="13">
        <f t="shared" si="101"/>
        <v>55.294467893253156</v>
      </c>
      <c r="FH70" s="20">
        <f t="shared" si="76"/>
        <v>488.93711478074925</v>
      </c>
      <c r="FI70" s="59">
        <f t="shared" si="77"/>
        <v>782.27044811408257</v>
      </c>
      <c r="FJ70" s="59">
        <f ca="1">AVERAGE(OFFSET($FI$3,0,0,'Données projet'!$E$16+1,1))-AVERAGE(OFFSET($H$3,0,0,'Données projet'!$E$16+1,1))</f>
        <v>380.43199889536805</v>
      </c>
      <c r="FK70" s="59">
        <f t="shared" si="102"/>
        <v>154.72646317672996</v>
      </c>
      <c r="FL70" s="15">
        <f>IF(ISNA(VLOOKUP(A70,'Données projet'!$A$217:$I$237,3,0)),0,VLOOKUP(A70,'Données projet'!$A$217:$I$237,3,0))</f>
        <v>4</v>
      </c>
      <c r="FM70" s="15">
        <f>IF(ISNA(VLOOKUP(A70,'Données projet'!$A$217:$I$237,4,0)),0,VLOOKUP(A70,'Données projet'!$A$217:$I$237,4,0))</f>
        <v>40.630000000000003</v>
      </c>
      <c r="FN70" s="16">
        <f>IF(ISNA(VLOOKUP(A70,'Données projet'!$A$217:$I$237,5,0)),0%,VLOOKUP(A70,'Données projet'!$A$217:$I$237,5,0)*VLOOKUP('Données projet'!$B$16,Paramètres!$A$1:$I$89,7,0))</f>
        <v>0.43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74.918418732438028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74.918418732438028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304</v>
      </c>
      <c r="O71" s="13">
        <f>N71*VLOOKUP('Données projet'!$B$9,Paramètres!$A$1:$I$89,3,0)*VLOOKUP('Données projet'!$B$9,Paramètres!$A$1:$I$89,5,0)</f>
        <v>189.696</v>
      </c>
      <c r="P71" s="13">
        <f t="shared" si="87"/>
        <v>47.472736505152469</v>
      </c>
      <c r="Q71" s="20">
        <f t="shared" si="54"/>
        <v>413.06888274647389</v>
      </c>
      <c r="R71" s="59">
        <f t="shared" si="55"/>
        <v>706.4022160798072</v>
      </c>
      <c r="S71" s="59">
        <f ca="1">AVERAGE(OFFSET($R$3,0,0,'Données projet'!$E$9+1,1))-AVERAGE(OFFSET($H$3,0,0,'Données projet'!$E$9+1,1))</f>
        <v>179.44051550872138</v>
      </c>
      <c r="T71" s="59">
        <f t="shared" si="88"/>
        <v>272.9500808380069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57.948737315410064</v>
      </c>
      <c r="AA71" s="21">
        <f>EXP(-LN(2)/25)*AA70+(1-EXP(-LN(2)/25))/(LN(2)/25)*Calculateur!V71*Calculateur!X71*VLOOKUP('Données projet'!$B$9,Paramètres!$A$1:$I$89,3,0)*0.475*44/12</f>
        <v>16.872746814878585</v>
      </c>
      <c r="AB71" s="21">
        <f>EXP(-LN(2)/2)*AB70+(1-EXP(-LN(2)/2))/(LN(2)/2)*V71*Y71*VLOOKUP('Données projet'!$B$9,Paramètres!$A$1:$I$89,3,0)*0.475*44/12</f>
        <v>4.2111453631908603E-7</v>
      </c>
      <c r="AC71" s="22">
        <f t="shared" si="57"/>
        <v>74.821484551403188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13.574000000000002</v>
      </c>
      <c r="AI71" s="13">
        <f>IF('Données projet'!$A$62&gt;35,AI70+AH71-AQ70,IF(A71&lt;'Données projet'!$A$62,$AF$205^A71,IF(A71='Données projet'!$A$62,'Données projet'!$B$62,AI70+AH71-AQ70)))</f>
        <v>402.39199999999988</v>
      </c>
      <c r="AJ71" s="13">
        <f>AI71*VLOOKUP('Données projet'!$B$10,Paramètres!$A$1:$I$89,3,0)*VLOOKUP('Données projet'!$B$10,Paramètres!$A$1:$I$89,5,0)</f>
        <v>193.55055199999993</v>
      </c>
      <c r="AK71" s="13">
        <f t="shared" si="89"/>
        <v>48.324081632999601</v>
      </c>
      <c r="AL71" s="20">
        <f t="shared" si="58"/>
        <v>421.26498691080747</v>
      </c>
      <c r="AM71" s="59">
        <f t="shared" si="59"/>
        <v>714.59832024414072</v>
      </c>
      <c r="AN71" s="59">
        <f ca="1">AVERAGE(OFFSET($AM$3,0,0,'Données projet'!$E$10+1,1))-AVERAGE(OFFSET($H$3,0,0,'Données projet'!$E$10+1,1))</f>
        <v>174.18188687702559</v>
      </c>
      <c r="AO71" s="59">
        <f t="shared" si="90"/>
        <v>32.17353897322738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68.336759649719056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68.336759649719056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0.8600000000003547</v>
      </c>
      <c r="BE71" s="13">
        <f>BD71*VLOOKUP('Données projet'!$B$11,Paramètres!$A$1:$I$89,3,0)*VLOOKUP('Données projet'!$B$11,Paramètres!$A$1:$I$89,5,0)</f>
        <v>0.48074000000019829</v>
      </c>
      <c r="BF71" s="13">
        <f t="shared" si="91"/>
        <v>0.24126147010950588</v>
      </c>
      <c r="BG71" s="20">
        <f t="shared" si="61"/>
        <v>1.2574858937744013</v>
      </c>
      <c r="BH71" s="59">
        <f t="shared" si="62"/>
        <v>294.59081922710772</v>
      </c>
      <c r="BI71" s="59">
        <f ca="1">AVERAGE(OFFSET($BH$3,0,0,'Données projet'!$E$11+1,1))-AVERAGE(OFFSET($H$3,0,0,'Données projet'!$E$11+1,1))</f>
        <v>350.01600895263641</v>
      </c>
      <c r="BJ71" s="59">
        <f t="shared" si="92"/>
        <v>464.08921044376882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287.39973945888619</v>
      </c>
      <c r="BQ71" s="21">
        <f>EXP(-LN(2)/25)*BQ70+(1-EXP(-LN(2)/25))/(LN(2)/25)*Calculateur!BL71*Calculateur!BN71*VLOOKUP('Données projet'!$B$11,Paramètres!$A$1:$I$89,3,0)*0.475*44/12</f>
        <v>17.633490169978408</v>
      </c>
      <c r="BR71" s="21">
        <f>EXP(-LN(2)/2)*BR70+(1-EXP(-LN(2)/2))/(LN(2)/2)*BL71*BO71*VLOOKUP('Données projet'!$B$11,Paramètres!$A$1:$I$89,3,0)*0.475*44/12</f>
        <v>1.4112864094978564E-6</v>
      </c>
      <c r="BS71" s="22">
        <f t="shared" si="63"/>
        <v>305.03323104015101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821.77022875167131</v>
      </c>
      <c r="CD71" s="59">
        <f ca="1">AVERAGE(OFFSET($CC$3,0,0,'Données projet'!$E$12+1,1))-AVERAGE(OFFSET($H$3,0,0,'Données projet'!$E$12+1,1))</f>
        <v>279.49721661620544</v>
      </c>
      <c r="CE71" s="59">
        <f t="shared" si="94"/>
        <v>275.18739333988754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48.198205352831572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48.198205352831572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7.8049999999999962</v>
      </c>
      <c r="CT71" s="12">
        <f>IF('Données projet'!$A$140&gt;35,CT70+CS71-DB70,IF(A71&lt;'Données projet'!$A$140,$CQ$205^A71,IF(A71='Données projet'!$A$140,'Données projet'!$B$140,CT70+CS71-DB70)))</f>
        <v>200.25500000000002</v>
      </c>
      <c r="CU71" s="17">
        <f>CT71*VLOOKUP('Données projet'!$B$13,Paramètres!$A$1:$I$89,3,0)*VLOOKUP('Données projet'!$B$13,Paramètres!$A$1:$I$89,5,0)</f>
        <v>203.05857000000006</v>
      </c>
      <c r="CV71" s="13">
        <f t="shared" si="95"/>
        <v>50.415753944455879</v>
      </c>
      <c r="CW71" s="20">
        <f t="shared" si="67"/>
        <v>441.46778086992737</v>
      </c>
      <c r="CX71" s="59">
        <f t="shared" si="68"/>
        <v>734.80111420326068</v>
      </c>
      <c r="CY71" s="59">
        <f ca="1">AVERAGE(OFFSET($CX$3,0,0,'Données projet'!$E$13+1,1))-AVERAGE(OFFSET($H$3,0,0,'Données projet'!$E$13+1,1))</f>
        <v>402.54350692668021</v>
      </c>
      <c r="CZ71" s="59">
        <f t="shared" si="96"/>
        <v>163.60655196884522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77.003313312793352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77.003313312793352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10</v>
      </c>
      <c r="DO71" s="12">
        <f>IF('Données projet'!$A$166&gt;35,DO70+DN71-DW70,IF(A71&lt;'Données projet'!$A$166,$DL$205^A71,IF(A71='Données projet'!$A$166,'Données projet'!$B$166,DO70+DN71-DW70)))</f>
        <v>295.99999999999994</v>
      </c>
      <c r="DP71" s="17">
        <f>DO71*VLOOKUP('Données projet'!$B$14,Paramètres!$A$1:$I$89,3,0)*VLOOKUP('Données projet'!$B$14,Paramètres!$A$1:$I$89,5,0)</f>
        <v>253.96799999999999</v>
      </c>
      <c r="DQ71" s="13">
        <f t="shared" si="97"/>
        <v>61.434848029666512</v>
      </c>
      <c r="DR71" s="20">
        <f t="shared" si="70"/>
        <v>549.32662698500246</v>
      </c>
      <c r="DS71" s="59">
        <f t="shared" si="71"/>
        <v>842.65996031833583</v>
      </c>
      <c r="DT71" s="59">
        <f ca="1">AVERAGE(OFFSET($DS$3,0,0,'Données projet'!$E$14+1,1))-AVERAGE(OFFSET($H$3,0,0,'Données projet'!$E$14+1,1))</f>
        <v>352.76625414822473</v>
      </c>
      <c r="DU71" s="59">
        <f t="shared" si="98"/>
        <v>186.48649111821521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70.344968277027093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70.344968277027093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5.5555555588888881</v>
      </c>
      <c r="EJ71" s="12">
        <f>IF('Données projet'!$A$192&gt;35,EJ70+EI71-ER70,IF(A71&lt;'Données projet'!$A$192,$EG$205^A71,IF(A71='Données projet'!$A$192,'Données projet'!$B$192,EJ70+EI71-ER70)))</f>
        <v>204.70085474111124</v>
      </c>
      <c r="EK71" s="17">
        <f>EJ71*VLOOKUP('Données projet'!$B$15,Paramètres!$A$1:$I$89,3,0)*VLOOKUP('Données projet'!$B$15,Paramètres!$A$1:$I$89,5,0)</f>
        <v>159.66666669806676</v>
      </c>
      <c r="EL71" s="13">
        <f t="shared" si="99"/>
        <v>40.767322026834833</v>
      </c>
      <c r="EM71" s="20">
        <f t="shared" si="73"/>
        <v>349.08919702920366</v>
      </c>
      <c r="EN71" s="59">
        <f t="shared" si="74"/>
        <v>642.42253036253692</v>
      </c>
      <c r="EO71" s="59">
        <f ca="1">AVERAGE(OFFSET($EN$3,0,0,'Données projet'!$E$15+1,1))-AVERAGE(OFFSET($H$3,0,0,'Données projet'!$E$15+1,1))</f>
        <v>130.66539383144681</v>
      </c>
      <c r="EP71" s="59">
        <f t="shared" si="100"/>
        <v>126.36398121441903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32.940950290381558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32.940950290381558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7.8049999999999962</v>
      </c>
      <c r="FE71" s="12">
        <f>IF('Données projet'!$A$218&gt;35,FE70+FD71-FM70,IF(A71&lt;'Données projet'!$A$218,$FB$205^A71,IF(A71='Données projet'!$A$218,'Données projet'!$B$218,FE70+FD71-FM70)))</f>
        <v>200.25500000000002</v>
      </c>
      <c r="FF71" s="17">
        <f>FE71*VLOOKUP('Données projet'!$B$16,Paramètres!$A$1:$I$89,3,0)*VLOOKUP('Données projet'!$B$16,Paramètres!$A$1:$I$89,5,0)</f>
        <v>193.68663600000005</v>
      </c>
      <c r="FG71" s="13">
        <f t="shared" si="101"/>
        <v>48.354101875871329</v>
      </c>
      <c r="FH71" s="20">
        <f t="shared" si="76"/>
        <v>421.55428513380929</v>
      </c>
      <c r="FI71" s="59">
        <f t="shared" si="77"/>
        <v>714.8876184671426</v>
      </c>
      <c r="FJ71" s="59">
        <f ca="1">AVERAGE(OFFSET($FI$3,0,0,'Données projet'!$E$16+1,1))-AVERAGE(OFFSET($H$3,0,0,'Données projet'!$E$16+1,1))</f>
        <v>380.43199889536805</v>
      </c>
      <c r="FK71" s="59">
        <f t="shared" si="102"/>
        <v>154.72646317672996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73.449314236818267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73.449314236818267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304</v>
      </c>
      <c r="O72" s="13">
        <f>N72*VLOOKUP('Données projet'!$B$9,Paramètres!$A$1:$I$89,3,0)*VLOOKUP('Données projet'!$B$9,Paramètres!$A$1:$I$89,5,0)</f>
        <v>189.696</v>
      </c>
      <c r="P72" s="13">
        <f t="shared" si="87"/>
        <v>47.472736505152469</v>
      </c>
      <c r="Q72" s="20">
        <f t="shared" si="54"/>
        <v>413.06888274647389</v>
      </c>
      <c r="R72" s="59">
        <f t="shared" si="55"/>
        <v>706.4022160798072</v>
      </c>
      <c r="S72" s="59">
        <f ca="1">AVERAGE(OFFSET($R$3,0,0,'Données projet'!$E$9+1,1))-AVERAGE(OFFSET($H$3,0,0,'Données projet'!$E$9+1,1))</f>
        <v>179.44051550872138</v>
      </c>
      <c r="T72" s="59">
        <f t="shared" si="88"/>
        <v>272.9500808380069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56.812397921894579</v>
      </c>
      <c r="AA72" s="21">
        <f>EXP(-LN(2)/25)*AA71+(1-EXP(-LN(2)/25))/(LN(2)/25)*Calculateur!V72*Calculateur!X72*VLOOKUP('Données projet'!$B$9,Paramètres!$A$1:$I$89,3,0)*0.475*44/12</f>
        <v>16.411360665926537</v>
      </c>
      <c r="AB72" s="21">
        <f>EXP(-LN(2)/2)*AB71+(1-EXP(-LN(2)/2))/(LN(2)/2)*V72*Y72*VLOOKUP('Données projet'!$B$9,Paramètres!$A$1:$I$89,3,0)*0.475*44/12</f>
        <v>2.9777294428745438E-7</v>
      </c>
      <c r="AC72" s="22">
        <f t="shared" si="57"/>
        <v>73.223758885594066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13.574000000000002</v>
      </c>
      <c r="AI72" s="13">
        <f>IF('Données projet'!$A$62&gt;35,AI71+AH72-AQ71,IF(A72&lt;'Données projet'!$A$62,$AF$205^A72,IF(A72='Données projet'!$A$62,'Données projet'!$B$62,AI71+AH72-AQ71)))</f>
        <v>415.96599999999989</v>
      </c>
      <c r="AJ72" s="13">
        <f>AI72*VLOOKUP('Données projet'!$B$10,Paramètres!$A$1:$I$89,3,0)*VLOOKUP('Données projet'!$B$10,Paramètres!$A$1:$I$89,5,0)</f>
        <v>200.07964599999994</v>
      </c>
      <c r="AK72" s="13">
        <f t="shared" si="89"/>
        <v>49.761671099913798</v>
      </c>
      <c r="AL72" s="20">
        <f t="shared" si="58"/>
        <v>435.14029394901644</v>
      </c>
      <c r="AM72" s="59">
        <f t="shared" si="59"/>
        <v>728.47362728234975</v>
      </c>
      <c r="AN72" s="59">
        <f ca="1">AVERAGE(OFFSET($AM$3,0,0,'Données projet'!$E$10+1,1))-AVERAGE(OFFSET($H$3,0,0,'Données projet'!$E$10+1,1))</f>
        <v>174.18188687702559</v>
      </c>
      <c r="AO72" s="59">
        <f t="shared" si="90"/>
        <v>32.17353897322738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66.996717474295764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66.996717474295764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0.8600000000003547</v>
      </c>
      <c r="BE72" s="13">
        <f>BD72*VLOOKUP('Données projet'!$B$11,Paramètres!$A$1:$I$89,3,0)*VLOOKUP('Données projet'!$B$11,Paramètres!$A$1:$I$89,5,0)</f>
        <v>0.48074000000019829</v>
      </c>
      <c r="BF72" s="13">
        <f t="shared" si="91"/>
        <v>0.24126147010950588</v>
      </c>
      <c r="BG72" s="20">
        <f t="shared" si="61"/>
        <v>1.2574858937744013</v>
      </c>
      <c r="BH72" s="59">
        <f t="shared" si="62"/>
        <v>294.59081922710772</v>
      </c>
      <c r="BI72" s="59">
        <f ca="1">AVERAGE(OFFSET($BH$3,0,0,'Données projet'!$E$11+1,1))-AVERAGE(OFFSET($H$3,0,0,'Données projet'!$E$11+1,1))</f>
        <v>350.01600895263641</v>
      </c>
      <c r="BJ72" s="59">
        <f t="shared" si="92"/>
        <v>464.08921044376882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281.76400586462938</v>
      </c>
      <c r="BQ72" s="21">
        <f>EXP(-LN(2)/25)*BQ71+(1-EXP(-LN(2)/25))/(LN(2)/25)*Calculateur!BL72*Calculateur!BN72*VLOOKUP('Données projet'!$B$11,Paramètres!$A$1:$I$89,3,0)*0.475*44/12</f>
        <v>17.151301453975403</v>
      </c>
      <c r="BR72" s="21">
        <f>EXP(-LN(2)/2)*BR71+(1-EXP(-LN(2)/2))/(LN(2)/2)*BL72*BO72*VLOOKUP('Données projet'!$B$11,Paramètres!$A$1:$I$89,3,0)*0.475*44/12</f>
        <v>9.9793019035234902E-7</v>
      </c>
      <c r="BS72" s="22">
        <f t="shared" si="63"/>
        <v>298.915308316535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829.51184289524258</v>
      </c>
      <c r="CD72" s="59">
        <f ca="1">AVERAGE(OFFSET($CC$3,0,0,'Données projet'!$E$12+1,1))-AVERAGE(OFFSET($H$3,0,0,'Données projet'!$E$12+1,1))</f>
        <v>279.49721661620544</v>
      </c>
      <c r="CE72" s="59">
        <f t="shared" si="94"/>
        <v>275.18739333988754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47.253067943864998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47.253067943864998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7.8049999999999962</v>
      </c>
      <c r="CT72" s="12">
        <f>IF('Données projet'!$A$140&gt;35,CT71+CS72-DB71,IF(A72&lt;'Données projet'!$A$140,$CQ$205^A72,IF(A72='Données projet'!$A$140,'Données projet'!$B$140,CT71+CS72-DB71)))</f>
        <v>208.06000000000003</v>
      </c>
      <c r="CU72" s="17">
        <f>CT72*VLOOKUP('Données projet'!$B$13,Paramètres!$A$1:$I$89,3,0)*VLOOKUP('Données projet'!$B$13,Paramètres!$A$1:$I$89,5,0)</f>
        <v>210.97284000000005</v>
      </c>
      <c r="CV72" s="13">
        <f t="shared" si="95"/>
        <v>52.148118495572078</v>
      </c>
      <c r="CW72" s="20">
        <f t="shared" si="67"/>
        <v>458.26900271312144</v>
      </c>
      <c r="CX72" s="59">
        <f t="shared" si="68"/>
        <v>751.60233604645475</v>
      </c>
      <c r="CY72" s="59">
        <f ca="1">AVERAGE(OFFSET($CX$3,0,0,'Données projet'!$E$13+1,1))-AVERAGE(OFFSET($H$3,0,0,'Données projet'!$E$13+1,1))</f>
        <v>402.54350692668021</v>
      </c>
      <c r="CZ72" s="59">
        <f t="shared" si="96"/>
        <v>163.60655196884522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75.493325306112951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75.493325306112951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10</v>
      </c>
      <c r="DO72" s="12">
        <f>IF('Données projet'!$A$166&gt;35,DO71+DN72-DW71,IF(A72&lt;'Données projet'!$A$166,$DL$205^A72,IF(A72='Données projet'!$A$166,'Données projet'!$B$166,DO71+DN72-DW71)))</f>
        <v>305.99999999999994</v>
      </c>
      <c r="DP72" s="17">
        <f>DO72*VLOOKUP('Données projet'!$B$14,Paramètres!$A$1:$I$89,3,0)*VLOOKUP('Données projet'!$B$14,Paramètres!$A$1:$I$89,5,0)</f>
        <v>262.548</v>
      </c>
      <c r="DQ72" s="13">
        <f t="shared" si="97"/>
        <v>63.265199933079444</v>
      </c>
      <c r="DR72" s="20">
        <f t="shared" si="70"/>
        <v>567.45798988344666</v>
      </c>
      <c r="DS72" s="59">
        <f t="shared" si="71"/>
        <v>860.79132321678003</v>
      </c>
      <c r="DT72" s="59">
        <f ca="1">AVERAGE(OFFSET($DS$3,0,0,'Données projet'!$E$14+1,1))-AVERAGE(OFFSET($H$3,0,0,'Données projet'!$E$14+1,1))</f>
        <v>352.76625414822473</v>
      </c>
      <c r="DU72" s="59">
        <f t="shared" si="98"/>
        <v>186.48649111821521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68.965546355308604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68.965546355308604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210.2564103</v>
      </c>
      <c r="EH72" s="12">
        <f>VLOOKUP(A72,'Données projet'!$A$191:$I$211,9,0)</f>
        <v>5.5555555588888881</v>
      </c>
      <c r="EI72" s="12">
        <f t="array" ref="EI72">INDEX(EH:EH,MIN(IF(ISNUMBER(EH72:EH268),ROW(EH72:EH268),"")))</f>
        <v>5.5555555588888881</v>
      </c>
      <c r="EJ72" s="12">
        <f>IF('Données projet'!$A$192&gt;35,EJ71+EI72-ER71,IF(A72&lt;'Données projet'!$A$192,$EG$205^A72,IF(A72='Données projet'!$A$192,'Données projet'!$B$192,EJ71+EI72-ER71)))</f>
        <v>210.25641030000014</v>
      </c>
      <c r="EK72" s="17">
        <f>EJ72*VLOOKUP('Données projet'!$B$15,Paramètres!$A$1:$I$89,3,0)*VLOOKUP('Données projet'!$B$15,Paramètres!$A$1:$I$89,5,0)</f>
        <v>164.00000003400012</v>
      </c>
      <c r="EL72" s="13">
        <f t="shared" si="99"/>
        <v>41.743425916009095</v>
      </c>
      <c r="EM72" s="20">
        <f t="shared" si="73"/>
        <v>358.3364668629327</v>
      </c>
      <c r="EN72" s="59">
        <f t="shared" si="74"/>
        <v>651.66980019626601</v>
      </c>
      <c r="EO72" s="59">
        <f ca="1">AVERAGE(OFFSET($EN$3,0,0,'Données projet'!$E$15+1,1))-AVERAGE(OFFSET($H$3,0,0,'Données projet'!$E$15+1,1))</f>
        <v>130.66539383144681</v>
      </c>
      <c r="EP72" s="59">
        <f t="shared" si="100"/>
        <v>126.36398121441903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32.294998347182933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32.294998347182933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7.8049999999999962</v>
      </c>
      <c r="FE72" s="12">
        <f>IF('Données projet'!$A$218&gt;35,FE71+FD72-FM71,IF(A72&lt;'Données projet'!$A$218,$FB$205^A72,IF(A72='Données projet'!$A$218,'Données projet'!$B$218,FE71+FD72-FM71)))</f>
        <v>208.06000000000003</v>
      </c>
      <c r="FF72" s="17">
        <f>FE72*VLOOKUP('Données projet'!$B$16,Paramètres!$A$1:$I$89,3,0)*VLOOKUP('Données projet'!$B$16,Paramètres!$A$1:$I$89,5,0)</f>
        <v>201.23563200000004</v>
      </c>
      <c r="FG72" s="13">
        <f t="shared" si="101"/>
        <v>50.015624821320216</v>
      </c>
      <c r="FH72" s="20">
        <f t="shared" si="76"/>
        <v>437.59593896379943</v>
      </c>
      <c r="FI72" s="59">
        <f t="shared" si="77"/>
        <v>730.92927229713268</v>
      </c>
      <c r="FJ72" s="59">
        <f ca="1">AVERAGE(OFFSET($FI$3,0,0,'Données projet'!$E$16+1,1))-AVERAGE(OFFSET($H$3,0,0,'Données projet'!$E$16+1,1))</f>
        <v>380.43199889536805</v>
      </c>
      <c r="FK72" s="59">
        <f t="shared" si="102"/>
        <v>154.72646317672996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72.009017984292342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72.009017984292342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304</v>
      </c>
      <c r="O73" s="13">
        <f>N73*VLOOKUP('Données projet'!$B$9,Paramètres!$A$1:$I$89,3,0)*VLOOKUP('Données projet'!$B$9,Paramètres!$A$1:$I$89,5,0)</f>
        <v>189.696</v>
      </c>
      <c r="P73" s="13">
        <f t="shared" si="87"/>
        <v>47.472736505152469</v>
      </c>
      <c r="Q73" s="20">
        <f t="shared" si="54"/>
        <v>413.06888274647389</v>
      </c>
      <c r="R73" s="59">
        <f t="shared" si="55"/>
        <v>706.4022160798072</v>
      </c>
      <c r="S73" s="59">
        <f ca="1">AVERAGE(OFFSET($R$3,0,0,'Données projet'!$E$9+1,1))-AVERAGE(OFFSET($H$3,0,0,'Données projet'!$E$9+1,1))</f>
        <v>179.44051550872138</v>
      </c>
      <c r="T73" s="59">
        <f t="shared" si="88"/>
        <v>272.9500808380069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55.698341450787346</v>
      </c>
      <c r="AA73" s="21">
        <f>EXP(-LN(2)/25)*AA72+(1-EXP(-LN(2)/25))/(LN(2)/25)*Calculateur!V73*Calculateur!X73*VLOOKUP('Données projet'!$B$9,Paramètres!$A$1:$I$89,3,0)*0.475*44/12</f>
        <v>15.962591145480827</v>
      </c>
      <c r="AB73" s="21">
        <f>EXP(-LN(2)/2)*AB72+(1-EXP(-LN(2)/2))/(LN(2)/2)*V73*Y73*VLOOKUP('Données projet'!$B$9,Paramètres!$A$1:$I$89,3,0)*0.475*44/12</f>
        <v>2.1055726815954301E-7</v>
      </c>
      <c r="AC73" s="22">
        <f t="shared" si="57"/>
        <v>71.660932806825443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429.54</v>
      </c>
      <c r="AG73" s="12">
        <f>VLOOKUP(A73,'Données projet'!$A$61:$I$81,9,0)</f>
        <v>13.574000000000002</v>
      </c>
      <c r="AH73" s="12">
        <f t="array" ref="AH73">INDEX(AG:AG,MIN(IF(ISNUMBER(AG73:AG269),ROW(AG73:AG269),"")))</f>
        <v>13.574000000000002</v>
      </c>
      <c r="AI73" s="13">
        <f>IF('Données projet'!$A$62&gt;35,AI72+AH73-AQ72,IF(A73&lt;'Données projet'!$A$62,$AF$205^A73,IF(A73='Données projet'!$A$62,'Données projet'!$B$62,AI72+AH73-AQ72)))</f>
        <v>429.53999999999991</v>
      </c>
      <c r="AJ73" s="13">
        <f>AI73*VLOOKUP('Données projet'!$B$10,Paramètres!$A$1:$I$89,3,0)*VLOOKUP('Données projet'!$B$10,Paramètres!$A$1:$I$89,5,0)</f>
        <v>206.60873999999998</v>
      </c>
      <c r="AK73" s="13">
        <f t="shared" si="89"/>
        <v>51.193809333691</v>
      </c>
      <c r="AL73" s="20">
        <f t="shared" si="58"/>
        <v>449.00610675617844</v>
      </c>
      <c r="AM73" s="59">
        <f t="shared" si="59"/>
        <v>742.33944008951175</v>
      </c>
      <c r="AN73" s="59">
        <f ca="1">AVERAGE(OFFSET($AM$3,0,0,'Données projet'!$E$10+1,1))-AVERAGE(OFFSET($H$3,0,0,'Données projet'!$E$10+1,1))</f>
        <v>174.18188687702559</v>
      </c>
      <c r="AO73" s="59">
        <f t="shared" si="90"/>
        <v>32.17353897322738</v>
      </c>
      <c r="AP73" s="15">
        <f>IF(ISNA(VLOOKUP(A73,'Données projet'!$A$61:$I$81,3,0)),0,VLOOKUP(A73,'Données projet'!$A$61:$I$81,3,0))</f>
        <v>3</v>
      </c>
      <c r="AQ73" s="15">
        <f>IF(ISNA(VLOOKUP(A73,'Données projet'!$A$61:$I$81,4,0)),0,VLOOKUP(A73,'Données projet'!$A$61:$I$81,4,0))</f>
        <v>114.55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105.88343059552955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105.88343059552955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0.8600000000003547</v>
      </c>
      <c r="BE73" s="13">
        <f>BD73*VLOOKUP('Données projet'!$B$11,Paramètres!$A$1:$I$89,3,0)*VLOOKUP('Données projet'!$B$11,Paramètres!$A$1:$I$89,5,0)</f>
        <v>0.48074000000019829</v>
      </c>
      <c r="BF73" s="13">
        <f t="shared" si="91"/>
        <v>0.24126147010950588</v>
      </c>
      <c r="BG73" s="20">
        <f t="shared" si="61"/>
        <v>1.2574858937744013</v>
      </c>
      <c r="BH73" s="59">
        <f t="shared" si="62"/>
        <v>294.59081922710772</v>
      </c>
      <c r="BI73" s="59">
        <f ca="1">AVERAGE(OFFSET($BH$3,0,0,'Données projet'!$E$11+1,1))-AVERAGE(OFFSET($H$3,0,0,'Données projet'!$E$11+1,1))</f>
        <v>350.01600895263641</v>
      </c>
      <c r="BJ73" s="59">
        <f t="shared" si="92"/>
        <v>464.08921044376882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276.23878556869789</v>
      </c>
      <c r="BQ73" s="21">
        <f>EXP(-LN(2)/25)*BQ72+(1-EXP(-LN(2)/25))/(LN(2)/25)*Calculateur!BL73*Calculateur!BN73*VLOOKUP('Données projet'!$B$11,Paramètres!$A$1:$I$89,3,0)*0.475*44/12</f>
        <v>16.682298213768703</v>
      </c>
      <c r="BR73" s="21">
        <f>EXP(-LN(2)/2)*BR72+(1-EXP(-LN(2)/2))/(LN(2)/2)*BL73*BO73*VLOOKUP('Données projet'!$B$11,Paramètres!$A$1:$I$89,3,0)*0.475*44/12</f>
        <v>7.056432047489282E-7</v>
      </c>
      <c r="BS73" s="22">
        <f t="shared" si="63"/>
        <v>292.92108448810984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837.25110755138826</v>
      </c>
      <c r="CD73" s="59">
        <f ca="1">AVERAGE(OFFSET($CC$3,0,0,'Données projet'!$E$12+1,1))-AVERAGE(OFFSET($H$3,0,0,'Données projet'!$E$12+1,1))</f>
        <v>279.49721661620544</v>
      </c>
      <c r="CE73" s="59">
        <f t="shared" si="94"/>
        <v>275.18739333988754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52.386303394971065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52.386303394971065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7.8049999999999962</v>
      </c>
      <c r="CT73" s="12">
        <f>IF('Données projet'!$A$140&gt;35,CT72+CS73-DB72,IF(A73&lt;'Données projet'!$A$140,$CQ$205^A73,IF(A73='Données projet'!$A$140,'Données projet'!$B$140,CT72+CS73-DB72)))</f>
        <v>215.86500000000004</v>
      </c>
      <c r="CU73" s="17">
        <f>CT73*VLOOKUP('Données projet'!$B$13,Paramètres!$A$1:$I$89,3,0)*VLOOKUP('Données projet'!$B$13,Paramètres!$A$1:$I$89,5,0)</f>
        <v>218.88711000000006</v>
      </c>
      <c r="CV73" s="13">
        <f t="shared" si="95"/>
        <v>53.872933231029464</v>
      </c>
      <c r="CW73" s="20">
        <f t="shared" si="67"/>
        <v>475.05707529404305</v>
      </c>
      <c r="CX73" s="59">
        <f t="shared" si="68"/>
        <v>768.39040862737636</v>
      </c>
      <c r="CY73" s="59">
        <f ca="1">AVERAGE(OFFSET($CX$3,0,0,'Données projet'!$E$13+1,1))-AVERAGE(OFFSET($H$3,0,0,'Données projet'!$E$13+1,1))</f>
        <v>402.54350692668021</v>
      </c>
      <c r="CZ73" s="59">
        <f t="shared" si="96"/>
        <v>163.60655196884522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74.012947243241811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74.012947243241811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10</v>
      </c>
      <c r="DN73" s="12">
        <f t="array" ref="DN73">INDEX(DM:DM,MIN(IF(ISNUMBER(DM73:DM269),ROW(DM73:DM269),"")))</f>
        <v>10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271.12799999999999</v>
      </c>
      <c r="DQ73" s="13">
        <f t="shared" si="97"/>
        <v>65.088601240045278</v>
      </c>
      <c r="DR73" s="20">
        <f t="shared" si="70"/>
        <v>585.57724715974553</v>
      </c>
      <c r="DS73" s="59">
        <f t="shared" si="71"/>
        <v>878.9105804930789</v>
      </c>
      <c r="DT73" s="59">
        <f ca="1">AVERAGE(OFFSET($DS$3,0,0,'Données projet'!$E$14+1,1))-AVERAGE(OFFSET($H$3,0,0,'Données projet'!$E$14+1,1))</f>
        <v>352.76625414822473</v>
      </c>
      <c r="DU73" s="59">
        <f t="shared" si="98"/>
        <v>186.48649111821521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28</v>
      </c>
      <c r="DX73" s="16">
        <f>IF(ISNA(VLOOKUP(A73,'Données projet'!$A$165:$I$185,5,0)),0%,VLOOKUP(A73,'Données projet'!$A$165:$I$185,5,0)*VLOOKUP('Données projet'!$B$14,Paramètres!$A$1:$I$89,7,0))</f>
        <v>0.53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81.688818866997508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81.688818866997508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210.25641030000014</v>
      </c>
      <c r="EK73" s="17">
        <f>EJ73*VLOOKUP('Données projet'!$B$15,Paramètres!$A$1:$I$89,3,0)*VLOOKUP('Données projet'!$B$15,Paramètres!$A$1:$I$89,5,0)</f>
        <v>164.00000003400012</v>
      </c>
      <c r="EL73" s="13">
        <f t="shared" si="99"/>
        <v>41.743425916009095</v>
      </c>
      <c r="EM73" s="20">
        <f t="shared" si="73"/>
        <v>358.3364668629327</v>
      </c>
      <c r="EN73" s="59">
        <f t="shared" si="74"/>
        <v>651.66980019626601</v>
      </c>
      <c r="EO73" s="59">
        <f ca="1">AVERAGE(OFFSET($EN$3,0,0,'Données projet'!$E$15+1,1))-AVERAGE(OFFSET($H$3,0,0,'Données projet'!$E$15+1,1))</f>
        <v>130.66539383144681</v>
      </c>
      <c r="EP73" s="59">
        <f t="shared" si="100"/>
        <v>126.36398121441903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31.661713127598652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31.661713127598652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7.8049999999999962</v>
      </c>
      <c r="FE73" s="12">
        <f>IF('Données projet'!$A$218&gt;35,FE72+FD73-FM72,IF(A73&lt;'Données projet'!$A$218,$FB$205^A73,IF(A73='Données projet'!$A$218,'Données projet'!$B$218,FE72+FD73-FM72)))</f>
        <v>215.86500000000004</v>
      </c>
      <c r="FF73" s="17">
        <f>FE73*VLOOKUP('Données projet'!$B$16,Paramètres!$A$1:$I$89,3,0)*VLOOKUP('Données projet'!$B$16,Paramètres!$A$1:$I$89,5,0)</f>
        <v>208.78462800000005</v>
      </c>
      <c r="FG73" s="13">
        <f t="shared" si="101"/>
        <v>51.669906685818376</v>
      </c>
      <c r="FH73" s="20">
        <f t="shared" si="76"/>
        <v>453.62498124446711</v>
      </c>
      <c r="FI73" s="59">
        <f t="shared" si="77"/>
        <v>746.95831457780037</v>
      </c>
      <c r="FJ73" s="59">
        <f ca="1">AVERAGE(OFFSET($FI$3,0,0,'Données projet'!$E$16+1,1))-AVERAGE(OFFSET($H$3,0,0,'Données projet'!$E$16+1,1))</f>
        <v>380.43199889536805</v>
      </c>
      <c r="FK73" s="59">
        <f t="shared" si="102"/>
        <v>154.72646317672996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70.596965062784491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70.596965062784491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304</v>
      </c>
      <c r="O74" s="13">
        <f>N74*VLOOKUP('Données projet'!$B$9,Paramètres!$A$1:$I$89,3,0)*VLOOKUP('Données projet'!$B$9,Paramètres!$A$1:$I$89,5,0)</f>
        <v>189.696</v>
      </c>
      <c r="P74" s="13">
        <f t="shared" si="87"/>
        <v>47.472736505152469</v>
      </c>
      <c r="Q74" s="20">
        <f t="shared" si="54"/>
        <v>413.06888274647389</v>
      </c>
      <c r="R74" s="59">
        <f t="shared" si="55"/>
        <v>706.4022160798072</v>
      </c>
      <c r="S74" s="59">
        <f ca="1">AVERAGE(OFFSET($R$3,0,0,'Données projet'!$E$9+1,1))-AVERAGE(OFFSET($H$3,0,0,'Données projet'!$E$9+1,1))</f>
        <v>179.44051550872138</v>
      </c>
      <c r="T74" s="59">
        <f t="shared" si="88"/>
        <v>272.9500808380069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54.606130947571174</v>
      </c>
      <c r="AA74" s="21">
        <f>EXP(-LN(2)/25)*AA73+(1-EXP(-LN(2)/25))/(LN(2)/25)*Calculateur!V74*Calculateur!X74*VLOOKUP('Données projet'!$B$9,Paramètres!$A$1:$I$89,3,0)*0.475*44/12</f>
        <v>15.526093251171469</v>
      </c>
      <c r="AB74" s="21">
        <f>EXP(-LN(2)/2)*AB73+(1-EXP(-LN(2)/2))/(LN(2)/2)*V74*Y74*VLOOKUP('Données projet'!$B$9,Paramètres!$A$1:$I$89,3,0)*0.475*44/12</f>
        <v>1.4888647214372719E-7</v>
      </c>
      <c r="AC74" s="22">
        <f t="shared" si="57"/>
        <v>70.132224347629119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10.769999999999992</v>
      </c>
      <c r="AI74" s="13">
        <f>IF('Données projet'!$A$62&gt;35,AI73+AH74-AQ73,IF(A74&lt;'Données projet'!$A$62,$AF$205^A74,IF(A74='Données projet'!$A$62,'Données projet'!$B$62,AI73+AH74-AQ73)))</f>
        <v>325.75999999999988</v>
      </c>
      <c r="AJ74" s="13">
        <f>AI74*VLOOKUP('Données projet'!$B$10,Paramètres!$A$1:$I$89,3,0)*VLOOKUP('Données projet'!$B$10,Paramètres!$A$1:$I$89,5,0)</f>
        <v>156.69055999999995</v>
      </c>
      <c r="AK74" s="13">
        <f t="shared" si="89"/>
        <v>40.095156396442285</v>
      </c>
      <c r="AL74" s="20">
        <f t="shared" si="58"/>
        <v>342.7351227238035</v>
      </c>
      <c r="AM74" s="59">
        <f t="shared" si="59"/>
        <v>636.06845605713681</v>
      </c>
      <c r="AN74" s="59">
        <f ca="1">AVERAGE(OFFSET($AM$3,0,0,'Données projet'!$E$10+1,1))-AVERAGE(OFFSET($H$3,0,0,'Données projet'!$E$10+1,1))</f>
        <v>174.18188687702559</v>
      </c>
      <c r="AO74" s="59">
        <f t="shared" si="90"/>
        <v>32.17353897322738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103.80712110406688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103.80712110406688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0.8600000000003547</v>
      </c>
      <c r="BE74" s="13">
        <f>BD74*VLOOKUP('Données projet'!$B$11,Paramètres!$A$1:$I$89,3,0)*VLOOKUP('Données projet'!$B$11,Paramètres!$A$1:$I$89,5,0)</f>
        <v>0.48074000000019829</v>
      </c>
      <c r="BF74" s="13">
        <f t="shared" si="91"/>
        <v>0.24126147010950588</v>
      </c>
      <c r="BG74" s="20">
        <f t="shared" si="61"/>
        <v>1.2574858937744013</v>
      </c>
      <c r="BH74" s="59">
        <f t="shared" si="62"/>
        <v>294.59081922710772</v>
      </c>
      <c r="BI74" s="59">
        <f ca="1">AVERAGE(OFFSET($BH$3,0,0,'Données projet'!$E$11+1,1))-AVERAGE(OFFSET($H$3,0,0,'Données projet'!$E$11+1,1))</f>
        <v>350.01600895263641</v>
      </c>
      <c r="BJ74" s="59">
        <f t="shared" si="92"/>
        <v>464.08921044376882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270.821911472718</v>
      </c>
      <c r="BQ74" s="21">
        <f>EXP(-LN(2)/25)*BQ73+(1-EXP(-LN(2)/25))/(LN(2)/25)*Calculateur!BL74*Calculateur!BN74*VLOOKUP('Données projet'!$B$11,Paramètres!$A$1:$I$89,3,0)*0.475*44/12</f>
        <v>16.226119891829264</v>
      </c>
      <c r="BR74" s="21">
        <f>EXP(-LN(2)/2)*BR73+(1-EXP(-LN(2)/2))/(LN(2)/2)*BL74*BO74*VLOOKUP('Données projet'!$B$11,Paramètres!$A$1:$I$89,3,0)*0.475*44/12</f>
        <v>4.9896509517617451E-7</v>
      </c>
      <c r="BS74" s="22">
        <f t="shared" si="63"/>
        <v>287.04803186351239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822.44350684705</v>
      </c>
      <c r="CD74" s="59">
        <f ca="1">AVERAGE(OFFSET($CC$3,0,0,'Données projet'!$E$12+1,1))-AVERAGE(OFFSET($H$3,0,0,'Données projet'!$E$12+1,1))</f>
        <v>279.49721661620544</v>
      </c>
      <c r="CE74" s="59">
        <f t="shared" si="94"/>
        <v>275.18739333988754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51.359039937885704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51.359039937885704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7.8049999999999962</v>
      </c>
      <c r="CT74" s="12">
        <f>IF('Données projet'!$A$140&gt;35,CT73+CS74-DB73,IF(A74&lt;'Données projet'!$A$140,$CQ$205^A74,IF(A74='Données projet'!$A$140,'Données projet'!$B$140,CT73+CS74-DB73)))</f>
        <v>223.67000000000004</v>
      </c>
      <c r="CU74" s="17">
        <f>CT74*VLOOKUP('Données projet'!$B$13,Paramètres!$A$1:$I$89,3,0)*VLOOKUP('Données projet'!$B$13,Paramètres!$A$1:$I$89,5,0)</f>
        <v>226.80138000000005</v>
      </c>
      <c r="CV74" s="13">
        <f t="shared" si="95"/>
        <v>55.590502397463382</v>
      </c>
      <c r="CW74" s="20">
        <f t="shared" si="67"/>
        <v>491.8325285089154</v>
      </c>
      <c r="CX74" s="59">
        <f t="shared" si="68"/>
        <v>785.16586184224866</v>
      </c>
      <c r="CY74" s="59">
        <f ca="1">AVERAGE(OFFSET($CX$3,0,0,'Données projet'!$E$13+1,1))-AVERAGE(OFFSET($H$3,0,0,'Données projet'!$E$13+1,1))</f>
        <v>402.54350692668021</v>
      </c>
      <c r="CZ74" s="59">
        <f t="shared" si="96"/>
        <v>163.60655196884522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72.561598491242108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72.561598491242108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9.4</v>
      </c>
      <c r="DO74" s="12">
        <f>IF('Données projet'!$A$166&gt;35,DO73+DN74-DW73,IF(A74&lt;'Données projet'!$A$166,$DL$205^A74,IF(A74='Données projet'!$A$166,'Données projet'!$B$166,DO73+DN74-DW73)))</f>
        <v>297.39999999999992</v>
      </c>
      <c r="DP74" s="17">
        <f>DO74*VLOOKUP('Données projet'!$B$14,Paramètres!$A$1:$I$89,3,0)*VLOOKUP('Données projet'!$B$14,Paramètres!$A$1:$I$89,5,0)</f>
        <v>255.16919999999996</v>
      </c>
      <c r="DQ74" s="13">
        <f t="shared" si="97"/>
        <v>61.691525331424884</v>
      </c>
      <c r="DR74" s="20">
        <f t="shared" si="70"/>
        <v>551.86576328556498</v>
      </c>
      <c r="DS74" s="59">
        <f t="shared" si="71"/>
        <v>845.19909661889824</v>
      </c>
      <c r="DT74" s="59">
        <f ca="1">AVERAGE(OFFSET($DS$3,0,0,'Données projet'!$E$14+1,1))-AVERAGE(OFFSET($H$3,0,0,'Données projet'!$E$14+1,1))</f>
        <v>352.76625414822473</v>
      </c>
      <c r="DU74" s="59">
        <f t="shared" si="98"/>
        <v>186.48649111821521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80.086950954275366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80.086950954275366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210.25641030000014</v>
      </c>
      <c r="EK74" s="17">
        <f>EJ74*VLOOKUP('Données projet'!$B$15,Paramètres!$A$1:$I$89,3,0)*VLOOKUP('Données projet'!$B$15,Paramètres!$A$1:$I$89,5,0)</f>
        <v>164.00000003400012</v>
      </c>
      <c r="EL74" s="13">
        <f t="shared" si="99"/>
        <v>41.743425916009095</v>
      </c>
      <c r="EM74" s="20">
        <f t="shared" si="73"/>
        <v>358.3364668629327</v>
      </c>
      <c r="EN74" s="59">
        <f t="shared" si="74"/>
        <v>651.66980019626601</v>
      </c>
      <c r="EO74" s="59">
        <f ca="1">AVERAGE(OFFSET($EN$3,0,0,'Données projet'!$E$15+1,1))-AVERAGE(OFFSET($H$3,0,0,'Données projet'!$E$15+1,1))</f>
        <v>130.66539383144681</v>
      </c>
      <c r="EP74" s="59">
        <f t="shared" si="100"/>
        <v>126.36398121441903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31.040846244904575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31.040846244904575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7.8049999999999962</v>
      </c>
      <c r="FE74" s="12">
        <f>IF('Données projet'!$A$218&gt;35,FE73+FD74-FM73,IF(A74&lt;'Données projet'!$A$218,$FB$205^A74,IF(A74='Données projet'!$A$218,'Données projet'!$B$218,FE73+FD74-FM73)))</f>
        <v>223.67000000000004</v>
      </c>
      <c r="FF74" s="17">
        <f>FE74*VLOOKUP('Données projet'!$B$16,Paramètres!$A$1:$I$89,3,0)*VLOOKUP('Données projet'!$B$16,Paramètres!$A$1:$I$89,5,0)</f>
        <v>216.33362400000004</v>
      </c>
      <c r="FG74" s="13">
        <f t="shared" si="101"/>
        <v>53.317239274439309</v>
      </c>
      <c r="FH74" s="20">
        <f t="shared" si="76"/>
        <v>469.64192020298191</v>
      </c>
      <c r="FI74" s="59">
        <f t="shared" si="77"/>
        <v>762.97525353631522</v>
      </c>
      <c r="FJ74" s="59">
        <f ca="1">AVERAGE(OFFSET($FI$3,0,0,'Données projet'!$E$16+1,1))-AVERAGE(OFFSET($H$3,0,0,'Données projet'!$E$16+1,1))</f>
        <v>380.43199889536805</v>
      </c>
      <c r="FK74" s="59">
        <f t="shared" si="102"/>
        <v>154.72646317672996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69.212601637800162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69.212601637800162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304</v>
      </c>
      <c r="O75" s="13">
        <f>N75*VLOOKUP('Données projet'!$B$9,Paramètres!$A$1:$I$89,3,0)*VLOOKUP('Données projet'!$B$9,Paramètres!$A$1:$I$89,5,0)</f>
        <v>189.696</v>
      </c>
      <c r="P75" s="13">
        <f t="shared" si="87"/>
        <v>47.472736505152469</v>
      </c>
      <c r="Q75" s="20">
        <f t="shared" si="54"/>
        <v>413.06888274647389</v>
      </c>
      <c r="R75" s="59">
        <f t="shared" si="55"/>
        <v>706.4022160798072</v>
      </c>
      <c r="S75" s="59">
        <f ca="1">AVERAGE(OFFSET($R$3,0,0,'Données projet'!$E$9+1,1))-AVERAGE(OFFSET($H$3,0,0,'Données projet'!$E$9+1,1))</f>
        <v>179.44051550872138</v>
      </c>
      <c r="T75" s="59">
        <f t="shared" si="88"/>
        <v>272.9500808380069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53.535338026140444</v>
      </c>
      <c r="AA75" s="21">
        <f>EXP(-LN(2)/25)*AA74+(1-EXP(-LN(2)/25))/(LN(2)/25)*Calculateur!V75*Calculateur!X75*VLOOKUP('Données projet'!$B$9,Paramètres!$A$1:$I$89,3,0)*0.475*44/12</f>
        <v>15.101531414736426</v>
      </c>
      <c r="AB75" s="21">
        <f>EXP(-LN(2)/2)*AB74+(1-EXP(-LN(2)/2))/(LN(2)/2)*V75*Y75*VLOOKUP('Données projet'!$B$9,Paramètres!$A$1:$I$89,3,0)*0.475*44/12</f>
        <v>1.0527863407977151E-7</v>
      </c>
      <c r="AC75" s="22">
        <f t="shared" si="57"/>
        <v>68.636869546155495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10.769999999999992</v>
      </c>
      <c r="AI75" s="13">
        <f>IF('Données projet'!$A$62&gt;35,AI74+AH75-AQ74,IF(A75&lt;'Données projet'!$A$62,$AF$205^A75,IF(A75='Données projet'!$A$62,'Données projet'!$B$62,AI74+AH75-AQ74)))</f>
        <v>336.52999999999986</v>
      </c>
      <c r="AJ75" s="13">
        <f>AI75*VLOOKUP('Données projet'!$B$10,Paramètres!$A$1:$I$89,3,0)*VLOOKUP('Données projet'!$B$10,Paramètres!$A$1:$I$89,5,0)</f>
        <v>161.87092999999993</v>
      </c>
      <c r="AK75" s="13">
        <f t="shared" si="89"/>
        <v>41.264222944602082</v>
      </c>
      <c r="AL75" s="20">
        <f t="shared" si="58"/>
        <v>353.79372471184843</v>
      </c>
      <c r="AM75" s="59">
        <f t="shared" si="59"/>
        <v>647.12705804518168</v>
      </c>
      <c r="AN75" s="59">
        <f ca="1">AVERAGE(OFFSET($AM$3,0,0,'Données projet'!$E$10+1,1))-AVERAGE(OFFSET($H$3,0,0,'Données projet'!$E$10+1,1))</f>
        <v>174.18188687702559</v>
      </c>
      <c r="AO75" s="59">
        <f t="shared" si="90"/>
        <v>32.17353897322738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101.77152677530806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101.77152677530806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0.8600000000003547</v>
      </c>
      <c r="BE75" s="13">
        <f>BD75*VLOOKUP('Données projet'!$B$11,Paramètres!$A$1:$I$89,3,0)*VLOOKUP('Données projet'!$B$11,Paramètres!$A$1:$I$89,5,0)</f>
        <v>0.48074000000019829</v>
      </c>
      <c r="BF75" s="13">
        <f t="shared" si="91"/>
        <v>0.24126147010950588</v>
      </c>
      <c r="BG75" s="20">
        <f t="shared" si="61"/>
        <v>1.2574858937744013</v>
      </c>
      <c r="BH75" s="59">
        <f t="shared" si="62"/>
        <v>294.59081922710772</v>
      </c>
      <c r="BI75" s="59">
        <f ca="1">AVERAGE(OFFSET($BH$3,0,0,'Données projet'!$E$11+1,1))-AVERAGE(OFFSET($H$3,0,0,'Données projet'!$E$11+1,1))</f>
        <v>350.01600895263641</v>
      </c>
      <c r="BJ75" s="59">
        <f t="shared" si="92"/>
        <v>464.08921044376882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265.5112589737933</v>
      </c>
      <c r="BQ75" s="21">
        <f>EXP(-LN(2)/25)*BQ74+(1-EXP(-LN(2)/25))/(LN(2)/25)*Calculateur!BL75*Calculateur!BN75*VLOOKUP('Données projet'!$B$11,Paramètres!$A$1:$I$89,3,0)*0.475*44/12</f>
        <v>15.782415790092632</v>
      </c>
      <c r="BR75" s="21">
        <f>EXP(-LN(2)/2)*BR74+(1-EXP(-LN(2)/2))/(LN(2)/2)*BL75*BO75*VLOOKUP('Données projet'!$B$11,Paramètres!$A$1:$I$89,3,0)*0.475*44/12</f>
        <v>3.528216023744641E-7</v>
      </c>
      <c r="BS75" s="22">
        <f t="shared" si="63"/>
        <v>281.2936751167075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829.51184289524258</v>
      </c>
      <c r="CD75" s="59">
        <f ca="1">AVERAGE(OFFSET($CC$3,0,0,'Données projet'!$E$12+1,1))-AVERAGE(OFFSET($H$3,0,0,'Données projet'!$E$12+1,1))</f>
        <v>279.49721661620544</v>
      </c>
      <c r="CE75" s="59">
        <f t="shared" si="94"/>
        <v>275.18739333988754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50.351920490624948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50.351920490624948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7.8049999999999962</v>
      </c>
      <c r="CT75" s="12">
        <f>IF('Données projet'!$A$140&gt;35,CT74+CS75-DB74,IF(A75&lt;'Données projet'!$A$140,$CQ$205^A75,IF(A75='Données projet'!$A$140,'Données projet'!$B$140,CT74+CS75-DB74)))</f>
        <v>231.47500000000005</v>
      </c>
      <c r="CU75" s="17">
        <f>CT75*VLOOKUP('Données projet'!$B$13,Paramètres!$A$1:$I$89,3,0)*VLOOKUP('Données projet'!$B$13,Paramètres!$A$1:$I$89,5,0)</f>
        <v>234.71565000000007</v>
      </c>
      <c r="CV75" s="13">
        <f t="shared" si="95"/>
        <v>57.301107803953805</v>
      </c>
      <c r="CW75" s="20">
        <f t="shared" si="67"/>
        <v>508.59585317521964</v>
      </c>
      <c r="CX75" s="59">
        <f t="shared" si="68"/>
        <v>801.9291865085529</v>
      </c>
      <c r="CY75" s="59">
        <f ca="1">AVERAGE(OFFSET($CX$3,0,0,'Données projet'!$E$13+1,1))-AVERAGE(OFFSET($H$3,0,0,'Données projet'!$E$13+1,1))</f>
        <v>402.54350692668021</v>
      </c>
      <c r="CZ75" s="59">
        <f t="shared" si="96"/>
        <v>163.60655196884522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71.138709803033791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71.138709803033791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9.4</v>
      </c>
      <c r="DO75" s="12">
        <f>IF('Données projet'!$A$166&gt;35,DO74+DN75-DW74,IF(A75&lt;'Données projet'!$A$166,$DL$205^A75,IF(A75='Données projet'!$A$166,'Données projet'!$B$166,DO74+DN75-DW74)))</f>
        <v>306.7999999999999</v>
      </c>
      <c r="DP75" s="17">
        <f>DO75*VLOOKUP('Données projet'!$B$14,Paramètres!$A$1:$I$89,3,0)*VLOOKUP('Données projet'!$B$14,Paramètres!$A$1:$I$89,5,0)</f>
        <v>263.23439999999994</v>
      </c>
      <c r="DQ75" s="13">
        <f t="shared" si="97"/>
        <v>63.411324464279403</v>
      </c>
      <c r="DR75" s="20">
        <f t="shared" si="70"/>
        <v>568.90797010861979</v>
      </c>
      <c r="DS75" s="59">
        <f t="shared" si="71"/>
        <v>862.24130344195305</v>
      </c>
      <c r="DT75" s="59">
        <f ca="1">AVERAGE(OFFSET($DS$3,0,0,'Données projet'!$E$14+1,1))-AVERAGE(OFFSET($H$3,0,0,'Données projet'!$E$14+1,1))</f>
        <v>352.76625414822473</v>
      </c>
      <c r="DU75" s="59">
        <f t="shared" si="98"/>
        <v>186.48649111821521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78.516494694278748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78.516494694278748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210.25641030000014</v>
      </c>
      <c r="EK75" s="17">
        <f>EJ75*VLOOKUP('Données projet'!$B$15,Paramètres!$A$1:$I$89,3,0)*VLOOKUP('Données projet'!$B$15,Paramètres!$A$1:$I$89,5,0)</f>
        <v>164.00000003400012</v>
      </c>
      <c r="EL75" s="13">
        <f t="shared" si="99"/>
        <v>41.743425916009095</v>
      </c>
      <c r="EM75" s="20">
        <f t="shared" si="73"/>
        <v>358.3364668629327</v>
      </c>
      <c r="EN75" s="59">
        <f t="shared" si="74"/>
        <v>651.66980019626601</v>
      </c>
      <c r="EO75" s="59">
        <f ca="1">AVERAGE(OFFSET($EN$3,0,0,'Données projet'!$E$15+1,1))-AVERAGE(OFFSET($H$3,0,0,'Données projet'!$E$15+1,1))</f>
        <v>130.66539383144681</v>
      </c>
      <c r="EP75" s="59">
        <f t="shared" si="100"/>
        <v>126.36398121441903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30.432154183088723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30.432154183088723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7.8049999999999962</v>
      </c>
      <c r="FE75" s="12">
        <f>IF('Données projet'!$A$218&gt;35,FE74+FD75-FM74,IF(A75&lt;'Données projet'!$A$218,$FB$205^A75,IF(A75='Données projet'!$A$218,'Données projet'!$B$218,FE74+FD75-FM74)))</f>
        <v>231.47500000000005</v>
      </c>
      <c r="FF75" s="17">
        <f>FE75*VLOOKUP('Données projet'!$B$16,Paramètres!$A$1:$I$89,3,0)*VLOOKUP('Données projet'!$B$16,Paramètres!$A$1:$I$89,5,0)</f>
        <v>223.88262000000006</v>
      </c>
      <c r="FG75" s="13">
        <f t="shared" si="101"/>
        <v>54.957892872241004</v>
      </c>
      <c r="FH75" s="20">
        <f t="shared" si="76"/>
        <v>485.64722658581985</v>
      </c>
      <c r="FI75" s="59">
        <f t="shared" si="77"/>
        <v>778.98055991915317</v>
      </c>
      <c r="FJ75" s="59">
        <f ca="1">AVERAGE(OFFSET($FI$3,0,0,'Données projet'!$E$16+1,1))-AVERAGE(OFFSET($H$3,0,0,'Données projet'!$E$16+1,1))</f>
        <v>380.43199889536805</v>
      </c>
      <c r="FK75" s="59">
        <f t="shared" si="102"/>
        <v>154.72646317672996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67.855384735201469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67.855384735201469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304</v>
      </c>
      <c r="O76" s="13">
        <f>N76*VLOOKUP('Données projet'!$B$9,Paramètres!$A$1:$I$89,3,0)*VLOOKUP('Données projet'!$B$9,Paramètres!$A$1:$I$89,5,0)</f>
        <v>189.696</v>
      </c>
      <c r="P76" s="13">
        <f t="shared" si="87"/>
        <v>47.472736505152469</v>
      </c>
      <c r="Q76" s="20">
        <f t="shared" si="54"/>
        <v>413.06888274647389</v>
      </c>
      <c r="R76" s="59">
        <f t="shared" si="55"/>
        <v>706.4022160798072</v>
      </c>
      <c r="S76" s="59">
        <f ca="1">AVERAGE(OFFSET($R$3,0,0,'Données projet'!$E$9+1,1))-AVERAGE(OFFSET($H$3,0,0,'Données projet'!$E$9+1,1))</f>
        <v>179.44051550872138</v>
      </c>
      <c r="T76" s="59">
        <f t="shared" si="88"/>
        <v>272.9500808380069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52.485542700779774</v>
      </c>
      <c r="AA76" s="21">
        <f>EXP(-LN(2)/25)*AA75+(1-EXP(-LN(2)/25))/(LN(2)/25)*Calculateur!V76*Calculateur!X76*VLOOKUP('Données projet'!$B$9,Paramètres!$A$1:$I$89,3,0)*0.475*44/12</f>
        <v>14.688579244045437</v>
      </c>
      <c r="AB76" s="21">
        <f>EXP(-LN(2)/2)*AB75+(1-EXP(-LN(2)/2))/(LN(2)/2)*V76*Y76*VLOOKUP('Données projet'!$B$9,Paramètres!$A$1:$I$89,3,0)*0.475*44/12</f>
        <v>7.4443236071863595E-8</v>
      </c>
      <c r="AC76" s="22">
        <f t="shared" si="57"/>
        <v>67.174122019268452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10.769999999999992</v>
      </c>
      <c r="AI76" s="13">
        <f>IF('Données projet'!$A$62&gt;35,AI75+AH76-AQ75,IF(A76&lt;'Données projet'!$A$62,$AF$205^A76,IF(A76='Données projet'!$A$62,'Données projet'!$B$62,AI75+AH76-AQ75)))</f>
        <v>347.29999999999984</v>
      </c>
      <c r="AJ76" s="13">
        <f>AI76*VLOOKUP('Données projet'!$B$10,Paramètres!$A$1:$I$89,3,0)*VLOOKUP('Données projet'!$B$10,Paramètres!$A$1:$I$89,5,0)</f>
        <v>167.05129999999994</v>
      </c>
      <c r="AK76" s="13">
        <f t="shared" si="89"/>
        <v>42.428941850479553</v>
      </c>
      <c r="AL76" s="20">
        <f t="shared" si="58"/>
        <v>364.84475455625176</v>
      </c>
      <c r="AM76" s="59">
        <f t="shared" si="59"/>
        <v>658.17808788958507</v>
      </c>
      <c r="AN76" s="59">
        <f ca="1">AVERAGE(OFFSET($AM$3,0,0,'Données projet'!$E$10+1,1))-AVERAGE(OFFSET($H$3,0,0,'Données projet'!$E$10+1,1))</f>
        <v>174.18188687702559</v>
      </c>
      <c r="AO76" s="59">
        <f t="shared" si="90"/>
        <v>32.17353897322738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99.775849209746255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99.775849209746255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0.8600000000003547</v>
      </c>
      <c r="BE76" s="13">
        <f>BD76*VLOOKUP('Données projet'!$B$11,Paramètres!$A$1:$I$89,3,0)*VLOOKUP('Données projet'!$B$11,Paramètres!$A$1:$I$89,5,0)</f>
        <v>0.48074000000019829</v>
      </c>
      <c r="BF76" s="13">
        <f t="shared" si="91"/>
        <v>0.24126147010950588</v>
      </c>
      <c r="BG76" s="20">
        <f t="shared" si="61"/>
        <v>1.2574858937744013</v>
      </c>
      <c r="BH76" s="59">
        <f t="shared" si="62"/>
        <v>294.59081922710772</v>
      </c>
      <c r="BI76" s="59">
        <f ca="1">AVERAGE(OFFSET($BH$3,0,0,'Données projet'!$E$11+1,1))-AVERAGE(OFFSET($H$3,0,0,'Données projet'!$E$11+1,1))</f>
        <v>350.01600895263641</v>
      </c>
      <c r="BJ76" s="59">
        <f t="shared" si="92"/>
        <v>464.08921044376882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260.30474513119435</v>
      </c>
      <c r="BQ76" s="21">
        <f>EXP(-LN(2)/25)*BQ75+(1-EXP(-LN(2)/25))/(LN(2)/25)*Calculateur!BL76*Calculateur!BN76*VLOOKUP('Données projet'!$B$11,Paramètres!$A$1:$I$89,3,0)*0.475*44/12</f>
        <v>15.350844800351373</v>
      </c>
      <c r="BR76" s="21">
        <f>EXP(-LN(2)/2)*BR75+(1-EXP(-LN(2)/2))/(LN(2)/2)*BL76*BO76*VLOOKUP('Données projet'!$B$11,Paramètres!$A$1:$I$89,3,0)*0.475*44/12</f>
        <v>2.4948254758808726E-7</v>
      </c>
      <c r="BS76" s="22">
        <f t="shared" si="63"/>
        <v>275.65559018102823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836.57822031101864</v>
      </c>
      <c r="CD76" s="59">
        <f ca="1">AVERAGE(OFFSET($CC$3,0,0,'Données projet'!$E$12+1,1))-AVERAGE(OFFSET($H$3,0,0,'Données projet'!$E$12+1,1))</f>
        <v>279.49721661620544</v>
      </c>
      <c r="CE76" s="59">
        <f t="shared" si="94"/>
        <v>275.18739333988754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49.364550041442769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49.364550041442769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7.8049999999999962</v>
      </c>
      <c r="CT76" s="12">
        <f>IF('Données projet'!$A$140&gt;35,CT75+CS76-DB75,IF(A76&lt;'Données projet'!$A$140,$CQ$205^A76,IF(A76='Données projet'!$A$140,'Données projet'!$B$140,CT75+CS76-DB75)))</f>
        <v>239.28000000000006</v>
      </c>
      <c r="CU76" s="17">
        <f>CT76*VLOOKUP('Données projet'!$B$13,Paramètres!$A$1:$I$89,3,0)*VLOOKUP('Données projet'!$B$13,Paramètres!$A$1:$I$89,5,0)</f>
        <v>242.62992000000006</v>
      </c>
      <c r="CV76" s="13">
        <f t="shared" si="95"/>
        <v>59.005011176979288</v>
      </c>
      <c r="CW76" s="20">
        <f t="shared" si="67"/>
        <v>525.347505133239</v>
      </c>
      <c r="CX76" s="59">
        <f t="shared" si="68"/>
        <v>818.68083846657237</v>
      </c>
      <c r="CY76" s="59">
        <f ca="1">AVERAGE(OFFSET($CX$3,0,0,'Données projet'!$E$13+1,1))-AVERAGE(OFFSET($H$3,0,0,'Données projet'!$E$13+1,1))</f>
        <v>402.54350692668021</v>
      </c>
      <c r="CZ76" s="59">
        <f t="shared" si="96"/>
        <v>163.60655196884522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69.743723094124846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69.743723094124846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9.4</v>
      </c>
      <c r="DO76" s="12">
        <f>IF('Données projet'!$A$166&gt;35,DO75+DN76-DW75,IF(A76&lt;'Données projet'!$A$166,$DL$205^A76,IF(A76='Données projet'!$A$166,'Données projet'!$B$166,DO75+DN76-DW75)))</f>
        <v>316.19999999999987</v>
      </c>
      <c r="DP76" s="17">
        <f>DO76*VLOOKUP('Données projet'!$B$14,Paramètres!$A$1:$I$89,3,0)*VLOOKUP('Données projet'!$B$14,Paramètres!$A$1:$I$89,5,0)</f>
        <v>271.29959999999994</v>
      </c>
      <c r="DQ76" s="13">
        <f t="shared" si="97"/>
        <v>65.125000081857877</v>
      </c>
      <c r="DR76" s="20">
        <f t="shared" si="70"/>
        <v>585.93951180923568</v>
      </c>
      <c r="DS76" s="59">
        <f t="shared" si="71"/>
        <v>879.27284514256894</v>
      </c>
      <c r="DT76" s="59">
        <f ca="1">AVERAGE(OFFSET($DS$3,0,0,'Données projet'!$E$14+1,1))-AVERAGE(OFFSET($H$3,0,0,'Données projet'!$E$14+1,1))</f>
        <v>352.76625414822473</v>
      </c>
      <c r="DU76" s="59">
        <f t="shared" si="98"/>
        <v>186.48649111821521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76.976834123656928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76.976834123656928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210.25641030000014</v>
      </c>
      <c r="EK76" s="17">
        <f>EJ76*VLOOKUP('Données projet'!$B$15,Paramètres!$A$1:$I$89,3,0)*VLOOKUP('Données projet'!$B$15,Paramètres!$A$1:$I$89,5,0)</f>
        <v>164.00000003400012</v>
      </c>
      <c r="EL76" s="13">
        <f t="shared" si="99"/>
        <v>41.743425916009095</v>
      </c>
      <c r="EM76" s="20">
        <f t="shared" si="73"/>
        <v>358.3364668629327</v>
      </c>
      <c r="EN76" s="59">
        <f t="shared" si="74"/>
        <v>651.66980019626601</v>
      </c>
      <c r="EO76" s="59">
        <f ca="1">AVERAGE(OFFSET($EN$3,0,0,'Données projet'!$E$15+1,1))-AVERAGE(OFFSET($H$3,0,0,'Données projet'!$E$15+1,1))</f>
        <v>130.66539383144681</v>
      </c>
      <c r="EP76" s="59">
        <f t="shared" si="100"/>
        <v>126.36398121441903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29.835398201339583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29.835398201339583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7.8049999999999962</v>
      </c>
      <c r="FE76" s="12">
        <f>IF('Données projet'!$A$218&gt;35,FE75+FD76-FM75,IF(A76&lt;'Données projet'!$A$218,$FB$205^A76,IF(A76='Données projet'!$A$218,'Données projet'!$B$218,FE75+FD76-FM75)))</f>
        <v>239.28000000000006</v>
      </c>
      <c r="FF76" s="17">
        <f>FE76*VLOOKUP('Données projet'!$B$16,Paramètres!$A$1:$I$89,3,0)*VLOOKUP('Données projet'!$B$16,Paramètres!$A$1:$I$89,5,0)</f>
        <v>231.43161600000005</v>
      </c>
      <c r="FG76" s="13">
        <f t="shared" si="101"/>
        <v>56.592118502917657</v>
      </c>
      <c r="FH76" s="20">
        <f t="shared" si="76"/>
        <v>501.64133759258158</v>
      </c>
      <c r="FI76" s="59">
        <f t="shared" si="77"/>
        <v>794.97467092591489</v>
      </c>
      <c r="FJ76" s="59">
        <f ca="1">AVERAGE(OFFSET($FI$3,0,0,'Données projet'!$E$16+1,1))-AVERAGE(OFFSET($H$3,0,0,'Données projet'!$E$16+1,1))</f>
        <v>380.43199889536805</v>
      </c>
      <c r="FK76" s="59">
        <f t="shared" si="102"/>
        <v>154.72646317672996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66.524782028242157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66.524782028242157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304</v>
      </c>
      <c r="O77" s="13">
        <f>N77*VLOOKUP('Données projet'!$B$9,Paramètres!$A$1:$I$89,3,0)*VLOOKUP('Données projet'!$B$9,Paramètres!$A$1:$I$89,5,0)</f>
        <v>189.696</v>
      </c>
      <c r="P77" s="13">
        <f t="shared" si="87"/>
        <v>47.472736505152469</v>
      </c>
      <c r="Q77" s="20">
        <f t="shared" si="54"/>
        <v>413.06888274647389</v>
      </c>
      <c r="R77" s="59">
        <f t="shared" si="55"/>
        <v>706.4022160798072</v>
      </c>
      <c r="S77" s="59">
        <f ca="1">AVERAGE(OFFSET($R$3,0,0,'Données projet'!$E$9+1,1))-AVERAGE(OFFSET($H$3,0,0,'Données projet'!$E$9+1,1))</f>
        <v>179.44051550872138</v>
      </c>
      <c r="T77" s="59">
        <f t="shared" si="88"/>
        <v>272.9500808380069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51.456333221437504</v>
      </c>
      <c r="AA77" s="21">
        <f>EXP(-LN(2)/25)*AA76+(1-EXP(-LN(2)/25))/(LN(2)/25)*Calculateur!V77*Calculateur!X77*VLOOKUP('Données projet'!$B$9,Paramètres!$A$1:$I$89,3,0)*0.475*44/12</f>
        <v>14.286919272178203</v>
      </c>
      <c r="AB77" s="21">
        <f>EXP(-LN(2)/2)*AB76+(1-EXP(-LN(2)/2))/(LN(2)/2)*V77*Y77*VLOOKUP('Données projet'!$B$9,Paramètres!$A$1:$I$89,3,0)*0.475*44/12</f>
        <v>5.2639317039885753E-8</v>
      </c>
      <c r="AC77" s="22">
        <f t="shared" si="57"/>
        <v>65.743252546255022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10.769999999999992</v>
      </c>
      <c r="AI77" s="13">
        <f>IF('Données projet'!$A$62&gt;35,AI76+AH77-AQ76,IF(A77&lt;'Données projet'!$A$62,$AF$205^A77,IF(A77='Données projet'!$A$62,'Données projet'!$B$62,AI76+AH77-AQ76)))</f>
        <v>358.06999999999982</v>
      </c>
      <c r="AJ77" s="13">
        <f>AI77*VLOOKUP('Données projet'!$B$10,Paramètres!$A$1:$I$89,3,0)*VLOOKUP('Données projet'!$B$10,Paramètres!$A$1:$I$89,5,0)</f>
        <v>172.23166999999992</v>
      </c>
      <c r="AK77" s="13">
        <f t="shared" si="89"/>
        <v>43.589463408271158</v>
      </c>
      <c r="AL77" s="20">
        <f t="shared" si="58"/>
        <v>375.88847401940546</v>
      </c>
      <c r="AM77" s="59">
        <f t="shared" si="59"/>
        <v>669.22180735273878</v>
      </c>
      <c r="AN77" s="59">
        <f ca="1">AVERAGE(OFFSET($AM$3,0,0,'Données projet'!$E$10+1,1))-AVERAGE(OFFSET($H$3,0,0,'Données projet'!$E$10+1,1))</f>
        <v>174.18188687702559</v>
      </c>
      <c r="AO77" s="59">
        <f t="shared" si="90"/>
        <v>32.17353897322738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97.819305664001988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97.819305664001988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0.8600000000003547</v>
      </c>
      <c r="BE77" s="13">
        <f>BD77*VLOOKUP('Données projet'!$B$11,Paramètres!$A$1:$I$89,3,0)*VLOOKUP('Données projet'!$B$11,Paramètres!$A$1:$I$89,5,0)</f>
        <v>0.48074000000019829</v>
      </c>
      <c r="BF77" s="13">
        <f t="shared" si="91"/>
        <v>0.24126147010950588</v>
      </c>
      <c r="BG77" s="20">
        <f t="shared" si="61"/>
        <v>1.2574858937744013</v>
      </c>
      <c r="BH77" s="59">
        <f t="shared" si="62"/>
        <v>294.59081922710772</v>
      </c>
      <c r="BI77" s="59">
        <f ca="1">AVERAGE(OFFSET($BH$3,0,0,'Données projet'!$E$11+1,1))-AVERAGE(OFFSET($H$3,0,0,'Données projet'!$E$11+1,1))</f>
        <v>350.01600895263641</v>
      </c>
      <c r="BJ77" s="59">
        <f t="shared" si="92"/>
        <v>464.08921044376882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255.20032784938891</v>
      </c>
      <c r="BQ77" s="21">
        <f>EXP(-LN(2)/25)*BQ76+(1-EXP(-LN(2)/25))/(LN(2)/25)*Calculateur!BL77*Calculateur!BN77*VLOOKUP('Données projet'!$B$11,Paramètres!$A$1:$I$89,3,0)*0.475*44/12</f>
        <v>14.931075142019921</v>
      </c>
      <c r="BR77" s="21">
        <f>EXP(-LN(2)/2)*BR76+(1-EXP(-LN(2)/2))/(LN(2)/2)*BL77*BO77*VLOOKUP('Données projet'!$B$11,Paramètres!$A$1:$I$89,3,0)*0.475*44/12</f>
        <v>1.7641080118723205E-7</v>
      </c>
      <c r="BS77" s="22">
        <f t="shared" si="63"/>
        <v>270.13140316781966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843.64266817304701</v>
      </c>
      <c r="CD77" s="59">
        <f ca="1">AVERAGE(OFFSET($CC$3,0,0,'Données projet'!$E$12+1,1))-AVERAGE(OFFSET($H$3,0,0,'Données projet'!$E$12+1,1))</f>
        <v>279.49721661620544</v>
      </c>
      <c r="CE77" s="59">
        <f t="shared" si="94"/>
        <v>275.18739333988754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48.396541324532542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48.396541324532542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7.8049999999999962</v>
      </c>
      <c r="CT77" s="12">
        <f>IF('Données projet'!$A$140&gt;35,CT76+CS77-DB76,IF(A77&lt;'Données projet'!$A$140,$CQ$205^A77,IF(A77='Données projet'!$A$140,'Données projet'!$B$140,CT76+CS77-DB76)))</f>
        <v>247.08500000000006</v>
      </c>
      <c r="CU77" s="17">
        <f>CT77*VLOOKUP('Données projet'!$B$13,Paramètres!$A$1:$I$89,3,0)*VLOOKUP('Données projet'!$B$13,Paramètres!$A$1:$I$89,5,0)</f>
        <v>250.54419000000007</v>
      </c>
      <c r="CV77" s="13">
        <f t="shared" si="95"/>
        <v>60.702456199476714</v>
      </c>
      <c r="CW77" s="20">
        <f t="shared" si="67"/>
        <v>542.08790879742207</v>
      </c>
      <c r="CX77" s="59">
        <f t="shared" si="68"/>
        <v>835.42124213075545</v>
      </c>
      <c r="CY77" s="59">
        <f ca="1">AVERAGE(OFFSET($CX$3,0,0,'Données projet'!$E$13+1,1))-AVERAGE(OFFSET($H$3,0,0,'Données projet'!$E$13+1,1))</f>
        <v>402.54350692668021</v>
      </c>
      <c r="CZ77" s="59">
        <f t="shared" si="96"/>
        <v>163.60655196884522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68.376091223719726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68.376091223719726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9.4</v>
      </c>
      <c r="DO77" s="12">
        <f>IF('Données projet'!$A$166&gt;35,DO76+DN77-DW76,IF(A77&lt;'Données projet'!$A$166,$DL$205^A77,IF(A77='Données projet'!$A$166,'Données projet'!$B$166,DO76+DN77-DW76)))</f>
        <v>325.59999999999985</v>
      </c>
      <c r="DP77" s="17">
        <f>DO77*VLOOKUP('Données projet'!$B$14,Paramètres!$A$1:$I$89,3,0)*VLOOKUP('Données projet'!$B$14,Paramètres!$A$1:$I$89,5,0)</f>
        <v>279.36479999999989</v>
      </c>
      <c r="DQ77" s="13">
        <f t="shared" si="97"/>
        <v>66.832755122992182</v>
      </c>
      <c r="DR77" s="20">
        <f t="shared" si="70"/>
        <v>602.96074183921121</v>
      </c>
      <c r="DS77" s="59">
        <f t="shared" si="71"/>
        <v>896.29407517254458</v>
      </c>
      <c r="DT77" s="59">
        <f ca="1">AVERAGE(OFFSET($DS$3,0,0,'Données projet'!$E$14+1,1))-AVERAGE(OFFSET($H$3,0,0,'Données projet'!$E$14+1,1))</f>
        <v>352.76625414822473</v>
      </c>
      <c r="DU77" s="59">
        <f t="shared" si="98"/>
        <v>186.48649111821521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75.467365357724788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75.467365357724788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210.25641030000014</v>
      </c>
      <c r="EK77" s="17">
        <f>EJ77*VLOOKUP('Données projet'!$B$15,Paramètres!$A$1:$I$89,3,0)*VLOOKUP('Données projet'!$B$15,Paramètres!$A$1:$I$89,5,0)</f>
        <v>164.00000003400012</v>
      </c>
      <c r="EL77" s="13">
        <f t="shared" si="99"/>
        <v>41.743425916009095</v>
      </c>
      <c r="EM77" s="20">
        <f t="shared" si="73"/>
        <v>358.3364668629327</v>
      </c>
      <c r="EN77" s="59">
        <f t="shared" si="74"/>
        <v>651.66980019626601</v>
      </c>
      <c r="EO77" s="59">
        <f ca="1">AVERAGE(OFFSET($EN$3,0,0,'Données projet'!$E$15+1,1))-AVERAGE(OFFSET($H$3,0,0,'Données projet'!$E$15+1,1))</f>
        <v>130.66539383144681</v>
      </c>
      <c r="EP77" s="59">
        <f t="shared" si="100"/>
        <v>126.36398121441903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29.250344240407333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29.250344240407333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7.8049999999999962</v>
      </c>
      <c r="FE77" s="12">
        <f>IF('Données projet'!$A$218&gt;35,FE76+FD77-FM76,IF(A77&lt;'Données projet'!$A$218,$FB$205^A77,IF(A77='Données projet'!$A$218,'Données projet'!$B$218,FE76+FD77-FM76)))</f>
        <v>247.08500000000006</v>
      </c>
      <c r="FF77" s="17">
        <f>FE77*VLOOKUP('Données projet'!$B$16,Paramètres!$A$1:$I$89,3,0)*VLOOKUP('Données projet'!$B$16,Paramètres!$A$1:$I$89,5,0)</f>
        <v>238.98061200000006</v>
      </c>
      <c r="FG77" s="13">
        <f t="shared" si="101"/>
        <v>58.220149884476662</v>
      </c>
      <c r="FH77" s="20">
        <f t="shared" si="76"/>
        <v>517.62466028213032</v>
      </c>
      <c r="FI77" s="59">
        <f t="shared" si="77"/>
        <v>810.95799361546369</v>
      </c>
      <c r="FJ77" s="59">
        <f ca="1">AVERAGE(OFFSET($FI$3,0,0,'Données projet'!$E$16+1,1))-AVERAGE(OFFSET($H$3,0,0,'Données projet'!$E$16+1,1))</f>
        <v>380.43199889536805</v>
      </c>
      <c r="FK77" s="59">
        <f t="shared" si="102"/>
        <v>154.72646317672996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65.220271628778804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65.220271628778804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304</v>
      </c>
      <c r="O78" s="13">
        <f>N78*VLOOKUP('Données projet'!$B$9,Paramètres!$A$1:$I$89,3,0)*VLOOKUP('Données projet'!$B$9,Paramètres!$A$1:$I$89,5,0)</f>
        <v>189.696</v>
      </c>
      <c r="P78" s="13">
        <f t="shared" si="87"/>
        <v>47.472736505152469</v>
      </c>
      <c r="Q78" s="20">
        <f t="shared" si="54"/>
        <v>413.06888274647389</v>
      </c>
      <c r="R78" s="59">
        <f t="shared" si="55"/>
        <v>706.4022160798072</v>
      </c>
      <c r="S78" s="59">
        <f ca="1">AVERAGE(OFFSET($R$3,0,0,'Données projet'!$E$9+1,1))-AVERAGE(OFFSET($H$3,0,0,'Données projet'!$E$9+1,1))</f>
        <v>179.44051550872138</v>
      </c>
      <c r="T78" s="59">
        <f t="shared" si="88"/>
        <v>272.9500808380069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50.447305912229339</v>
      </c>
      <c r="AA78" s="21">
        <f>EXP(-LN(2)/25)*AA77+(1-EXP(-LN(2)/25))/(LN(2)/25)*Calculateur!V78*Calculateur!X78*VLOOKUP('Données projet'!$B$9,Paramètres!$A$1:$I$89,3,0)*0.475*44/12</f>
        <v>13.896242713364058</v>
      </c>
      <c r="AB78" s="21">
        <f>EXP(-LN(2)/2)*AB77+(1-EXP(-LN(2)/2))/(LN(2)/2)*V78*Y78*VLOOKUP('Données projet'!$B$9,Paramètres!$A$1:$I$89,3,0)*0.475*44/12</f>
        <v>3.7221618035931797E-8</v>
      </c>
      <c r="AC78" s="22">
        <f t="shared" si="57"/>
        <v>64.343548662815024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368.84</v>
      </c>
      <c r="AG78" s="12">
        <f>VLOOKUP(A78,'Données projet'!$A$61:$I$81,9,0)</f>
        <v>10.769999999999992</v>
      </c>
      <c r="AH78" s="12">
        <f t="array" ref="AH78">INDEX(AG:AG,MIN(IF(ISNUMBER(AG78:AG274),ROW(AG78:AG274),"")))</f>
        <v>10.769999999999992</v>
      </c>
      <c r="AI78" s="13">
        <f>IF('Données projet'!$A$62&gt;35,AI77+AH78-AQ77,IF(A78&lt;'Données projet'!$A$62,$AF$205^A78,IF(A78='Données projet'!$A$62,'Données projet'!$B$62,AI77+AH78-AQ77)))</f>
        <v>368.8399999999998</v>
      </c>
      <c r="AJ78" s="13">
        <f>AI78*VLOOKUP('Données projet'!$B$10,Paramètres!$A$1:$I$89,3,0)*VLOOKUP('Données projet'!$B$10,Paramètres!$A$1:$I$89,5,0)</f>
        <v>177.41203999999993</v>
      </c>
      <c r="AK78" s="13">
        <f t="shared" si="89"/>
        <v>44.745928357272234</v>
      </c>
      <c r="AL78" s="20">
        <f t="shared" si="58"/>
        <v>386.92512822224899</v>
      </c>
      <c r="AM78" s="59">
        <f t="shared" si="59"/>
        <v>680.25846155558224</v>
      </c>
      <c r="AN78" s="59">
        <f ca="1">AVERAGE(OFFSET($AM$3,0,0,'Données projet'!$E$10+1,1))-AVERAGE(OFFSET($H$3,0,0,'Données projet'!$E$10+1,1))</f>
        <v>174.18188687702559</v>
      </c>
      <c r="AO78" s="59">
        <f t="shared" si="90"/>
        <v>32.17353897322738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95.901128743816045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95.901128743816045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0.8600000000003547</v>
      </c>
      <c r="BE78" s="13">
        <f>BD78*VLOOKUP('Données projet'!$B$11,Paramètres!$A$1:$I$89,3,0)*VLOOKUP('Données projet'!$B$11,Paramètres!$A$1:$I$89,5,0)</f>
        <v>0.48074000000019829</v>
      </c>
      <c r="BF78" s="13">
        <f t="shared" si="91"/>
        <v>0.24126147010950588</v>
      </c>
      <c r="BG78" s="20">
        <f t="shared" si="61"/>
        <v>1.2574858937744013</v>
      </c>
      <c r="BH78" s="59">
        <f t="shared" si="62"/>
        <v>294.59081922710772</v>
      </c>
      <c r="BI78" s="59">
        <f ca="1">AVERAGE(OFFSET($BH$3,0,0,'Données projet'!$E$11+1,1))-AVERAGE(OFFSET($H$3,0,0,'Données projet'!$E$11+1,1))</f>
        <v>350.01600895263641</v>
      </c>
      <c r="BJ78" s="59">
        <f t="shared" si="92"/>
        <v>464.08921044376882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250.19600507709254</v>
      </c>
      <c r="BQ78" s="21">
        <f>EXP(-LN(2)/25)*BQ77+(1-EXP(-LN(2)/25))/(LN(2)/25)*Calculateur!BL78*Calculateur!BN78*VLOOKUP('Données projet'!$B$11,Paramètres!$A$1:$I$89,3,0)*0.475*44/12</f>
        <v>14.522784107070271</v>
      </c>
      <c r="BR78" s="21">
        <f>EXP(-LN(2)/2)*BR77+(1-EXP(-LN(2)/2))/(LN(2)/2)*BL78*BO78*VLOOKUP('Données projet'!$B$11,Paramètres!$A$1:$I$89,3,0)*0.475*44/12</f>
        <v>1.2474127379404363E-7</v>
      </c>
      <c r="BS78" s="22">
        <f t="shared" si="63"/>
        <v>264.71878930890409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850.70521475230044</v>
      </c>
      <c r="CD78" s="59">
        <f ca="1">AVERAGE(OFFSET($CC$3,0,0,'Données projet'!$E$12+1,1))-AVERAGE(OFFSET($H$3,0,0,'Données projet'!$E$12+1,1))</f>
        <v>279.49721661620544</v>
      </c>
      <c r="CE78" s="59">
        <f t="shared" si="94"/>
        <v>275.18739333988754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53.04121247609671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53.04121247609671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254.89</v>
      </c>
      <c r="CR78" s="12">
        <f>VLOOKUP(A78,'Données projet'!$A$139:$I$159,9,0)</f>
        <v>7.8049999999999962</v>
      </c>
      <c r="CS78" s="12">
        <f t="array" ref="CS78">INDEX(CR:CR,MIN(IF(ISNUMBER(CR78:CR274),ROW(CR78:CR274),"")))</f>
        <v>7.8049999999999962</v>
      </c>
      <c r="CT78" s="12">
        <f>IF('Données projet'!$A$140&gt;35,CT77+CS78-DB77,IF(A78&lt;'Données projet'!$A$140,$CQ$205^A78,IF(A78='Données projet'!$A$140,'Données projet'!$B$140,CT77+CS78-DB77)))</f>
        <v>254.89000000000007</v>
      </c>
      <c r="CU78" s="17">
        <f>CT78*VLOOKUP('Données projet'!$B$13,Paramètres!$A$1:$I$89,3,0)*VLOOKUP('Données projet'!$B$13,Paramètres!$A$1:$I$89,5,0)</f>
        <v>258.45846000000006</v>
      </c>
      <c r="CV78" s="13">
        <f t="shared" si="95"/>
        <v>62.393670285021919</v>
      </c>
      <c r="CW78" s="20">
        <f t="shared" si="67"/>
        <v>558.81746024641325</v>
      </c>
      <c r="CX78" s="59">
        <f t="shared" si="68"/>
        <v>852.15079357974651</v>
      </c>
      <c r="CY78" s="59">
        <f ca="1">AVERAGE(OFFSET($CX$3,0,0,'Données projet'!$E$13+1,1))-AVERAGE(OFFSET($H$3,0,0,'Données projet'!$E$13+1,1))</f>
        <v>402.54350692668021</v>
      </c>
      <c r="CZ78" s="59">
        <f t="shared" si="96"/>
        <v>163.60655196884522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39.54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86.093842265831825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86.093842265831825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335</v>
      </c>
      <c r="DM78" s="12">
        <f>VLOOKUP(A78,'Données projet'!$A$165:$I$185,9,0)</f>
        <v>9.4</v>
      </c>
      <c r="DN78" s="12">
        <f t="array" ref="DN78">INDEX(DM:DM,MIN(IF(ISNUMBER(DM78:DM274),ROW(DM78:DM274),"")))</f>
        <v>9.4</v>
      </c>
      <c r="DO78" s="12">
        <f>IF('Données projet'!$A$166&gt;35,DO77+DN78-DW77,IF(A78&lt;'Données projet'!$A$166,$DL$205^A78,IF(A78='Données projet'!$A$166,'Données projet'!$B$166,DO77+DN78-DW77)))</f>
        <v>334.99999999999983</v>
      </c>
      <c r="DP78" s="17">
        <f>DO78*VLOOKUP('Données projet'!$B$14,Paramètres!$A$1:$I$89,3,0)*VLOOKUP('Données projet'!$B$14,Paramètres!$A$1:$I$89,5,0)</f>
        <v>287.42999999999989</v>
      </c>
      <c r="DQ78" s="13">
        <f t="shared" si="97"/>
        <v>68.534780142555746</v>
      </c>
      <c r="DR78" s="20">
        <f t="shared" si="70"/>
        <v>619.97199208161771</v>
      </c>
      <c r="DS78" s="59">
        <f t="shared" si="71"/>
        <v>913.30532541495108</v>
      </c>
      <c r="DT78" s="59">
        <f ca="1">AVERAGE(OFFSET($DS$3,0,0,'Données projet'!$E$14+1,1))-AVERAGE(OFFSET($H$3,0,0,'Données projet'!$E$14+1,1))</f>
        <v>352.76625414822473</v>
      </c>
      <c r="DU78" s="59">
        <f t="shared" si="98"/>
        <v>186.48649111821521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28</v>
      </c>
      <c r="DX78" s="16">
        <f>IF(ISNA(VLOOKUP(A78,'Données projet'!$A$165:$I$185,5,0)),0%,VLOOKUP(A78,'Données projet'!$A$165:$I$185,5,0)*VLOOKUP('Données projet'!$B$14,Paramètres!$A$1:$I$89,7,0))</f>
        <v>0.53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88.063141164494326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88.063141164494326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210.25641030000014</v>
      </c>
      <c r="EK78" s="17">
        <f>EJ78*VLOOKUP('Données projet'!$B$15,Paramètres!$A$1:$I$89,3,0)*VLOOKUP('Données projet'!$B$15,Paramètres!$A$1:$I$89,5,0)</f>
        <v>164.00000003400012</v>
      </c>
      <c r="EL78" s="13">
        <f t="shared" si="99"/>
        <v>41.743425916009095</v>
      </c>
      <c r="EM78" s="20">
        <f t="shared" si="73"/>
        <v>358.3364668629327</v>
      </c>
      <c r="EN78" s="59">
        <f t="shared" si="74"/>
        <v>651.66980019626601</v>
      </c>
      <c r="EO78" s="59">
        <f ca="1">AVERAGE(OFFSET($EN$3,0,0,'Données projet'!$E$15+1,1))-AVERAGE(OFFSET($H$3,0,0,'Données projet'!$E$15+1,1))</f>
        <v>130.66539383144681</v>
      </c>
      <c r="EP78" s="59">
        <f t="shared" si="100"/>
        <v>126.36398121441903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28.676762830801284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28.676762830801284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254.89</v>
      </c>
      <c r="FC78" s="12">
        <f>VLOOKUP(A78,'Données projet'!$A$217:$I$237,9,0)</f>
        <v>7.8049999999999962</v>
      </c>
      <c r="FD78" s="12">
        <f t="array" ref="FD78">INDEX(FC:FC,MIN(IF(ISNUMBER(FC78:FC274),ROW(FC78:FC274),"")))</f>
        <v>7.8049999999999962</v>
      </c>
      <c r="FE78" s="12">
        <f>IF('Données projet'!$A$218&gt;35,FE77+FD78-FM77,IF(A78&lt;'Données projet'!$A$218,$FB$205^A78,IF(A78='Données projet'!$A$218,'Données projet'!$B$218,FE77+FD78-FM77)))</f>
        <v>254.89000000000007</v>
      </c>
      <c r="FF78" s="17">
        <f>FE78*VLOOKUP('Données projet'!$B$16,Paramètres!$A$1:$I$89,3,0)*VLOOKUP('Données projet'!$B$16,Paramètres!$A$1:$I$89,5,0)</f>
        <v>246.52960800000005</v>
      </c>
      <c r="FG78" s="13">
        <f t="shared" si="101"/>
        <v>59.84220513086759</v>
      </c>
      <c r="FH78" s="20">
        <f t="shared" si="76"/>
        <v>533.59757453626105</v>
      </c>
      <c r="FI78" s="59">
        <f t="shared" si="77"/>
        <v>826.93090786959442</v>
      </c>
      <c r="FJ78" s="59">
        <f ca="1">AVERAGE(OFFSET($FI$3,0,0,'Données projet'!$E$16+1,1))-AVERAGE(OFFSET($H$3,0,0,'Données projet'!$E$16+1,1))</f>
        <v>380.43199889536805</v>
      </c>
      <c r="FK78" s="59">
        <f t="shared" si="102"/>
        <v>154.72646317672996</v>
      </c>
      <c r="FL78" s="15">
        <f>IF(ISNA(VLOOKUP(A78,'Données projet'!$A$217:$I$237,3,0)),0,VLOOKUP(A78,'Données projet'!$A$217:$I$237,3,0))</f>
        <v>5</v>
      </c>
      <c r="FM78" s="15">
        <f>IF(ISNA(VLOOKUP(A78,'Données projet'!$A$217:$I$237,4,0)),0,VLOOKUP(A78,'Données projet'!$A$217:$I$237,4,0))</f>
        <v>39.54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82.120280315101112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82.120280315101112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304</v>
      </c>
      <c r="O79" s="13">
        <f>N79*VLOOKUP('Données projet'!$B$9,Paramètres!$A$1:$I$89,3,0)*VLOOKUP('Données projet'!$B$9,Paramètres!$A$1:$I$89,5,0)</f>
        <v>189.696</v>
      </c>
      <c r="P79" s="13">
        <f t="shared" si="87"/>
        <v>47.472736505152469</v>
      </c>
      <c r="Q79" s="20">
        <f t="shared" si="54"/>
        <v>413.06888274647389</v>
      </c>
      <c r="R79" s="59">
        <f t="shared" si="55"/>
        <v>706.4022160798072</v>
      </c>
      <c r="S79" s="59">
        <f ca="1">AVERAGE(OFFSET($R$3,0,0,'Données projet'!$E$9+1,1))-AVERAGE(OFFSET($H$3,0,0,'Données projet'!$E$9+1,1))</f>
        <v>179.44051550872138</v>
      </c>
      <c r="T79" s="59">
        <f t="shared" si="88"/>
        <v>272.9500808380069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49.458065013108865</v>
      </c>
      <c r="AA79" s="21">
        <f>EXP(-LN(2)/25)*AA78+(1-EXP(-LN(2)/25))/(LN(2)/25)*Calculateur!V79*Calculateur!X79*VLOOKUP('Données projet'!$B$9,Paramètres!$A$1:$I$89,3,0)*0.475*44/12</f>
        <v>13.516249225595475</v>
      </c>
      <c r="AB79" s="21">
        <f>EXP(-LN(2)/2)*AB78+(1-EXP(-LN(2)/2))/(LN(2)/2)*V79*Y79*VLOOKUP('Données projet'!$B$9,Paramètres!$A$1:$I$89,3,0)*0.475*44/12</f>
        <v>2.6319658519942877E-8</v>
      </c>
      <c r="AC79" s="22">
        <f t="shared" si="57"/>
        <v>62.974314265023999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10.112</v>
      </c>
      <c r="AI79" s="13">
        <f>IF('Données projet'!$A$62&gt;35,AI78+AH79-AQ78,IF(A79&lt;'Données projet'!$A$62,$AF$205^A79,IF(A79='Données projet'!$A$62,'Données projet'!$B$62,AI78+AH79-AQ78)))</f>
        <v>378.95199999999983</v>
      </c>
      <c r="AJ79" s="13">
        <f>AI79*VLOOKUP('Données projet'!$B$10,Paramètres!$A$1:$I$89,3,0)*VLOOKUP('Données projet'!$B$10,Paramètres!$A$1:$I$89,5,0)</f>
        <v>182.27591199999992</v>
      </c>
      <c r="AK79" s="13">
        <f t="shared" si="89"/>
        <v>45.828163786137225</v>
      </c>
      <c r="AL79" s="20">
        <f t="shared" si="58"/>
        <v>397.28126532752214</v>
      </c>
      <c r="AM79" s="59">
        <f t="shared" si="59"/>
        <v>690.61459866085545</v>
      </c>
      <c r="AN79" s="59">
        <f ca="1">AVERAGE(OFFSET($AM$3,0,0,'Données projet'!$E$10+1,1))-AVERAGE(OFFSET($H$3,0,0,'Données projet'!$E$10+1,1))</f>
        <v>174.18188687702559</v>
      </c>
      <c r="AO79" s="59">
        <f t="shared" si="90"/>
        <v>32.17353897322738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94.020566103062549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94.020566103062549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0.8600000000003547</v>
      </c>
      <c r="BE79" s="13">
        <f>BD79*VLOOKUP('Données projet'!$B$11,Paramètres!$A$1:$I$89,3,0)*VLOOKUP('Données projet'!$B$11,Paramètres!$A$1:$I$89,5,0)</f>
        <v>0.48074000000019829</v>
      </c>
      <c r="BF79" s="13">
        <f t="shared" si="91"/>
        <v>0.24126147010950588</v>
      </c>
      <c r="BG79" s="20">
        <f t="shared" si="61"/>
        <v>1.2574858937744013</v>
      </c>
      <c r="BH79" s="59">
        <f t="shared" si="62"/>
        <v>294.59081922710772</v>
      </c>
      <c r="BI79" s="59">
        <f ca="1">AVERAGE(OFFSET($BH$3,0,0,'Données projet'!$E$11+1,1))-AVERAGE(OFFSET($H$3,0,0,'Données projet'!$E$11+1,1))</f>
        <v>350.01600895263641</v>
      </c>
      <c r="BJ79" s="59">
        <f t="shared" si="92"/>
        <v>464.08921044376882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245.28981402202541</v>
      </c>
      <c r="BQ79" s="21">
        <f>EXP(-LN(2)/25)*BQ78+(1-EXP(-LN(2)/25))/(LN(2)/25)*Calculateur!BL79*Calculateur!BN79*VLOOKUP('Données projet'!$B$11,Paramètres!$A$1:$I$89,3,0)*0.475*44/12</f>
        <v>14.125657811942411</v>
      </c>
      <c r="BR79" s="21">
        <f>EXP(-LN(2)/2)*BR78+(1-EXP(-LN(2)/2))/(LN(2)/2)*BL79*BO79*VLOOKUP('Données projet'!$B$11,Paramètres!$A$1:$I$89,3,0)*0.475*44/12</f>
        <v>8.8205400593616025E-8</v>
      </c>
      <c r="BS79" s="22">
        <f t="shared" si="63"/>
        <v>259.41547192217325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836.57822031101864</v>
      </c>
      <c r="CD79" s="59">
        <f ca="1">AVERAGE(OFFSET($CC$3,0,0,'Données projet'!$E$12+1,1))-AVERAGE(OFFSET($H$3,0,0,'Données projet'!$E$12+1,1))</f>
        <v>279.49721661620544</v>
      </c>
      <c r="CE79" s="59">
        <f t="shared" si="94"/>
        <v>275.18739333988754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52.001106651385577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52.001106651385577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7.6022222222222204</v>
      </c>
      <c r="CT79" s="12">
        <f>IF('Données projet'!$A$140&gt;35,CT78+CS79-DB78,IF(A79&lt;'Données projet'!$A$140,$CQ$205^A79,IF(A79='Données projet'!$A$140,'Données projet'!$B$140,CT78+CS79-DB78)))</f>
        <v>222.95222222222228</v>
      </c>
      <c r="CU79" s="17">
        <f>CT79*VLOOKUP('Données projet'!$B$13,Paramètres!$A$1:$I$89,3,0)*VLOOKUP('Données projet'!$B$13,Paramètres!$A$1:$I$89,5,0)</f>
        <v>226.07355333333342</v>
      </c>
      <c r="CV79" s="13">
        <f t="shared" si="95"/>
        <v>55.432843030204474</v>
      </c>
      <c r="CW79" s="20">
        <f t="shared" si="67"/>
        <v>490.29030699982837</v>
      </c>
      <c r="CX79" s="59">
        <f t="shared" si="68"/>
        <v>783.62364033316169</v>
      </c>
      <c r="CY79" s="59">
        <f ca="1">AVERAGE(OFFSET($CX$3,0,0,'Données projet'!$E$13+1,1))-AVERAGE(OFFSET($H$3,0,0,'Données projet'!$E$13+1,1))</f>
        <v>402.54350692668021</v>
      </c>
      <c r="CZ79" s="59">
        <f t="shared" si="96"/>
        <v>163.60655196884522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84.405594531057503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84.405594531057503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8.8000000000000007</v>
      </c>
      <c r="DO79" s="12">
        <f>IF('Données projet'!$A$166&gt;35,DO78+DN79-DW78,IF(A79&lt;'Données projet'!$A$166,$DL$205^A79,IF(A79='Données projet'!$A$166,'Données projet'!$B$166,DO78+DN79-DW78)))</f>
        <v>315.79999999999984</v>
      </c>
      <c r="DP79" s="17">
        <f>DO79*VLOOKUP('Données projet'!$B$14,Paramètres!$A$1:$I$89,3,0)*VLOOKUP('Données projet'!$B$14,Paramètres!$A$1:$I$89,5,0)</f>
        <v>270.95639999999986</v>
      </c>
      <c r="DQ79" s="13">
        <f t="shared" si="97"/>
        <v>65.052199716598722</v>
      </c>
      <c r="DR79" s="20">
        <f t="shared" si="70"/>
        <v>585.21497783974257</v>
      </c>
      <c r="DS79" s="59">
        <f t="shared" si="71"/>
        <v>878.54831117307594</v>
      </c>
      <c r="DT79" s="59">
        <f ca="1">AVERAGE(OFFSET($DS$3,0,0,'Données projet'!$E$14+1,1))-AVERAGE(OFFSET($H$3,0,0,'Données projet'!$E$14+1,1))</f>
        <v>352.76625414822473</v>
      </c>
      <c r="DU79" s="59">
        <f t="shared" si="98"/>
        <v>186.48649111821521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86.33627667947097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86.33627667947097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210.25641030000014</v>
      </c>
      <c r="EK79" s="17">
        <f>EJ79*VLOOKUP('Données projet'!$B$15,Paramètres!$A$1:$I$89,3,0)*VLOOKUP('Données projet'!$B$15,Paramètres!$A$1:$I$89,5,0)</f>
        <v>164.00000003400012</v>
      </c>
      <c r="EL79" s="13">
        <f t="shared" si="99"/>
        <v>41.743425916009095</v>
      </c>
      <c r="EM79" s="20">
        <f t="shared" si="73"/>
        <v>358.3364668629327</v>
      </c>
      <c r="EN79" s="59">
        <f t="shared" si="74"/>
        <v>651.66980019626601</v>
      </c>
      <c r="EO79" s="59">
        <f ca="1">AVERAGE(OFFSET($EN$3,0,0,'Données projet'!$E$15+1,1))-AVERAGE(OFFSET($H$3,0,0,'Données projet'!$E$15+1,1))</f>
        <v>130.66539383144681</v>
      </c>
      <c r="EP79" s="59">
        <f t="shared" si="100"/>
        <v>126.36398121441903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28.114429002787496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28.114429002787496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7.6022222222222204</v>
      </c>
      <c r="FE79" s="12">
        <f>IF('Données projet'!$A$218&gt;35,FE78+FD79-FM78,IF(A79&lt;'Données projet'!$A$218,$FB$205^A79,IF(A79='Données projet'!$A$218,'Données projet'!$B$218,FE78+FD79-FM78)))</f>
        <v>222.95222222222228</v>
      </c>
      <c r="FF79" s="17">
        <f>FE79*VLOOKUP('Données projet'!$B$16,Paramètres!$A$1:$I$89,3,0)*VLOOKUP('Données projet'!$B$16,Paramètres!$A$1:$I$89,5,0)</f>
        <v>215.63938933333341</v>
      </c>
      <c r="FG79" s="13">
        <f t="shared" si="101"/>
        <v>53.166027073695133</v>
      </c>
      <c r="FH79" s="20">
        <f t="shared" si="76"/>
        <v>468.16943357557466</v>
      </c>
      <c r="FI79" s="59">
        <f t="shared" si="77"/>
        <v>761.50276690890792</v>
      </c>
      <c r="FJ79" s="59">
        <f ca="1">AVERAGE(OFFSET($FI$3,0,0,'Données projet'!$E$16+1,1))-AVERAGE(OFFSET($H$3,0,0,'Données projet'!$E$16+1,1))</f>
        <v>380.43199889536805</v>
      </c>
      <c r="FK79" s="59">
        <f t="shared" si="102"/>
        <v>154.72646317672996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80.509951706547156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80.509951706547156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304</v>
      </c>
      <c r="O80" s="13">
        <f>N80*VLOOKUP('Données projet'!$B$9,Paramètres!$A$1:$I$89,3,0)*VLOOKUP('Données projet'!$B$9,Paramètres!$A$1:$I$89,5,0)</f>
        <v>189.696</v>
      </c>
      <c r="P80" s="13">
        <f t="shared" si="87"/>
        <v>47.472736505152469</v>
      </c>
      <c r="Q80" s="20">
        <f t="shared" si="54"/>
        <v>413.06888274647389</v>
      </c>
      <c r="R80" s="59">
        <f t="shared" si="55"/>
        <v>706.4022160798072</v>
      </c>
      <c r="S80" s="59">
        <f ca="1">AVERAGE(OFFSET($R$3,0,0,'Données projet'!$E$9+1,1))-AVERAGE(OFFSET($H$3,0,0,'Données projet'!$E$9+1,1))</f>
        <v>179.44051550872138</v>
      </c>
      <c r="T80" s="59">
        <f t="shared" si="88"/>
        <v>272.9500808380069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48.488222524642772</v>
      </c>
      <c r="AA80" s="21">
        <f>EXP(-LN(2)/25)*AA79+(1-EXP(-LN(2)/25))/(LN(2)/25)*Calculateur!V80*Calculateur!X80*VLOOKUP('Données projet'!$B$9,Paramètres!$A$1:$I$89,3,0)*0.475*44/12</f>
        <v>13.146646679732912</v>
      </c>
      <c r="AB80" s="21">
        <f>EXP(-LN(2)/2)*AB79+(1-EXP(-LN(2)/2))/(LN(2)/2)*V80*Y80*VLOOKUP('Données projet'!$B$9,Paramètres!$A$1:$I$89,3,0)*0.475*44/12</f>
        <v>1.8610809017965899E-8</v>
      </c>
      <c r="AC80" s="22">
        <f t="shared" si="57"/>
        <v>61.634869222986495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10.112</v>
      </c>
      <c r="AI80" s="13">
        <f>IF('Données projet'!$A$62&gt;35,AI79+AH80-AQ79,IF(A80&lt;'Données projet'!$A$62,$AF$205^A80,IF(A80='Données projet'!$A$62,'Données projet'!$B$62,AI79+AH80-AQ79)))</f>
        <v>389.06399999999985</v>
      </c>
      <c r="AJ80" s="13">
        <f>AI80*VLOOKUP('Données projet'!$B$10,Paramètres!$A$1:$I$89,3,0)*VLOOKUP('Données projet'!$B$10,Paramètres!$A$1:$I$89,5,0)</f>
        <v>187.13978399999993</v>
      </c>
      <c r="AK80" s="13">
        <f t="shared" si="89"/>
        <v>46.907042551854914</v>
      </c>
      <c r="AL80" s="20">
        <f t="shared" si="58"/>
        <v>407.63155624448046</v>
      </c>
      <c r="AM80" s="59">
        <f t="shared" si="59"/>
        <v>700.96488957781378</v>
      </c>
      <c r="AN80" s="59">
        <f ca="1">AVERAGE(OFFSET($AM$3,0,0,'Données projet'!$E$10+1,1))-AVERAGE(OFFSET($H$3,0,0,'Données projet'!$E$10+1,1))</f>
        <v>174.18188687702559</v>
      </c>
      <c r="AO80" s="59">
        <f t="shared" si="90"/>
        <v>32.17353897322738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92.176880148664281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92.176880148664281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0.8600000000003547</v>
      </c>
      <c r="BE80" s="13">
        <f>BD80*VLOOKUP('Données projet'!$B$11,Paramètres!$A$1:$I$89,3,0)*VLOOKUP('Données projet'!$B$11,Paramètres!$A$1:$I$89,5,0)</f>
        <v>0.48074000000019829</v>
      </c>
      <c r="BF80" s="13">
        <f t="shared" si="91"/>
        <v>0.24126147010950588</v>
      </c>
      <c r="BG80" s="20">
        <f t="shared" si="61"/>
        <v>1.2574858937744013</v>
      </c>
      <c r="BH80" s="59">
        <f t="shared" si="62"/>
        <v>294.59081922710772</v>
      </c>
      <c r="BI80" s="59">
        <f ca="1">AVERAGE(OFFSET($BH$3,0,0,'Données projet'!$E$11+1,1))-AVERAGE(OFFSET($H$3,0,0,'Données projet'!$E$11+1,1))</f>
        <v>350.01600895263641</v>
      </c>
      <c r="BJ80" s="59">
        <f t="shared" si="92"/>
        <v>464.08921044376882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240.47983038106707</v>
      </c>
      <c r="BQ80" s="21">
        <f>EXP(-LN(2)/25)*BQ79+(1-EXP(-LN(2)/25))/(LN(2)/25)*Calculateur!BL80*Calculateur!BN80*VLOOKUP('Données projet'!$B$11,Paramètres!$A$1:$I$89,3,0)*0.475*44/12</f>
        <v>13.739390956238786</v>
      </c>
      <c r="BR80" s="21">
        <f>EXP(-LN(2)/2)*BR79+(1-EXP(-LN(2)/2))/(LN(2)/2)*BL80*BO80*VLOOKUP('Données projet'!$B$11,Paramètres!$A$1:$I$89,3,0)*0.475*44/12</f>
        <v>6.2370636897021814E-8</v>
      </c>
      <c r="BS80" s="22">
        <f t="shared" si="63"/>
        <v>254.21922139967651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842.63357839152309</v>
      </c>
      <c r="CD80" s="59">
        <f ca="1">AVERAGE(OFFSET($CC$3,0,0,'Données projet'!$E$12+1,1))-AVERAGE(OFFSET($H$3,0,0,'Données projet'!$E$12+1,1))</f>
        <v>279.49721661620544</v>
      </c>
      <c r="CE80" s="59">
        <f t="shared" si="94"/>
        <v>275.18739333988754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50.981396667495119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50.981396667495119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7.6022222222222204</v>
      </c>
      <c r="CT80" s="12">
        <f>IF('Données projet'!$A$140&gt;35,CT79+CS80-DB79,IF(A80&lt;'Données projet'!$A$140,$CQ$205^A80,IF(A80='Données projet'!$A$140,'Données projet'!$B$140,CT79+CS80-DB79)))</f>
        <v>230.5544444444445</v>
      </c>
      <c r="CU80" s="17">
        <f>CT80*VLOOKUP('Données projet'!$B$13,Paramètres!$A$1:$I$89,3,0)*VLOOKUP('Données projet'!$B$13,Paramètres!$A$1:$I$89,5,0)</f>
        <v>233.78220666666675</v>
      </c>
      <c r="CV80" s="13">
        <f t="shared" si="95"/>
        <v>57.099705101540508</v>
      </c>
      <c r="CW80" s="20">
        <f t="shared" si="67"/>
        <v>506.61932966296098</v>
      </c>
      <c r="CX80" s="59">
        <f t="shared" si="68"/>
        <v>799.95266299629429</v>
      </c>
      <c r="CY80" s="59">
        <f ca="1">AVERAGE(OFFSET($CX$3,0,0,'Données projet'!$E$13+1,1))-AVERAGE(OFFSET($H$3,0,0,'Données projet'!$E$13+1,1))</f>
        <v>402.54350692668021</v>
      </c>
      <c r="CZ80" s="59">
        <f t="shared" si="96"/>
        <v>163.60655196884522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82.750452304632674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82.750452304632674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8.8000000000000007</v>
      </c>
      <c r="DO80" s="12">
        <f>IF('Données projet'!$A$166&gt;35,DO79+DN80-DW79,IF(A80&lt;'Données projet'!$A$166,$DL$205^A80,IF(A80='Données projet'!$A$166,'Données projet'!$B$166,DO79+DN80-DW79)))</f>
        <v>324.59999999999985</v>
      </c>
      <c r="DP80" s="17">
        <f>DO80*VLOOKUP('Données projet'!$B$14,Paramètres!$A$1:$I$89,3,0)*VLOOKUP('Données projet'!$B$14,Paramètres!$A$1:$I$89,5,0)</f>
        <v>278.50679999999994</v>
      </c>
      <c r="DQ80" s="13">
        <f t="shared" si="97"/>
        <v>66.651354661909949</v>
      </c>
      <c r="DR80" s="20">
        <f t="shared" si="70"/>
        <v>601.15045270282633</v>
      </c>
      <c r="DS80" s="59">
        <f t="shared" si="71"/>
        <v>894.4837860361597</v>
      </c>
      <c r="DT80" s="59">
        <f ca="1">AVERAGE(OFFSET($DS$3,0,0,'Données projet'!$E$14+1,1))-AVERAGE(OFFSET($H$3,0,0,'Données projet'!$E$14+1,1))</f>
        <v>352.76625414822473</v>
      </c>
      <c r="DU80" s="59">
        <f t="shared" si="98"/>
        <v>186.48649111821521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84.643274953715576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84.643274953715576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210.25641030000014</v>
      </c>
      <c r="EK80" s="17">
        <f>EJ80*VLOOKUP('Données projet'!$B$15,Paramètres!$A$1:$I$89,3,0)*VLOOKUP('Données projet'!$B$15,Paramètres!$A$1:$I$89,5,0)</f>
        <v>164.00000003400012</v>
      </c>
      <c r="EL80" s="13">
        <f t="shared" si="99"/>
        <v>41.743425916009095</v>
      </c>
      <c r="EM80" s="20">
        <f t="shared" si="73"/>
        <v>358.3364668629327</v>
      </c>
      <c r="EN80" s="59">
        <f t="shared" si="74"/>
        <v>651.66980019626601</v>
      </c>
      <c r="EO80" s="59">
        <f ca="1">AVERAGE(OFFSET($EN$3,0,0,'Données projet'!$E$15+1,1))-AVERAGE(OFFSET($H$3,0,0,'Données projet'!$E$15+1,1))</f>
        <v>130.66539383144681</v>
      </c>
      <c r="EP80" s="59">
        <f t="shared" si="100"/>
        <v>126.36398121441903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27.563122198151291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27.563122198151291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7.6022222222222204</v>
      </c>
      <c r="FE80" s="12">
        <f>IF('Données projet'!$A$218&gt;35,FE79+FD80-FM79,IF(A80&lt;'Données projet'!$A$218,$FB$205^A80,IF(A80='Données projet'!$A$218,'Données projet'!$B$218,FE79+FD80-FM79)))</f>
        <v>230.5544444444445</v>
      </c>
      <c r="FF80" s="17">
        <f>FE80*VLOOKUP('Données projet'!$B$16,Paramètres!$A$1:$I$89,3,0)*VLOOKUP('Données projet'!$B$16,Paramètres!$A$1:$I$89,5,0)</f>
        <v>222.99225866666671</v>
      </c>
      <c r="FG80" s="13">
        <f t="shared" si="101"/>
        <v>54.764726133104311</v>
      </c>
      <c r="FH80" s="20">
        <f t="shared" si="76"/>
        <v>483.76008185960126</v>
      </c>
      <c r="FI80" s="59">
        <f t="shared" si="77"/>
        <v>777.09341519293457</v>
      </c>
      <c r="FJ80" s="59">
        <f ca="1">AVERAGE(OFFSET($FI$3,0,0,'Données projet'!$E$16+1,1))-AVERAGE(OFFSET($H$3,0,0,'Données projet'!$E$16+1,1))</f>
        <v>380.43199889536805</v>
      </c>
      <c r="FK80" s="59">
        <f t="shared" si="102"/>
        <v>154.72646317672996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78.931200659803466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78.931200659803466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304</v>
      </c>
      <c r="O81" s="13">
        <f>N81*VLOOKUP('Données projet'!$B$9,Paramètres!$A$1:$I$89,3,0)*VLOOKUP('Données projet'!$B$9,Paramètres!$A$1:$I$89,5,0)</f>
        <v>189.696</v>
      </c>
      <c r="P81" s="13">
        <f t="shared" si="87"/>
        <v>47.472736505152469</v>
      </c>
      <c r="Q81" s="20">
        <f t="shared" si="54"/>
        <v>413.06888274647389</v>
      </c>
      <c r="R81" s="59">
        <f t="shared" si="55"/>
        <v>706.4022160798072</v>
      </c>
      <c r="S81" s="59">
        <f ca="1">AVERAGE(OFFSET($R$3,0,0,'Données projet'!$E$9+1,1))-AVERAGE(OFFSET($H$3,0,0,'Données projet'!$E$9+1,1))</f>
        <v>179.44051550872138</v>
      </c>
      <c r="T81" s="59">
        <f t="shared" si="88"/>
        <v>272.9500808380069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47.537398055829989</v>
      </c>
      <c r="AA81" s="21">
        <f>EXP(-LN(2)/25)*AA80+(1-EXP(-LN(2)/25))/(LN(2)/25)*Calculateur!V81*Calculateur!X81*VLOOKUP('Données projet'!$B$9,Paramètres!$A$1:$I$89,3,0)*0.475*44/12</f>
        <v>12.787150934923513</v>
      </c>
      <c r="AB81" s="21">
        <f>EXP(-LN(2)/2)*AB80+(1-EXP(-LN(2)/2))/(LN(2)/2)*V81*Y81*VLOOKUP('Données projet'!$B$9,Paramètres!$A$1:$I$89,3,0)*0.475*44/12</f>
        <v>1.3159829259971438E-8</v>
      </c>
      <c r="AC81" s="22">
        <f t="shared" si="57"/>
        <v>60.324549003913326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10.112</v>
      </c>
      <c r="AI81" s="13">
        <f>IF('Données projet'!$A$62&gt;35,AI80+AH81-AQ80,IF(A81&lt;'Données projet'!$A$62,$AF$205^A81,IF(A81='Données projet'!$A$62,'Données projet'!$B$62,AI80+AH81-AQ80)))</f>
        <v>399.17599999999987</v>
      </c>
      <c r="AJ81" s="13">
        <f>AI81*VLOOKUP('Données projet'!$B$10,Paramètres!$A$1:$I$89,3,0)*VLOOKUP('Données projet'!$B$10,Paramètres!$A$1:$I$89,5,0)</f>
        <v>192.00365599999995</v>
      </c>
      <c r="AK81" s="13">
        <f t="shared" si="89"/>
        <v>47.982661925968131</v>
      </c>
      <c r="AL81" s="20">
        <f t="shared" si="58"/>
        <v>417.97617038772773</v>
      </c>
      <c r="AM81" s="59">
        <f t="shared" si="59"/>
        <v>711.30950372106099</v>
      </c>
      <c r="AN81" s="59">
        <f ca="1">AVERAGE(OFFSET($AM$3,0,0,'Données projet'!$E$10+1,1))-AVERAGE(OFFSET($H$3,0,0,'Données projet'!$E$10+1,1))</f>
        <v>174.18188687702559</v>
      </c>
      <c r="AO81" s="59">
        <f t="shared" si="90"/>
        <v>32.17353897322738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90.36934775129437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90.36934775129437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0.8600000000003547</v>
      </c>
      <c r="BE81" s="13">
        <f>BD81*VLOOKUP('Données projet'!$B$11,Paramètres!$A$1:$I$89,3,0)*VLOOKUP('Données projet'!$B$11,Paramètres!$A$1:$I$89,5,0)</f>
        <v>0.48074000000019829</v>
      </c>
      <c r="BF81" s="13">
        <f t="shared" si="91"/>
        <v>0.24126147010950588</v>
      </c>
      <c r="BG81" s="20">
        <f t="shared" si="61"/>
        <v>1.2574858937744013</v>
      </c>
      <c r="BH81" s="59">
        <f t="shared" si="62"/>
        <v>294.59081922710772</v>
      </c>
      <c r="BI81" s="59">
        <f ca="1">AVERAGE(OFFSET($BH$3,0,0,'Données projet'!$E$11+1,1))-AVERAGE(OFFSET($H$3,0,0,'Données projet'!$E$11+1,1))</f>
        <v>350.01600895263641</v>
      </c>
      <c r="BJ81" s="59">
        <f t="shared" si="92"/>
        <v>464.08921044376882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235.76416758550761</v>
      </c>
      <c r="BQ81" s="21">
        <f>EXP(-LN(2)/25)*BQ80+(1-EXP(-LN(2)/25))/(LN(2)/25)*Calculateur!BL81*Calculateur!BN81*VLOOKUP('Données projet'!$B$11,Paramètres!$A$1:$I$89,3,0)*0.475*44/12</f>
        <v>13.363686588017268</v>
      </c>
      <c r="BR81" s="21">
        <f>EXP(-LN(2)/2)*BR80+(1-EXP(-LN(2)/2))/(LN(2)/2)*BL81*BO81*VLOOKUP('Données projet'!$B$11,Paramètres!$A$1:$I$89,3,0)*0.475*44/12</f>
        <v>4.4102700296808013E-8</v>
      </c>
      <c r="BS81" s="22">
        <f t="shared" si="63"/>
        <v>249.12785421762757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848.68753669206694</v>
      </c>
      <c r="CD81" s="59">
        <f ca="1">AVERAGE(OFFSET($CC$3,0,0,'Données projet'!$E$12+1,1))-AVERAGE(OFFSET($H$3,0,0,'Données projet'!$E$12+1,1))</f>
        <v>279.49721661620544</v>
      </c>
      <c r="CE81" s="59">
        <f t="shared" si="94"/>
        <v>275.18739333988754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49.981682574427076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49.981682574427076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7.6022222222222204</v>
      </c>
      <c r="CT81" s="12">
        <f>IF('Données projet'!$A$140&gt;35,CT80+CS81-DB80,IF(A81&lt;'Données projet'!$A$140,$CQ$205^A81,IF(A81='Données projet'!$A$140,'Données projet'!$B$140,CT80+CS81-DB80)))</f>
        <v>238.15666666666672</v>
      </c>
      <c r="CU81" s="17">
        <f>CT81*VLOOKUP('Données projet'!$B$13,Paramètres!$A$1:$I$89,3,0)*VLOOKUP('Données projet'!$B$13,Paramètres!$A$1:$I$89,5,0)</f>
        <v>241.49086000000008</v>
      </c>
      <c r="CV81" s="13">
        <f t="shared" si="95"/>
        <v>58.760180573382776</v>
      </c>
      <c r="CW81" s="20">
        <f t="shared" si="67"/>
        <v>522.93722899864167</v>
      </c>
      <c r="CX81" s="59">
        <f t="shared" si="68"/>
        <v>816.27056233197504</v>
      </c>
      <c r="CY81" s="59">
        <f ca="1">AVERAGE(OFFSET($CX$3,0,0,'Données projet'!$E$13+1,1))-AVERAGE(OFFSET($H$3,0,0,'Données projet'!$E$13+1,1))</f>
        <v>402.54350692668021</v>
      </c>
      <c r="CZ81" s="59">
        <f t="shared" si="96"/>
        <v>163.60655196884522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81.127766407730959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81.127766407730959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8.8000000000000007</v>
      </c>
      <c r="DO81" s="12">
        <f>IF('Données projet'!$A$166&gt;35,DO80+DN81-DW80,IF(A81&lt;'Données projet'!$A$166,$DL$205^A81,IF(A81='Données projet'!$A$166,'Données projet'!$B$166,DO80+DN81-DW80)))</f>
        <v>333.39999999999986</v>
      </c>
      <c r="DP81" s="17">
        <f>DO81*VLOOKUP('Données projet'!$B$14,Paramètres!$A$1:$I$89,3,0)*VLOOKUP('Données projet'!$B$14,Paramètres!$A$1:$I$89,5,0)</f>
        <v>286.05719999999991</v>
      </c>
      <c r="DQ81" s="13">
        <f t="shared" si="97"/>
        <v>68.24547055517067</v>
      </c>
      <c r="DR81" s="20">
        <f t="shared" si="70"/>
        <v>617.07715121692206</v>
      </c>
      <c r="DS81" s="59">
        <f t="shared" si="71"/>
        <v>910.41048455025543</v>
      </c>
      <c r="DT81" s="59">
        <f ca="1">AVERAGE(OFFSET($DS$3,0,0,'Données projet'!$E$14+1,1))-AVERAGE(OFFSET($H$3,0,0,'Données projet'!$E$14+1,1))</f>
        <v>352.76625414822473</v>
      </c>
      <c r="DU81" s="59">
        <f t="shared" si="98"/>
        <v>186.48649111821521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82.983471959173158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82.983471959173158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210.25641030000014</v>
      </c>
      <c r="EK81" s="17">
        <f>EJ81*VLOOKUP('Données projet'!$B$15,Paramètres!$A$1:$I$89,3,0)*VLOOKUP('Données projet'!$B$15,Paramètres!$A$1:$I$89,5,0)</f>
        <v>164.00000003400012</v>
      </c>
      <c r="EL81" s="13">
        <f t="shared" si="99"/>
        <v>41.743425916009095</v>
      </c>
      <c r="EM81" s="20">
        <f t="shared" si="73"/>
        <v>358.3364668629327</v>
      </c>
      <c r="EN81" s="59">
        <f t="shared" si="74"/>
        <v>651.66980019626601</v>
      </c>
      <c r="EO81" s="59">
        <f ca="1">AVERAGE(OFFSET($EN$3,0,0,'Données projet'!$E$15+1,1))-AVERAGE(OFFSET($H$3,0,0,'Données projet'!$E$15+1,1))</f>
        <v>130.66539383144681</v>
      </c>
      <c r="EP81" s="59">
        <f t="shared" si="100"/>
        <v>126.36398121441903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27.022626183690054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27.022626183690054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7.6022222222222204</v>
      </c>
      <c r="FE81" s="12">
        <f>IF('Données projet'!$A$218&gt;35,FE80+FD81-FM80,IF(A81&lt;'Données projet'!$A$218,$FB$205^A81,IF(A81='Données projet'!$A$218,'Données projet'!$B$218,FE80+FD81-FM80)))</f>
        <v>238.15666666666672</v>
      </c>
      <c r="FF81" s="17">
        <f>FE81*VLOOKUP('Données projet'!$B$16,Paramètres!$A$1:$I$89,3,0)*VLOOKUP('Données projet'!$B$16,Paramètres!$A$1:$I$89,5,0)</f>
        <v>230.34512800000007</v>
      </c>
      <c r="FG81" s="13">
        <f t="shared" si="101"/>
        <v>56.357299760314262</v>
      </c>
      <c r="FH81" s="20">
        <f t="shared" si="76"/>
        <v>499.3400616825474</v>
      </c>
      <c r="FI81" s="59">
        <f t="shared" si="77"/>
        <v>792.67339501588071</v>
      </c>
      <c r="FJ81" s="59">
        <f ca="1">AVERAGE(OFFSET($FI$3,0,0,'Données projet'!$E$16+1,1))-AVERAGE(OFFSET($H$3,0,0,'Données projet'!$E$16+1,1))</f>
        <v>380.43199889536805</v>
      </c>
      <c r="FK81" s="59">
        <f t="shared" si="102"/>
        <v>154.72646317672996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77.383407958143366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77.383407958143366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304</v>
      </c>
      <c r="O82" s="13">
        <f>N82*VLOOKUP('Données projet'!$B$9,Paramètres!$A$1:$I$89,3,0)*VLOOKUP('Données projet'!$B$9,Paramètres!$A$1:$I$89,5,0)</f>
        <v>189.696</v>
      </c>
      <c r="P82" s="13">
        <f t="shared" si="87"/>
        <v>47.472736505152469</v>
      </c>
      <c r="Q82" s="20">
        <f t="shared" si="54"/>
        <v>413.06888274647389</v>
      </c>
      <c r="R82" s="59">
        <f t="shared" si="55"/>
        <v>706.4022160798072</v>
      </c>
      <c r="S82" s="59">
        <f ca="1">AVERAGE(OFFSET($R$3,0,0,'Données projet'!$E$9+1,1))-AVERAGE(OFFSET($H$3,0,0,'Données projet'!$E$9+1,1))</f>
        <v>179.44051550872138</v>
      </c>
      <c r="T82" s="59">
        <f t="shared" si="88"/>
        <v>272.9500808380069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46.605218674904961</v>
      </c>
      <c r="AA82" s="21">
        <f>EXP(-LN(2)/25)*AA81+(1-EXP(-LN(2)/25))/(LN(2)/25)*Calculateur!V82*Calculateur!X82*VLOOKUP('Données projet'!$B$9,Paramètres!$A$1:$I$89,3,0)*0.475*44/12</f>
        <v>12.437485620160988</v>
      </c>
      <c r="AB82" s="21">
        <f>EXP(-LN(2)/2)*AB81+(1-EXP(-LN(2)/2))/(LN(2)/2)*V82*Y82*VLOOKUP('Données projet'!$B$9,Paramètres!$A$1:$I$89,3,0)*0.475*44/12</f>
        <v>9.3054045089829494E-9</v>
      </c>
      <c r="AC82" s="22">
        <f t="shared" si="57"/>
        <v>59.042704304371348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10.112</v>
      </c>
      <c r="AI82" s="13">
        <f>IF('Données projet'!$A$62&gt;35,AI81+AH82-AQ81,IF(A82&lt;'Données projet'!$A$62,$AF$205^A82,IF(A82='Données projet'!$A$62,'Données projet'!$B$62,AI81+AH82-AQ81)))</f>
        <v>409.2879999999999</v>
      </c>
      <c r="AJ82" s="13">
        <f>AI82*VLOOKUP('Données projet'!$B$10,Paramètres!$A$1:$I$89,3,0)*VLOOKUP('Données projet'!$B$10,Paramètres!$A$1:$I$89,5,0)</f>
        <v>196.86752799999996</v>
      </c>
      <c r="AK82" s="13">
        <f t="shared" si="89"/>
        <v>49.055113970998178</v>
      </c>
      <c r="AL82" s="20">
        <f t="shared" si="58"/>
        <v>428.31526809948838</v>
      </c>
      <c r="AM82" s="59">
        <f t="shared" si="59"/>
        <v>721.64860143282169</v>
      </c>
      <c r="AN82" s="59">
        <f ca="1">AVERAGE(OFFSET($AM$3,0,0,'Données projet'!$E$10+1,1))-AVERAGE(OFFSET($H$3,0,0,'Données projet'!$E$10+1,1))</f>
        <v>174.18188687702559</v>
      </c>
      <c r="AO82" s="59">
        <f t="shared" si="90"/>
        <v>32.17353897322738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88.597259961750979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88.597259961750979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0.8600000000003547</v>
      </c>
      <c r="BE82" s="13">
        <f>BD82*VLOOKUP('Données projet'!$B$11,Paramètres!$A$1:$I$89,3,0)*VLOOKUP('Données projet'!$B$11,Paramètres!$A$1:$I$89,5,0)</f>
        <v>0.48074000000019829</v>
      </c>
      <c r="BF82" s="13">
        <f t="shared" si="91"/>
        <v>0.24126147010950588</v>
      </c>
      <c r="BG82" s="20">
        <f t="shared" si="61"/>
        <v>1.2574858937744013</v>
      </c>
      <c r="BH82" s="59">
        <f t="shared" si="62"/>
        <v>294.59081922710772</v>
      </c>
      <c r="BI82" s="59">
        <f ca="1">AVERAGE(OFFSET($BH$3,0,0,'Données projet'!$E$11+1,1))-AVERAGE(OFFSET($H$3,0,0,'Données projet'!$E$11+1,1))</f>
        <v>350.01600895263641</v>
      </c>
      <c r="BJ82" s="59">
        <f t="shared" si="92"/>
        <v>464.08921044376882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231.14097606109877</v>
      </c>
      <c r="BQ82" s="21">
        <f>EXP(-LN(2)/25)*BQ81+(1-EXP(-LN(2)/25))/(LN(2)/25)*Calculateur!BL82*Calculateur!BN82*VLOOKUP('Données projet'!$B$11,Paramètres!$A$1:$I$89,3,0)*0.475*44/12</f>
        <v>12.998255875502201</v>
      </c>
      <c r="BR82" s="21">
        <f>EXP(-LN(2)/2)*BR81+(1-EXP(-LN(2)/2))/(LN(2)/2)*BL82*BO82*VLOOKUP('Données projet'!$B$11,Paramètres!$A$1:$I$89,3,0)*0.475*44/12</f>
        <v>3.1185318448510907E-8</v>
      </c>
      <c r="BS82" s="22">
        <f t="shared" si="63"/>
        <v>244.13923196778629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854.74011263011062</v>
      </c>
      <c r="CD82" s="59">
        <f ca="1">AVERAGE(OFFSET($CC$3,0,0,'Données projet'!$E$12+1,1))-AVERAGE(OFFSET($H$3,0,0,'Données projet'!$E$12+1,1))</f>
        <v>279.49721661620544</v>
      </c>
      <c r="CE82" s="59">
        <f t="shared" si="94"/>
        <v>275.18739333988754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49.00157226495871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49.00157226495871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7.6022222222222204</v>
      </c>
      <c r="CT82" s="12">
        <f>IF('Données projet'!$A$140&gt;35,CT81+CS82-DB81,IF(A82&lt;'Données projet'!$A$140,$CQ$205^A82,IF(A82='Données projet'!$A$140,'Données projet'!$B$140,CT81+CS82-DB81)))</f>
        <v>245.75888888888895</v>
      </c>
      <c r="CU82" s="17">
        <f>CT82*VLOOKUP('Données projet'!$B$13,Paramètres!$A$1:$I$89,3,0)*VLOOKUP('Données projet'!$B$13,Paramètres!$A$1:$I$89,5,0)</f>
        <v>249.19951333333341</v>
      </c>
      <c r="CV82" s="13">
        <f t="shared" si="95"/>
        <v>60.41449669917413</v>
      </c>
      <c r="CW82" s="20">
        <f t="shared" si="67"/>
        <v>539.24440080661736</v>
      </c>
      <c r="CX82" s="59">
        <f t="shared" si="68"/>
        <v>832.57773413995073</v>
      </c>
      <c r="CY82" s="59">
        <f ca="1">AVERAGE(OFFSET($CX$3,0,0,'Données projet'!$E$13+1,1))-AVERAGE(OFFSET($H$3,0,0,'Données projet'!$E$13+1,1))</f>
        <v>402.54350692668021</v>
      </c>
      <c r="CZ82" s="59">
        <f t="shared" si="96"/>
        <v>163.60655196884522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79.536900391526814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79.536900391526814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8.8000000000000007</v>
      </c>
      <c r="DO82" s="12">
        <f>IF('Données projet'!$A$166&gt;35,DO81+DN82-DW81,IF(A82&lt;'Données projet'!$A$166,$DL$205^A82,IF(A82='Données projet'!$A$166,'Données projet'!$B$166,DO81+DN82-DW81)))</f>
        <v>342.19999999999987</v>
      </c>
      <c r="DP82" s="17">
        <f>DO82*VLOOKUP('Données projet'!$B$14,Paramètres!$A$1:$I$89,3,0)*VLOOKUP('Données projet'!$B$14,Paramètres!$A$1:$I$89,5,0)</f>
        <v>293.60759999999993</v>
      </c>
      <c r="DQ82" s="13">
        <f t="shared" si="97"/>
        <v>69.834695689453682</v>
      </c>
      <c r="DR82" s="20">
        <f t="shared" si="70"/>
        <v>632.99533165913169</v>
      </c>
      <c r="DS82" s="59">
        <f t="shared" si="71"/>
        <v>926.32866499246506</v>
      </c>
      <c r="DT82" s="59">
        <f ca="1">AVERAGE(OFFSET($DS$3,0,0,'Données projet'!$E$14+1,1))-AVERAGE(OFFSET($H$3,0,0,'Données projet'!$E$14+1,1))</f>
        <v>352.76625414822473</v>
      </c>
      <c r="DU82" s="59">
        <f t="shared" si="98"/>
        <v>186.48649111821521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81.356216688973859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81.356216688973859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210.25641030000014</v>
      </c>
      <c r="EK82" s="17">
        <f>EJ82*VLOOKUP('Données projet'!$B$15,Paramètres!$A$1:$I$89,3,0)*VLOOKUP('Données projet'!$B$15,Paramètres!$A$1:$I$89,5,0)</f>
        <v>164.00000003400012</v>
      </c>
      <c r="EL82" s="13">
        <f t="shared" si="99"/>
        <v>41.743425916009095</v>
      </c>
      <c r="EM82" s="20">
        <f t="shared" si="73"/>
        <v>358.3364668629327</v>
      </c>
      <c r="EN82" s="59">
        <f t="shared" si="74"/>
        <v>651.66980019626601</v>
      </c>
      <c r="EO82" s="59">
        <f ca="1">AVERAGE(OFFSET($EN$3,0,0,'Données projet'!$E$15+1,1))-AVERAGE(OFFSET($H$3,0,0,'Données projet'!$E$15+1,1))</f>
        <v>130.66539383144681</v>
      </c>
      <c r="EP82" s="59">
        <f t="shared" si="100"/>
        <v>126.36398121441903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26.492728966402385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26.492728966402385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7.6022222222222204</v>
      </c>
      <c r="FE82" s="12">
        <f>IF('Données projet'!$A$218&gt;35,FE81+FD82-FM81,IF(A82&lt;'Données projet'!$A$218,$FB$205^A82,IF(A82='Données projet'!$A$218,'Données projet'!$B$218,FE81+FD82-FM81)))</f>
        <v>245.75888888888895</v>
      </c>
      <c r="FF82" s="17">
        <f>FE82*VLOOKUP('Données projet'!$B$16,Paramètres!$A$1:$I$89,3,0)*VLOOKUP('Données projet'!$B$16,Paramètres!$A$1:$I$89,5,0)</f>
        <v>237.69799733333338</v>
      </c>
      <c r="FG82" s="13">
        <f t="shared" si="101"/>
        <v>57.943965915689859</v>
      </c>
      <c r="FH82" s="20">
        <f t="shared" si="76"/>
        <v>514.90975265871532</v>
      </c>
      <c r="FI82" s="59">
        <f t="shared" si="77"/>
        <v>808.24308599204869</v>
      </c>
      <c r="FJ82" s="59">
        <f ca="1">AVERAGE(OFFSET($FI$3,0,0,'Données projet'!$E$16+1,1))-AVERAGE(OFFSET($H$3,0,0,'Données projet'!$E$16+1,1))</f>
        <v>380.43199889536805</v>
      </c>
      <c r="FK82" s="59">
        <f t="shared" si="102"/>
        <v>154.72646317672996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75.86596652730249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75.86596652730249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304</v>
      </c>
      <c r="O83" s="13">
        <f>N83*VLOOKUP('Données projet'!$B$9,Paramètres!$A$1:$I$89,3,0)*VLOOKUP('Données projet'!$B$9,Paramètres!$A$1:$I$89,5,0)</f>
        <v>189.696</v>
      </c>
      <c r="P83" s="13">
        <f t="shared" si="87"/>
        <v>47.472736505152469</v>
      </c>
      <c r="Q83" s="20">
        <f t="shared" si="54"/>
        <v>413.06888274647389</v>
      </c>
      <c r="R83" s="59">
        <f t="shared" si="55"/>
        <v>706.4022160798072</v>
      </c>
      <c r="S83" s="59">
        <f ca="1">AVERAGE(OFFSET($R$3,0,0,'Données projet'!$E$9+1,1))-AVERAGE(OFFSET($H$3,0,0,'Données projet'!$E$9+1,1))</f>
        <v>179.44051550872138</v>
      </c>
      <c r="T83" s="59">
        <f t="shared" si="88"/>
        <v>272.9500808380069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45.691318763066597</v>
      </c>
      <c r="AA83" s="21">
        <f>EXP(-LN(2)/25)*AA82+(1-EXP(-LN(2)/25))/(LN(2)/25)*Calculateur!V83*Calculateur!X83*VLOOKUP('Données projet'!$B$9,Paramètres!$A$1:$I$89,3,0)*0.475*44/12</f>
        <v>12.097381921818743</v>
      </c>
      <c r="AB83" s="21">
        <f>EXP(-LN(2)/2)*AB82+(1-EXP(-LN(2)/2))/(LN(2)/2)*V83*Y83*VLOOKUP('Données projet'!$B$9,Paramètres!$A$1:$I$89,3,0)*0.475*44/12</f>
        <v>6.5799146299857192E-9</v>
      </c>
      <c r="AC83" s="22">
        <f t="shared" si="57"/>
        <v>57.788700691465259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419.4</v>
      </c>
      <c r="AG83" s="12">
        <f>VLOOKUP(A83,'Données projet'!$A$61:$I$81,9,0)</f>
        <v>10.112</v>
      </c>
      <c r="AH83" s="12">
        <f t="array" ref="AH83">INDEX(AG:AG,MIN(IF(ISNUMBER(AG83:AG279),ROW(AG83:AG279),"")))</f>
        <v>10.112</v>
      </c>
      <c r="AI83" s="13">
        <f>IF('Données projet'!$A$62&gt;35,AI82+AH83-AQ82,IF(A83&lt;'Données projet'!$A$62,$AF$205^A83,IF(A83='Données projet'!$A$62,'Données projet'!$B$62,AI82+AH83-AQ82)))</f>
        <v>419.39999999999992</v>
      </c>
      <c r="AJ83" s="13">
        <f>AI83*VLOOKUP('Données projet'!$B$10,Paramètres!$A$1:$I$89,3,0)*VLOOKUP('Données projet'!$B$10,Paramètres!$A$1:$I$89,5,0)</f>
        <v>201.73139999999998</v>
      </c>
      <c r="AK83" s="13">
        <f t="shared" si="89"/>
        <v>50.12448594110036</v>
      </c>
      <c r="AL83" s="20">
        <f t="shared" si="58"/>
        <v>438.64900134741634</v>
      </c>
      <c r="AM83" s="59">
        <f t="shared" si="59"/>
        <v>731.98233468074966</v>
      </c>
      <c r="AN83" s="59">
        <f ca="1">AVERAGE(OFFSET($AM$3,0,0,'Données projet'!$E$10+1,1))-AVERAGE(OFFSET($H$3,0,0,'Données projet'!$E$10+1,1))</f>
        <v>174.18188687702559</v>
      </c>
      <c r="AO83" s="59">
        <f t="shared" si="90"/>
        <v>32.17353897322738</v>
      </c>
      <c r="AP83" s="15">
        <f>IF(ISNA(VLOOKUP(A83,'Données projet'!$A$61:$I$81,3,0)),0,VLOOKUP(A83,'Données projet'!$A$61:$I$81,3,0))</f>
        <v>4</v>
      </c>
      <c r="AQ83" s="15">
        <f>IF(ISNA(VLOOKUP(A83,'Données projet'!$A$61:$I$81,4,0)),0,VLOOKUP(A83,'Données projet'!$A$61:$I$81,4,0))</f>
        <v>87.34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117.51125074769527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117.51125074769527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0.8600000000003547</v>
      </c>
      <c r="BE83" s="13">
        <f>BD83*VLOOKUP('Données projet'!$B$11,Paramètres!$A$1:$I$89,3,0)*VLOOKUP('Données projet'!$B$11,Paramètres!$A$1:$I$89,5,0)</f>
        <v>0.48074000000019829</v>
      </c>
      <c r="BF83" s="13">
        <f t="shared" si="91"/>
        <v>0.24126147010950588</v>
      </c>
      <c r="BG83" s="20">
        <f t="shared" si="61"/>
        <v>1.2574858937744013</v>
      </c>
      <c r="BH83" s="59">
        <f t="shared" si="62"/>
        <v>294.59081922710772</v>
      </c>
      <c r="BI83" s="59">
        <f ca="1">AVERAGE(OFFSET($BH$3,0,0,'Données projet'!$E$11+1,1))-AVERAGE(OFFSET($H$3,0,0,'Données projet'!$E$11+1,1))</f>
        <v>350.01600895263641</v>
      </c>
      <c r="BJ83" s="59">
        <f t="shared" si="92"/>
        <v>464.08921044376882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226.60844250261519</v>
      </c>
      <c r="BQ83" s="21">
        <f>EXP(-LN(2)/25)*BQ82+(1-EXP(-LN(2)/25))/(LN(2)/25)*Calculateur!BL83*Calculateur!BN83*VLOOKUP('Données projet'!$B$11,Paramètres!$A$1:$I$89,3,0)*0.475*44/12</f>
        <v>12.642817885038024</v>
      </c>
      <c r="BR83" s="21">
        <f>EXP(-LN(2)/2)*BR82+(1-EXP(-LN(2)/2))/(LN(2)/2)*BL83*BO83*VLOOKUP('Données projet'!$B$11,Paramètres!$A$1:$I$89,3,0)*0.475*44/12</f>
        <v>2.2051350148404006E-8</v>
      </c>
      <c r="BS83" s="22">
        <f t="shared" si="63"/>
        <v>239.25126040970457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860.79132321678003</v>
      </c>
      <c r="CD83" s="59">
        <f ca="1">AVERAGE(OFFSET($CC$3,0,0,'Données projet'!$E$12+1,1))-AVERAGE(OFFSET($H$3,0,0,'Données projet'!$E$12+1,1))</f>
        <v>279.49721661620544</v>
      </c>
      <c r="CE83" s="59">
        <f t="shared" si="94"/>
        <v>275.18739333988754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53.168237644816656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53.168237644816656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7.6022222222222204</v>
      </c>
      <c r="CT83" s="12">
        <f>IF('Données projet'!$A$140&gt;35,CT82+CS83-DB82,IF(A83&lt;'Données projet'!$A$140,$CQ$205^A83,IF(A83='Données projet'!$A$140,'Données projet'!$B$140,CT82+CS83-DB82)))</f>
        <v>253.36111111111117</v>
      </c>
      <c r="CU83" s="17">
        <f>CT83*VLOOKUP('Données projet'!$B$13,Paramètres!$A$1:$I$89,3,0)*VLOOKUP('Données projet'!$B$13,Paramètres!$A$1:$I$89,5,0)</f>
        <v>256.90816666666672</v>
      </c>
      <c r="CV83" s="13">
        <f t="shared" si="95"/>
        <v>62.062865874094335</v>
      </c>
      <c r="CW83" s="20">
        <f t="shared" si="67"/>
        <v>555.54121500849214</v>
      </c>
      <c r="CX83" s="59">
        <f t="shared" si="68"/>
        <v>848.8745483418254</v>
      </c>
      <c r="CY83" s="59">
        <f ca="1">AVERAGE(OFFSET($CX$3,0,0,'Données projet'!$E$13+1,1))-AVERAGE(OFFSET($H$3,0,0,'Données projet'!$E$13+1,1))</f>
        <v>402.54350692668021</v>
      </c>
      <c r="CZ83" s="59">
        <f t="shared" si="96"/>
        <v>163.60655196884522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77.977230287567977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77.977230287567977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351</v>
      </c>
      <c r="DM83" s="12">
        <f>VLOOKUP(A83,'Données projet'!$A$165:$I$185,9,0)</f>
        <v>8.8000000000000007</v>
      </c>
      <c r="DN83" s="12">
        <f t="array" ref="DN83">INDEX(DM:DM,MIN(IF(ISNUMBER(DM83:DM279),ROW(DM83:DM279),"")))</f>
        <v>8.8000000000000007</v>
      </c>
      <c r="DO83" s="12">
        <f>IF('Données projet'!$A$166&gt;35,DO82+DN83-DW82,IF(A83&lt;'Données projet'!$A$166,$DL$205^A83,IF(A83='Données projet'!$A$166,'Données projet'!$B$166,DO82+DN83-DW82)))</f>
        <v>350.99999999999989</v>
      </c>
      <c r="DP83" s="17">
        <f>DO83*VLOOKUP('Données projet'!$B$14,Paramètres!$A$1:$I$89,3,0)*VLOOKUP('Données projet'!$B$14,Paramètres!$A$1:$I$89,5,0)</f>
        <v>301.15799999999996</v>
      </c>
      <c r="DQ83" s="13">
        <f t="shared" si="97"/>
        <v>71.419170296330975</v>
      </c>
      <c r="DR83" s="20">
        <f t="shared" si="70"/>
        <v>648.90523826610968</v>
      </c>
      <c r="DS83" s="59">
        <f t="shared" si="71"/>
        <v>942.23857159944305</v>
      </c>
      <c r="DT83" s="59">
        <f ca="1">AVERAGE(OFFSET($DS$3,0,0,'Données projet'!$E$14+1,1))-AVERAGE(OFFSET($H$3,0,0,'Données projet'!$E$14+1,1))</f>
        <v>352.76625414822473</v>
      </c>
      <c r="DU83" s="59">
        <f t="shared" si="98"/>
        <v>186.48649111821521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28</v>
      </c>
      <c r="DX83" s="16">
        <f>IF(ISNA(VLOOKUP(A83,'Données projet'!$A$165:$I$185,5,0)),0%,VLOOKUP(A83,'Données projet'!$A$165:$I$185,5,0)*VLOOKUP('Données projet'!$B$14,Paramètres!$A$1:$I$89,7,0))</f>
        <v>0.53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93.836515712982248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93.836515712982248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210.25641030000014</v>
      </c>
      <c r="EK83" s="17">
        <f>EJ83*VLOOKUP('Données projet'!$B$15,Paramètres!$A$1:$I$89,3,0)*VLOOKUP('Données projet'!$B$15,Paramètres!$A$1:$I$89,5,0)</f>
        <v>164.00000003400012</v>
      </c>
      <c r="EL83" s="13">
        <f t="shared" si="99"/>
        <v>41.743425916009095</v>
      </c>
      <c r="EM83" s="20">
        <f t="shared" si="73"/>
        <v>358.3364668629327</v>
      </c>
      <c r="EN83" s="59">
        <f t="shared" si="74"/>
        <v>651.66980019626601</v>
      </c>
      <c r="EO83" s="59">
        <f ca="1">AVERAGE(OFFSET($EN$3,0,0,'Données projet'!$E$15+1,1))-AVERAGE(OFFSET($H$3,0,0,'Données projet'!$E$15+1,1))</f>
        <v>130.66539383144681</v>
      </c>
      <c r="EP83" s="59">
        <f t="shared" si="100"/>
        <v>126.36398121441903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25.973222710340337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25.973222710340337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7.6022222222222204</v>
      </c>
      <c r="FE83" s="12">
        <f>IF('Données projet'!$A$218&gt;35,FE82+FD83-FM82,IF(A83&lt;'Données projet'!$A$218,$FB$205^A83,IF(A83='Données projet'!$A$218,'Données projet'!$B$218,FE82+FD83-FM82)))</f>
        <v>253.36111111111117</v>
      </c>
      <c r="FF83" s="17">
        <f>FE83*VLOOKUP('Données projet'!$B$16,Paramètres!$A$1:$I$89,3,0)*VLOOKUP('Données projet'!$B$16,Paramètres!$A$1:$I$89,5,0)</f>
        <v>245.05086666666674</v>
      </c>
      <c r="FG83" s="13">
        <f t="shared" si="101"/>
        <v>59.524928308932132</v>
      </c>
      <c r="FH83" s="20">
        <f t="shared" si="76"/>
        <v>530.46950958250136</v>
      </c>
      <c r="FI83" s="59">
        <f t="shared" si="77"/>
        <v>823.80284291583462</v>
      </c>
      <c r="FJ83" s="59">
        <f ca="1">AVERAGE(OFFSET($FI$3,0,0,'Données projet'!$E$16+1,1))-AVERAGE(OFFSET($H$3,0,0,'Données projet'!$E$16+1,1))</f>
        <v>380.43199889536805</v>
      </c>
      <c r="FK83" s="59">
        <f t="shared" si="102"/>
        <v>154.72646317672996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74.37828119737253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74.37828119737253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304</v>
      </c>
      <c r="O84" s="13">
        <f>N84*VLOOKUP('Données projet'!$B$9,Paramètres!$A$1:$I$89,3,0)*VLOOKUP('Données projet'!$B$9,Paramètres!$A$1:$I$89,5,0)</f>
        <v>189.696</v>
      </c>
      <c r="P84" s="13">
        <f t="shared" si="87"/>
        <v>47.472736505152469</v>
      </c>
      <c r="Q84" s="20">
        <f t="shared" si="54"/>
        <v>413.06888274647389</v>
      </c>
      <c r="R84" s="59">
        <f t="shared" si="55"/>
        <v>706.4022160798072</v>
      </c>
      <c r="S84" s="59">
        <f ca="1">AVERAGE(OFFSET($R$3,0,0,'Données projet'!$E$9+1,1))-AVERAGE(OFFSET($H$3,0,0,'Données projet'!$E$9+1,1))</f>
        <v>179.44051550872138</v>
      </c>
      <c r="T84" s="59">
        <f t="shared" si="88"/>
        <v>272.9500808380069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44.795339871075477</v>
      </c>
      <c r="AA84" s="21">
        <f>EXP(-LN(2)/25)*AA83+(1-EXP(-LN(2)/25))/(LN(2)/25)*Calculateur!V84*Calculateur!X84*VLOOKUP('Données projet'!$B$9,Paramètres!$A$1:$I$89,3,0)*0.475*44/12</f>
        <v>11.766578376992943</v>
      </c>
      <c r="AB84" s="21">
        <f>EXP(-LN(2)/2)*AB83+(1-EXP(-LN(2)/2))/(LN(2)/2)*V84*Y84*VLOOKUP('Données projet'!$B$9,Paramètres!$A$1:$I$89,3,0)*0.475*44/12</f>
        <v>4.6527022544914747E-9</v>
      </c>
      <c r="AC84" s="22">
        <f t="shared" si="57"/>
        <v>56.561918252721128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9.1600000000000144</v>
      </c>
      <c r="AI84" s="13">
        <f>IF('Données projet'!$A$62&gt;35,AI83+AH84-AQ83,IF(A84&lt;'Données projet'!$A$62,$AF$205^A84,IF(A84='Données projet'!$A$62,'Données projet'!$B$62,AI83+AH84-AQ83)))</f>
        <v>341.21999999999991</v>
      </c>
      <c r="AJ84" s="13">
        <f>AI84*VLOOKUP('Données projet'!$B$10,Paramètres!$A$1:$I$89,3,0)*VLOOKUP('Données projet'!$B$10,Paramètres!$A$1:$I$89,5,0)</f>
        <v>164.12681999999995</v>
      </c>
      <c r="AK84" s="13">
        <f t="shared" si="89"/>
        <v>41.771947132164307</v>
      </c>
      <c r="AL84" s="20">
        <f t="shared" si="58"/>
        <v>358.60701942185278</v>
      </c>
      <c r="AM84" s="59">
        <f t="shared" si="59"/>
        <v>651.94035275518604</v>
      </c>
      <c r="AN84" s="59">
        <f ca="1">AVERAGE(OFFSET($AM$3,0,0,'Données projet'!$E$10+1,1))-AVERAGE(OFFSET($H$3,0,0,'Données projet'!$E$10+1,1))</f>
        <v>174.18188687702559</v>
      </c>
      <c r="AO84" s="59">
        <f t="shared" si="90"/>
        <v>32.17353897322738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115.20692679531862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115.20692679531862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0.8600000000003547</v>
      </c>
      <c r="BE84" s="13">
        <f>BD84*VLOOKUP('Données projet'!$B$11,Paramètres!$A$1:$I$89,3,0)*VLOOKUP('Données projet'!$B$11,Paramètres!$A$1:$I$89,5,0)</f>
        <v>0.48074000000019829</v>
      </c>
      <c r="BF84" s="13">
        <f t="shared" si="91"/>
        <v>0.24126147010950588</v>
      </c>
      <c r="BG84" s="20">
        <f t="shared" si="61"/>
        <v>1.2574858937744013</v>
      </c>
      <c r="BH84" s="59">
        <f t="shared" si="62"/>
        <v>294.59081922710772</v>
      </c>
      <c r="BI84" s="59">
        <f ca="1">AVERAGE(OFFSET($BH$3,0,0,'Données projet'!$E$11+1,1))-AVERAGE(OFFSET($H$3,0,0,'Données projet'!$E$11+1,1))</f>
        <v>350.01600895263641</v>
      </c>
      <c r="BJ84" s="59">
        <f t="shared" si="92"/>
        <v>464.08921044376882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222.164789162641</v>
      </c>
      <c r="BQ84" s="21">
        <f>EXP(-LN(2)/25)*BQ83+(1-EXP(-LN(2)/25))/(LN(2)/25)*Calculateur!BL84*Calculateur!BN84*VLOOKUP('Données projet'!$B$11,Paramètres!$A$1:$I$89,3,0)*0.475*44/12</f>
        <v>12.297099365114763</v>
      </c>
      <c r="BR84" s="21">
        <f>EXP(-LN(2)/2)*BR83+(1-EXP(-LN(2)/2))/(LN(2)/2)*BL84*BO84*VLOOKUP('Données projet'!$B$11,Paramètres!$A$1:$I$89,3,0)*0.475*44/12</f>
        <v>1.5592659224255453E-8</v>
      </c>
      <c r="BS84" s="22">
        <f t="shared" si="63"/>
        <v>234.46188854334844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253.79640000000001</v>
      </c>
      <c r="CA84" s="13">
        <f t="shared" si="93"/>
        <v>61.39816832228076</v>
      </c>
      <c r="CB84" s="20">
        <f t="shared" si="64"/>
        <v>548.96387316130563</v>
      </c>
      <c r="CC84" s="59">
        <f t="shared" si="65"/>
        <v>842.29720649463889</v>
      </c>
      <c r="CD84" s="59">
        <f ca="1">AVERAGE(OFFSET($CC$3,0,0,'Données projet'!$E$12+1,1))-AVERAGE(OFFSET($H$3,0,0,'Données projet'!$E$12+1,1))</f>
        <v>279.49721661620544</v>
      </c>
      <c r="CE84" s="59">
        <f t="shared" si="94"/>
        <v>275.18739333988754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52.125640934024624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52.125640934024624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7.6022222222222204</v>
      </c>
      <c r="CT84" s="12">
        <f>IF('Données projet'!$A$140&gt;35,CT83+CS84-DB83,IF(A84&lt;'Données projet'!$A$140,$CQ$205^A84,IF(A84='Données projet'!$A$140,'Données projet'!$B$140,CT83+CS84-DB83)))</f>
        <v>260.96333333333337</v>
      </c>
      <c r="CU84" s="17">
        <f>CT84*VLOOKUP('Données projet'!$B$13,Paramètres!$A$1:$I$89,3,0)*VLOOKUP('Données projet'!$B$13,Paramètres!$A$1:$I$89,5,0)</f>
        <v>264.61682000000008</v>
      </c>
      <c r="CV84" s="13">
        <f t="shared" si="95"/>
        <v>63.70548702286596</v>
      </c>
      <c r="CW84" s="20">
        <f t="shared" si="67"/>
        <v>571.82801806482496</v>
      </c>
      <c r="CX84" s="59">
        <f t="shared" si="68"/>
        <v>865.16135139815833</v>
      </c>
      <c r="CY84" s="59">
        <f ca="1">AVERAGE(OFFSET($CX$3,0,0,'Données projet'!$E$13+1,1))-AVERAGE(OFFSET($H$3,0,0,'Données projet'!$E$13+1,1))</f>
        <v>402.54350692668021</v>
      </c>
      <c r="CZ84" s="59">
        <f t="shared" si="96"/>
        <v>163.60655196884522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76.448144363042942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76.448144363042942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8.4</v>
      </c>
      <c r="DO84" s="12">
        <f>IF('Données projet'!$A$166&gt;35,DO83+DN84-DW83,IF(A84&lt;'Données projet'!$A$166,$DL$205^A84,IF(A84='Données projet'!$A$166,'Données projet'!$B$166,DO83+DN84-DW83)))</f>
        <v>331.39999999999986</v>
      </c>
      <c r="DP84" s="17">
        <f>DO84*VLOOKUP('Données projet'!$B$14,Paramètres!$A$1:$I$89,3,0)*VLOOKUP('Données projet'!$B$14,Paramètres!$A$1:$I$89,5,0)</f>
        <v>284.34119999999996</v>
      </c>
      <c r="DQ84" s="13">
        <f t="shared" si="97"/>
        <v>67.883606139618351</v>
      </c>
      <c r="DR84" s="20">
        <f t="shared" si="70"/>
        <v>613.4582040265019</v>
      </c>
      <c r="DS84" s="59">
        <f t="shared" si="71"/>
        <v>906.79153735983527</v>
      </c>
      <c r="DT84" s="59">
        <f ca="1">AVERAGE(OFFSET($DS$3,0,0,'Données projet'!$E$14+1,1))-AVERAGE(OFFSET($H$3,0,0,'Données projet'!$E$14+1,1))</f>
        <v>352.76625414822473</v>
      </c>
      <c r="DU84" s="59">
        <f t="shared" si="98"/>
        <v>186.48649111821521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91.996438874473796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91.996438874473796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210.25641030000014</v>
      </c>
      <c r="EK84" s="17">
        <f>EJ84*VLOOKUP('Données projet'!$B$15,Paramètres!$A$1:$I$89,3,0)*VLOOKUP('Données projet'!$B$15,Paramètres!$A$1:$I$89,5,0)</f>
        <v>164.00000003400012</v>
      </c>
      <c r="EL84" s="13">
        <f t="shared" si="99"/>
        <v>41.743425916009095</v>
      </c>
      <c r="EM84" s="20">
        <f t="shared" si="73"/>
        <v>358.3364668629327</v>
      </c>
      <c r="EN84" s="59">
        <f t="shared" si="74"/>
        <v>651.66980019626601</v>
      </c>
      <c r="EO84" s="59">
        <f ca="1">AVERAGE(OFFSET($EN$3,0,0,'Données projet'!$E$15+1,1))-AVERAGE(OFFSET($H$3,0,0,'Données projet'!$E$15+1,1))</f>
        <v>130.66539383144681</v>
      </c>
      <c r="EP84" s="59">
        <f t="shared" si="100"/>
        <v>126.36398121441903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25.463903655092139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25.463903655092139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7.6022222222222204</v>
      </c>
      <c r="FE84" s="12">
        <f>IF('Données projet'!$A$218&gt;35,FE83+FD84-FM83,IF(A84&lt;'Données projet'!$A$218,$FB$205^A84,IF(A84='Données projet'!$A$218,'Données projet'!$B$218,FE83+FD84-FM83)))</f>
        <v>260.96333333333337</v>
      </c>
      <c r="FF84" s="17">
        <f>FE84*VLOOKUP('Données projet'!$B$16,Paramètres!$A$1:$I$89,3,0)*VLOOKUP('Données projet'!$B$16,Paramètres!$A$1:$I$89,5,0)</f>
        <v>252.40373600000001</v>
      </c>
      <c r="FG84" s="13">
        <f t="shared" si="101"/>
        <v>61.100377730132202</v>
      </c>
      <c r="FH84" s="20">
        <f t="shared" si="76"/>
        <v>546.01966474664687</v>
      </c>
      <c r="FI84" s="59">
        <f t="shared" si="77"/>
        <v>839.35299807998013</v>
      </c>
      <c r="FJ84" s="59">
        <f ca="1">AVERAGE(OFFSET($FI$3,0,0,'Données projet'!$E$16+1,1))-AVERAGE(OFFSET($H$3,0,0,'Données projet'!$E$16+1,1))</f>
        <v>380.43199889536805</v>
      </c>
      <c r="FK84" s="59">
        <f t="shared" si="102"/>
        <v>154.72646317672996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72.919768469364044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72.919768469364044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304</v>
      </c>
      <c r="O85" s="13">
        <f>N85*VLOOKUP('Données projet'!$B$9,Paramètres!$A$1:$I$89,3,0)*VLOOKUP('Données projet'!$B$9,Paramètres!$A$1:$I$89,5,0)</f>
        <v>189.696</v>
      </c>
      <c r="P85" s="13">
        <f t="shared" si="87"/>
        <v>47.472736505152469</v>
      </c>
      <c r="Q85" s="20">
        <f t="shared" si="54"/>
        <v>413.06888274647389</v>
      </c>
      <c r="R85" s="59">
        <f t="shared" si="55"/>
        <v>706.4022160798072</v>
      </c>
      <c r="S85" s="59">
        <f ca="1">AVERAGE(OFFSET($R$3,0,0,'Données projet'!$E$9+1,1))-AVERAGE(OFFSET($H$3,0,0,'Données projet'!$E$9+1,1))</f>
        <v>179.44051550872138</v>
      </c>
      <c r="T85" s="59">
        <f t="shared" si="88"/>
        <v>272.9500808380069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43.916930578663141</v>
      </c>
      <c r="AA85" s="21">
        <f>EXP(-LN(2)/25)*AA84+(1-EXP(-LN(2)/25))/(LN(2)/25)*Calculateur!V85*Calculateur!X85*VLOOKUP('Données projet'!$B$9,Paramètres!$A$1:$I$89,3,0)*0.475*44/12</f>
        <v>11.444820672496606</v>
      </c>
      <c r="AB85" s="21">
        <f>EXP(-LN(2)/2)*AB84+(1-EXP(-LN(2)/2))/(LN(2)/2)*V85*Y85*VLOOKUP('Données projet'!$B$9,Paramètres!$A$1:$I$89,3,0)*0.475*44/12</f>
        <v>3.2899573149928596E-9</v>
      </c>
      <c r="AC85" s="22">
        <f t="shared" si="57"/>
        <v>55.3617512544497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9.1600000000000144</v>
      </c>
      <c r="AI85" s="13">
        <f>IF('Données projet'!$A$62&gt;35,AI84+AH85-AQ84,IF(A85&lt;'Données projet'!$A$62,$AF$205^A85,IF(A85='Données projet'!$A$62,'Données projet'!$B$62,AI84+AH85-AQ84)))</f>
        <v>350.37999999999994</v>
      </c>
      <c r="AJ85" s="13">
        <f>AI85*VLOOKUP('Données projet'!$B$10,Paramètres!$A$1:$I$89,3,0)*VLOOKUP('Données projet'!$B$10,Paramètres!$A$1:$I$89,5,0)</f>
        <v>168.53277999999997</v>
      </c>
      <c r="AK85" s="13">
        <f t="shared" si="89"/>
        <v>42.761249518395253</v>
      </c>
      <c r="AL85" s="20">
        <f t="shared" si="58"/>
        <v>368.00376807787165</v>
      </c>
      <c r="AM85" s="59">
        <f t="shared" si="59"/>
        <v>661.33710141120491</v>
      </c>
      <c r="AN85" s="59">
        <f ca="1">AVERAGE(OFFSET($AM$3,0,0,'Données projet'!$E$10+1,1))-AVERAGE(OFFSET($H$3,0,0,'Données projet'!$E$10+1,1))</f>
        <v>174.18188687702559</v>
      </c>
      <c r="AO85" s="59">
        <f t="shared" si="90"/>
        <v>32.17353897322738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112.94778923014925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112.94778923014925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0.8600000000003547</v>
      </c>
      <c r="BE85" s="13">
        <f>BD85*VLOOKUP('Données projet'!$B$11,Paramètres!$A$1:$I$89,3,0)*VLOOKUP('Données projet'!$B$11,Paramètres!$A$1:$I$89,5,0)</f>
        <v>0.48074000000019829</v>
      </c>
      <c r="BF85" s="13">
        <f t="shared" si="91"/>
        <v>0.24126147010950588</v>
      </c>
      <c r="BG85" s="20">
        <f t="shared" si="61"/>
        <v>1.2574858937744013</v>
      </c>
      <c r="BH85" s="59">
        <f t="shared" si="62"/>
        <v>294.59081922710772</v>
      </c>
      <c r="BI85" s="59">
        <f ca="1">AVERAGE(OFFSET($BH$3,0,0,'Données projet'!$E$11+1,1))-AVERAGE(OFFSET($H$3,0,0,'Données projet'!$E$11+1,1))</f>
        <v>350.01600895263641</v>
      </c>
      <c r="BJ85" s="59">
        <f t="shared" si="92"/>
        <v>464.08921044376882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217.80827315430278</v>
      </c>
      <c r="BQ85" s="21">
        <f>EXP(-LN(2)/25)*BQ84+(1-EXP(-LN(2)/25))/(LN(2)/25)*Calculateur!BL85*Calculateur!BN85*VLOOKUP('Données projet'!$B$11,Paramètres!$A$1:$I$89,3,0)*0.475*44/12</f>
        <v>11.96083453629935</v>
      </c>
      <c r="BR85" s="21">
        <f>EXP(-LN(2)/2)*BR84+(1-EXP(-LN(2)/2))/(LN(2)/2)*BL85*BO85*VLOOKUP('Données projet'!$B$11,Paramètres!$A$1:$I$89,3,0)*0.475*44/12</f>
        <v>1.1025675074202003E-8</v>
      </c>
      <c r="BS85" s="22">
        <f t="shared" si="63"/>
        <v>229.7691077016278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253.79640000000001</v>
      </c>
      <c r="CA85" s="13">
        <f t="shared" si="93"/>
        <v>61.39816832228076</v>
      </c>
      <c r="CB85" s="20">
        <f t="shared" si="64"/>
        <v>548.96387316130563</v>
      </c>
      <c r="CC85" s="59">
        <f t="shared" si="65"/>
        <v>842.29720649463889</v>
      </c>
      <c r="CD85" s="59">
        <f ca="1">AVERAGE(OFFSET($CC$3,0,0,'Données projet'!$E$12+1,1))-AVERAGE(OFFSET($H$3,0,0,'Données projet'!$E$12+1,1))</f>
        <v>279.49721661620544</v>
      </c>
      <c r="CE85" s="59">
        <f t="shared" si="94"/>
        <v>275.18739333988754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51.103488908810021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51.103488908810021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7.6022222222222204</v>
      </c>
      <c r="CT85" s="12">
        <f>IF('Données projet'!$A$140&gt;35,CT84+CS85-DB84,IF(A85&lt;'Données projet'!$A$140,$CQ$205^A85,IF(A85='Données projet'!$A$140,'Données projet'!$B$140,CT84+CS85-DB84)))</f>
        <v>268.56555555555559</v>
      </c>
      <c r="CU85" s="17">
        <f>CT85*VLOOKUP('Données projet'!$B$13,Paramètres!$A$1:$I$89,3,0)*VLOOKUP('Données projet'!$B$13,Paramètres!$A$1:$I$89,5,0)</f>
        <v>272.32547333333338</v>
      </c>
      <c r="CV85" s="13">
        <f t="shared" si="95"/>
        <v>65.342546821300431</v>
      </c>
      <c r="CW85" s="20">
        <f t="shared" si="67"/>
        <v>588.10513510265389</v>
      </c>
      <c r="CX85" s="59">
        <f t="shared" si="68"/>
        <v>881.43846843598726</v>
      </c>
      <c r="CY85" s="59">
        <f ca="1">AVERAGE(OFFSET($CX$3,0,0,'Données projet'!$E$13+1,1))-AVERAGE(OFFSET($H$3,0,0,'Données projet'!$E$13+1,1))</f>
        <v>402.54350692668021</v>
      </c>
      <c r="CZ85" s="59">
        <f t="shared" si="96"/>
        <v>163.60655196884522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74.949042880847529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74.949042880847529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8.4</v>
      </c>
      <c r="DO85" s="12">
        <f>IF('Données projet'!$A$166&gt;35,DO84+DN85-DW84,IF(A85&lt;'Données projet'!$A$166,$DL$205^A85,IF(A85='Données projet'!$A$166,'Données projet'!$B$166,DO84+DN85-DW84)))</f>
        <v>339.79999999999984</v>
      </c>
      <c r="DP85" s="17">
        <f>DO85*VLOOKUP('Données projet'!$B$14,Paramètres!$A$1:$I$89,3,0)*VLOOKUP('Données projet'!$B$14,Paramètres!$A$1:$I$89,5,0)</f>
        <v>291.5483999999999</v>
      </c>
      <c r="DQ85" s="13">
        <f t="shared" si="97"/>
        <v>69.40174753959208</v>
      </c>
      <c r="DR85" s="20">
        <f t="shared" si="70"/>
        <v>628.65484029812262</v>
      </c>
      <c r="DS85" s="59">
        <f t="shared" si="71"/>
        <v>921.98817363145599</v>
      </c>
      <c r="DT85" s="59">
        <f ca="1">AVERAGE(OFFSET($DS$3,0,0,'Données projet'!$E$14+1,1))-AVERAGE(OFFSET($H$3,0,0,'Données projet'!$E$14+1,1))</f>
        <v>352.76625414822473</v>
      </c>
      <c r="DU85" s="59">
        <f t="shared" si="98"/>
        <v>186.48649111821521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90.192444820432456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90.192444820432456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210.25641030000014</v>
      </c>
      <c r="EK85" s="17">
        <f>EJ85*VLOOKUP('Données projet'!$B$15,Paramètres!$A$1:$I$89,3,0)*VLOOKUP('Données projet'!$B$15,Paramètres!$A$1:$I$89,5,0)</f>
        <v>164.00000003400012</v>
      </c>
      <c r="EL85" s="13">
        <f t="shared" si="99"/>
        <v>41.743425916009095</v>
      </c>
      <c r="EM85" s="20">
        <f t="shared" si="73"/>
        <v>358.3364668629327</v>
      </c>
      <c r="EN85" s="59">
        <f t="shared" si="74"/>
        <v>651.66980019626601</v>
      </c>
      <c r="EO85" s="59">
        <f ca="1">AVERAGE(OFFSET($EN$3,0,0,'Données projet'!$E$15+1,1))-AVERAGE(OFFSET($H$3,0,0,'Données projet'!$E$15+1,1))</f>
        <v>130.66539383144681</v>
      </c>
      <c r="EP85" s="59">
        <f t="shared" si="100"/>
        <v>126.36398121441903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24.964572035863409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24.964572035863409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7.6022222222222204</v>
      </c>
      <c r="FE85" s="12">
        <f>IF('Données projet'!$A$218&gt;35,FE84+FD85-FM84,IF(A85&lt;'Données projet'!$A$218,$FB$205^A85,IF(A85='Données projet'!$A$218,'Données projet'!$B$218,FE84+FD85-FM84)))</f>
        <v>268.56555555555559</v>
      </c>
      <c r="FF85" s="17">
        <f>FE85*VLOOKUP('Données projet'!$B$16,Paramètres!$A$1:$I$89,3,0)*VLOOKUP('Données projet'!$B$16,Paramètres!$A$1:$I$89,5,0)</f>
        <v>259.75660533333337</v>
      </c>
      <c r="FG85" s="13">
        <f t="shared" si="101"/>
        <v>62.670493221365504</v>
      </c>
      <c r="FH85" s="20">
        <f t="shared" si="76"/>
        <v>561.56052998276721</v>
      </c>
      <c r="FI85" s="59">
        <f t="shared" si="77"/>
        <v>854.89386331610058</v>
      </c>
      <c r="FJ85" s="59">
        <f ca="1">AVERAGE(OFFSET($FI$3,0,0,'Données projet'!$E$16+1,1))-AVERAGE(OFFSET($H$3,0,0,'Données projet'!$E$16+1,1))</f>
        <v>380.43199889536805</v>
      </c>
      <c r="FK85" s="59">
        <f t="shared" si="102"/>
        <v>154.72646317672996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71.489856286346878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71.489856286346878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304</v>
      </c>
      <c r="O86" s="13">
        <f>N86*VLOOKUP('Données projet'!$B$9,Paramètres!$A$1:$I$89,3,0)*VLOOKUP('Données projet'!$B$9,Paramètres!$A$1:$I$89,5,0)</f>
        <v>189.696</v>
      </c>
      <c r="P86" s="13">
        <f t="shared" si="87"/>
        <v>47.472736505152469</v>
      </c>
      <c r="Q86" s="20">
        <f t="shared" si="54"/>
        <v>413.06888274647389</v>
      </c>
      <c r="R86" s="59">
        <f t="shared" si="55"/>
        <v>706.4022160798072</v>
      </c>
      <c r="S86" s="59">
        <f ca="1">AVERAGE(OFFSET($R$3,0,0,'Données projet'!$E$9+1,1))-AVERAGE(OFFSET($H$3,0,0,'Données projet'!$E$9+1,1))</f>
        <v>179.44051550872138</v>
      </c>
      <c r="T86" s="59">
        <f t="shared" si="88"/>
        <v>272.9500808380069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43.055746356698243</v>
      </c>
      <c r="AA86" s="21">
        <f>EXP(-LN(2)/25)*AA85+(1-EXP(-LN(2)/25))/(LN(2)/25)*Calculateur!V86*Calculateur!X86*VLOOKUP('Données projet'!$B$9,Paramètres!$A$1:$I$89,3,0)*0.475*44/12</f>
        <v>11.131861449350225</v>
      </c>
      <c r="AB86" s="21">
        <f>EXP(-LN(2)/2)*AB85+(1-EXP(-LN(2)/2))/(LN(2)/2)*V86*Y86*VLOOKUP('Données projet'!$B$9,Paramètres!$A$1:$I$89,3,0)*0.475*44/12</f>
        <v>2.3263511272457373E-9</v>
      </c>
      <c r="AC86" s="22">
        <f t="shared" si="57"/>
        <v>54.187607808374821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9.1600000000000144</v>
      </c>
      <c r="AI86" s="13">
        <f>IF('Données projet'!$A$62&gt;35,AI85+AH86-AQ85,IF(A86&lt;'Données projet'!$A$62,$AF$205^A86,IF(A86='Données projet'!$A$62,'Données projet'!$B$62,AI85+AH86-AQ85)))</f>
        <v>359.53999999999996</v>
      </c>
      <c r="AJ86" s="13">
        <f>AI86*VLOOKUP('Données projet'!$B$10,Paramètres!$A$1:$I$89,3,0)*VLOOKUP('Données projet'!$B$10,Paramètres!$A$1:$I$89,5,0)</f>
        <v>172.93874</v>
      </c>
      <c r="AK86" s="13">
        <f t="shared" si="89"/>
        <v>43.74754562162174</v>
      </c>
      <c r="AL86" s="20">
        <f t="shared" si="58"/>
        <v>377.39528079099114</v>
      </c>
      <c r="AM86" s="59">
        <f t="shared" si="59"/>
        <v>670.72861412432439</v>
      </c>
      <c r="AN86" s="59">
        <f ca="1">AVERAGE(OFFSET($AM$3,0,0,'Données projet'!$E$10+1,1))-AVERAGE(OFFSET($H$3,0,0,'Données projet'!$E$10+1,1))</f>
        <v>174.18188687702559</v>
      </c>
      <c r="AO86" s="59">
        <f t="shared" si="90"/>
        <v>32.17353897322738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110.732951974695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110.732951974695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0.8600000000003547</v>
      </c>
      <c r="BE86" s="13">
        <f>BD86*VLOOKUP('Données projet'!$B$11,Paramètres!$A$1:$I$89,3,0)*VLOOKUP('Données projet'!$B$11,Paramètres!$A$1:$I$89,5,0)</f>
        <v>0.48074000000019829</v>
      </c>
      <c r="BF86" s="13">
        <f t="shared" si="91"/>
        <v>0.24126147010950588</v>
      </c>
      <c r="BG86" s="20">
        <f t="shared" si="61"/>
        <v>1.2574858937744013</v>
      </c>
      <c r="BH86" s="59">
        <f t="shared" si="62"/>
        <v>294.59081922710772</v>
      </c>
      <c r="BI86" s="59">
        <f ca="1">AVERAGE(OFFSET($BH$3,0,0,'Données projet'!$E$11+1,1))-AVERAGE(OFFSET($H$3,0,0,'Données projet'!$E$11+1,1))</f>
        <v>350.01600895263641</v>
      </c>
      <c r="BJ86" s="59">
        <f t="shared" si="92"/>
        <v>464.08921044376882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213.53718576767568</v>
      </c>
      <c r="BQ86" s="21">
        <f>EXP(-LN(2)/25)*BQ85+(1-EXP(-LN(2)/25))/(LN(2)/25)*Calculateur!BL86*Calculateur!BN86*VLOOKUP('Données projet'!$B$11,Paramètres!$A$1:$I$89,3,0)*0.475*44/12</f>
        <v>11.633764886911292</v>
      </c>
      <c r="BR86" s="21">
        <f>EXP(-LN(2)/2)*BR85+(1-EXP(-LN(2)/2))/(LN(2)/2)*BL86*BO86*VLOOKUP('Données projet'!$B$11,Paramètres!$A$1:$I$89,3,0)*0.475*44/12</f>
        <v>7.7963296121277267E-9</v>
      </c>
      <c r="BS86" s="22">
        <f t="shared" si="63"/>
        <v>225.17095066238329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253.79640000000001</v>
      </c>
      <c r="CA86" s="13">
        <f t="shared" si="93"/>
        <v>61.39816832228076</v>
      </c>
      <c r="CB86" s="20">
        <f t="shared" si="64"/>
        <v>548.96387316130563</v>
      </c>
      <c r="CC86" s="59">
        <f t="shared" si="65"/>
        <v>842.29720649463889</v>
      </c>
      <c r="CD86" s="59">
        <f ca="1">AVERAGE(OFFSET($CC$3,0,0,'Données projet'!$E$12+1,1))-AVERAGE(OFFSET($H$3,0,0,'Données projet'!$E$12+1,1))</f>
        <v>279.49721661620544</v>
      </c>
      <c r="CE86" s="59">
        <f t="shared" si="94"/>
        <v>275.18739333988754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50.101380661358704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50.101380661358704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7.6022222222222204</v>
      </c>
      <c r="CT86" s="12">
        <f>IF('Données projet'!$A$140&gt;35,CT85+CS86-DB85,IF(A86&lt;'Données projet'!$A$140,$CQ$205^A86,IF(A86='Données projet'!$A$140,'Données projet'!$B$140,CT85+CS86-DB85)))</f>
        <v>276.16777777777781</v>
      </c>
      <c r="CU86" s="17">
        <f>CT86*VLOOKUP('Données projet'!$B$13,Paramètres!$A$1:$I$89,3,0)*VLOOKUP('Données projet'!$B$13,Paramètres!$A$1:$I$89,5,0)</f>
        <v>280.03412666666674</v>
      </c>
      <c r="CV86" s="13">
        <f t="shared" si="95"/>
        <v>66.97422077564481</v>
      </c>
      <c r="CW86" s="20">
        <f t="shared" si="67"/>
        <v>604.37287179535929</v>
      </c>
      <c r="CX86" s="59">
        <f t="shared" si="68"/>
        <v>897.70620512869255</v>
      </c>
      <c r="CY86" s="59">
        <f ca="1">AVERAGE(OFFSET($CX$3,0,0,'Données projet'!$E$13+1,1))-AVERAGE(OFFSET($H$3,0,0,'Données projet'!$E$13+1,1))</f>
        <v>402.54350692668021</v>
      </c>
      <c r="CZ86" s="59">
        <f t="shared" si="96"/>
        <v>163.60655196884522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73.479337864356339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73.479337864356339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8.4</v>
      </c>
      <c r="DO86" s="12">
        <f>IF('Données projet'!$A$166&gt;35,DO85+DN86-DW85,IF(A86&lt;'Données projet'!$A$166,$DL$205^A86,IF(A86='Données projet'!$A$166,'Données projet'!$B$166,DO85+DN86-DW85)))</f>
        <v>348.19999999999982</v>
      </c>
      <c r="DP86" s="17">
        <f>DO86*VLOOKUP('Données projet'!$B$14,Paramètres!$A$1:$I$89,3,0)*VLOOKUP('Données projet'!$B$14,Paramètres!$A$1:$I$89,5,0)</f>
        <v>298.75559999999984</v>
      </c>
      <c r="DQ86" s="13">
        <f t="shared" si="97"/>
        <v>70.915526361788181</v>
      </c>
      <c r="DR86" s="20">
        <f t="shared" si="70"/>
        <v>643.84387841344744</v>
      </c>
      <c r="DS86" s="59">
        <f t="shared" si="71"/>
        <v>937.17721174678081</v>
      </c>
      <c r="DT86" s="59">
        <f ca="1">AVERAGE(OFFSET($DS$3,0,0,'Données projet'!$E$14+1,1))-AVERAGE(OFFSET($H$3,0,0,'Données projet'!$E$14+1,1))</f>
        <v>352.76625414822473</v>
      </c>
      <c r="DU86" s="59">
        <f t="shared" si="98"/>
        <v>186.48649111821521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88.42382598946314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88.42382598946314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210.25641030000014</v>
      </c>
      <c r="EK86" s="17">
        <f>EJ86*VLOOKUP('Données projet'!$B$15,Paramètres!$A$1:$I$89,3,0)*VLOOKUP('Données projet'!$B$15,Paramètres!$A$1:$I$89,5,0)</f>
        <v>164.00000003400012</v>
      </c>
      <c r="EL86" s="13">
        <f t="shared" si="99"/>
        <v>41.743425916009095</v>
      </c>
      <c r="EM86" s="20">
        <f t="shared" si="73"/>
        <v>358.3364668629327</v>
      </c>
      <c r="EN86" s="59">
        <f t="shared" si="74"/>
        <v>651.66980019626601</v>
      </c>
      <c r="EO86" s="59">
        <f ca="1">AVERAGE(OFFSET($EN$3,0,0,'Données projet'!$E$15+1,1))-AVERAGE(OFFSET($H$3,0,0,'Données projet'!$E$15+1,1))</f>
        <v>130.66539383144681</v>
      </c>
      <c r="EP86" s="59">
        <f t="shared" si="100"/>
        <v>126.36398121441903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24.475032005125538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24.475032005125538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7.6022222222222204</v>
      </c>
      <c r="FE86" s="12">
        <f>IF('Données projet'!$A$218&gt;35,FE85+FD86-FM85,IF(A86&lt;'Données projet'!$A$218,$FB$205^A86,IF(A86='Données projet'!$A$218,'Données projet'!$B$218,FE85+FD86-FM85)))</f>
        <v>276.16777777777781</v>
      </c>
      <c r="FF86" s="17">
        <f>FE86*VLOOKUP('Données projet'!$B$16,Paramètres!$A$1:$I$89,3,0)*VLOOKUP('Données projet'!$B$16,Paramètres!$A$1:$I$89,5,0)</f>
        <v>267.1094746666667</v>
      </c>
      <c r="FG86" s="13">
        <f t="shared" si="101"/>
        <v>64.23544311189967</v>
      </c>
      <c r="FH86" s="20">
        <f t="shared" si="76"/>
        <v>577.09239846433638</v>
      </c>
      <c r="FI86" s="59">
        <f t="shared" si="77"/>
        <v>870.42573179766964</v>
      </c>
      <c r="FJ86" s="59">
        <f ca="1">AVERAGE(OFFSET($FI$3,0,0,'Données projet'!$E$16+1,1))-AVERAGE(OFFSET($H$3,0,0,'Données projet'!$E$16+1,1))</f>
        <v>380.43199889536805</v>
      </c>
      <c r="FK86" s="59">
        <f t="shared" si="102"/>
        <v>154.72646317672996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70.087983809078366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70.087983809078366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304</v>
      </c>
      <c r="O87" s="13">
        <f>N87*VLOOKUP('Données projet'!$B$9,Paramètres!$A$1:$I$89,3,0)*VLOOKUP('Données projet'!$B$9,Paramètres!$A$1:$I$89,5,0)</f>
        <v>189.696</v>
      </c>
      <c r="P87" s="13">
        <f t="shared" si="87"/>
        <v>47.472736505152469</v>
      </c>
      <c r="Q87" s="20">
        <f t="shared" si="54"/>
        <v>413.06888274647389</v>
      </c>
      <c r="R87" s="59">
        <f t="shared" si="55"/>
        <v>706.4022160798072</v>
      </c>
      <c r="S87" s="59">
        <f ca="1">AVERAGE(OFFSET($R$3,0,0,'Données projet'!$E$9+1,1))-AVERAGE(OFFSET($H$3,0,0,'Données projet'!$E$9+1,1))</f>
        <v>179.44051550872138</v>
      </c>
      <c r="T87" s="59">
        <f t="shared" si="88"/>
        <v>272.9500808380069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42.211449432055566</v>
      </c>
      <c r="AA87" s="21">
        <f>EXP(-LN(2)/25)*AA86+(1-EXP(-LN(2)/25))/(LN(2)/25)*Calculateur!V87*Calculateur!X87*VLOOKUP('Données projet'!$B$9,Paramètres!$A$1:$I$89,3,0)*0.475*44/12</f>
        <v>10.827460112618592</v>
      </c>
      <c r="AB87" s="21">
        <f>EXP(-LN(2)/2)*AB86+(1-EXP(-LN(2)/2))/(LN(2)/2)*V87*Y87*VLOOKUP('Données projet'!$B$9,Paramètres!$A$1:$I$89,3,0)*0.475*44/12</f>
        <v>1.6449786574964298E-9</v>
      </c>
      <c r="AC87" s="22">
        <f t="shared" si="57"/>
        <v>53.038909546319132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9.1600000000000144</v>
      </c>
      <c r="AI87" s="13">
        <f>IF('Données projet'!$A$62&gt;35,AI86+AH87-AQ86,IF(A87&lt;'Données projet'!$A$62,$AF$205^A87,IF(A87='Données projet'!$A$62,'Données projet'!$B$62,AI86+AH87-AQ86)))</f>
        <v>368.7</v>
      </c>
      <c r="AJ87" s="13">
        <f>AI87*VLOOKUP('Données projet'!$B$10,Paramètres!$A$1:$I$89,3,0)*VLOOKUP('Données projet'!$B$10,Paramètres!$A$1:$I$89,5,0)</f>
        <v>177.34469999999999</v>
      </c>
      <c r="AK87" s="13">
        <f t="shared" si="89"/>
        <v>44.730920840144655</v>
      </c>
      <c r="AL87" s="20">
        <f t="shared" si="58"/>
        <v>386.78170629658524</v>
      </c>
      <c r="AM87" s="59">
        <f t="shared" si="59"/>
        <v>680.11503962991856</v>
      </c>
      <c r="AN87" s="59">
        <f ca="1">AVERAGE(OFFSET($AM$3,0,0,'Données projet'!$E$10+1,1))-AVERAGE(OFFSET($H$3,0,0,'Données projet'!$E$10+1,1))</f>
        <v>174.18188687702559</v>
      </c>
      <c r="AO87" s="59">
        <f t="shared" si="90"/>
        <v>32.17353897322738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108.56154632690287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108.56154632690287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0.8600000000003547</v>
      </c>
      <c r="BE87" s="13">
        <f>BD87*VLOOKUP('Données projet'!$B$11,Paramètres!$A$1:$I$89,3,0)*VLOOKUP('Données projet'!$B$11,Paramètres!$A$1:$I$89,5,0)</f>
        <v>0.48074000000019829</v>
      </c>
      <c r="BF87" s="13">
        <f t="shared" si="91"/>
        <v>0.24126147010950588</v>
      </c>
      <c r="BG87" s="20">
        <f t="shared" si="61"/>
        <v>1.2574858937744013</v>
      </c>
      <c r="BH87" s="59">
        <f t="shared" si="62"/>
        <v>294.59081922710772</v>
      </c>
      <c r="BI87" s="59">
        <f ca="1">AVERAGE(OFFSET($BH$3,0,0,'Données projet'!$E$11+1,1))-AVERAGE(OFFSET($H$3,0,0,'Données projet'!$E$11+1,1))</f>
        <v>350.01600895263641</v>
      </c>
      <c r="BJ87" s="59">
        <f t="shared" si="92"/>
        <v>464.08921044376882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209.34985179959426</v>
      </c>
      <c r="BQ87" s="21">
        <f>EXP(-LN(2)/25)*BQ86+(1-EXP(-LN(2)/25))/(LN(2)/25)*Calculateur!BL87*Calculateur!BN87*VLOOKUP('Données projet'!$B$11,Paramètres!$A$1:$I$89,3,0)*0.475*44/12</f>
        <v>11.315638974285596</v>
      </c>
      <c r="BR87" s="21">
        <f>EXP(-LN(2)/2)*BR86+(1-EXP(-LN(2)/2))/(LN(2)/2)*BL87*BO87*VLOOKUP('Données projet'!$B$11,Paramètres!$A$1:$I$89,3,0)*0.475*44/12</f>
        <v>5.5128375371010016E-9</v>
      </c>
      <c r="BS87" s="22">
        <f t="shared" si="63"/>
        <v>220.66549077939271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253.79640000000001</v>
      </c>
      <c r="CA87" s="13">
        <f t="shared" si="93"/>
        <v>61.39816832228076</v>
      </c>
      <c r="CB87" s="20">
        <f t="shared" si="64"/>
        <v>548.96387316130563</v>
      </c>
      <c r="CC87" s="59">
        <f t="shared" si="65"/>
        <v>842.29720649463889</v>
      </c>
      <c r="CD87" s="59">
        <f ca="1">AVERAGE(OFFSET($CC$3,0,0,'Données projet'!$E$12+1,1))-AVERAGE(OFFSET($H$3,0,0,'Données projet'!$E$12+1,1))</f>
        <v>279.49721661620544</v>
      </c>
      <c r="CE87" s="59">
        <f t="shared" si="94"/>
        <v>275.18739333988754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49.118923145414229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49.118923145414229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283.77</v>
      </c>
      <c r="CR87" s="12">
        <f>VLOOKUP(A87,'Données projet'!$A$139:$I$159,9,0)</f>
        <v>7.6022222222222204</v>
      </c>
      <c r="CS87" s="12">
        <f t="array" ref="CS87">INDEX(CR:CR,MIN(IF(ISNUMBER(CR87:CR283),ROW(CR87:CR283),"")))</f>
        <v>7.6022222222222204</v>
      </c>
      <c r="CT87" s="12">
        <f>IF('Données projet'!$A$140&gt;35,CT86+CS87-DB86,IF(A87&lt;'Données projet'!$A$140,$CQ$205^A87,IF(A87='Données projet'!$A$140,'Données projet'!$B$140,CT86+CS87-DB86)))</f>
        <v>283.77000000000004</v>
      </c>
      <c r="CU87" s="17">
        <f>CT87*VLOOKUP('Données projet'!$B$13,Paramètres!$A$1:$I$89,3,0)*VLOOKUP('Données projet'!$B$13,Paramètres!$A$1:$I$89,5,0)</f>
        <v>287.74278000000004</v>
      </c>
      <c r="CV87" s="13">
        <f t="shared" si="95"/>
        <v>68.600674179739471</v>
      </c>
      <c r="CW87" s="20">
        <f t="shared" si="67"/>
        <v>620.631516029713</v>
      </c>
      <c r="CX87" s="59">
        <f t="shared" si="68"/>
        <v>913.96484936304637</v>
      </c>
      <c r="CY87" s="59">
        <f ca="1">AVERAGE(OFFSET($CX$3,0,0,'Données projet'!$E$13+1,1))-AVERAGE(OFFSET($H$3,0,0,'Données projet'!$E$13+1,1))</f>
        <v>402.54350692668021</v>
      </c>
      <c r="CZ87" s="59">
        <f t="shared" si="96"/>
        <v>163.60655196884522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44.89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93.675755845147833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93.675755845147833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8.4</v>
      </c>
      <c r="DO87" s="12">
        <f>IF('Données projet'!$A$166&gt;35,DO86+DN87-DW86,IF(A87&lt;'Données projet'!$A$166,$DL$205^A87,IF(A87='Données projet'!$A$166,'Données projet'!$B$166,DO86+DN87-DW86)))</f>
        <v>356.5999999999998</v>
      </c>
      <c r="DP87" s="17">
        <f>DO87*VLOOKUP('Données projet'!$B$14,Paramètres!$A$1:$I$89,3,0)*VLOOKUP('Données projet'!$B$14,Paramètres!$A$1:$I$89,5,0)</f>
        <v>305.96279999999985</v>
      </c>
      <c r="DQ87" s="13">
        <f t="shared" si="97"/>
        <v>72.425059957831166</v>
      </c>
      <c r="DR87" s="20">
        <f t="shared" si="70"/>
        <v>659.02552275988899</v>
      </c>
      <c r="DS87" s="59">
        <f t="shared" si="71"/>
        <v>952.35885609322236</v>
      </c>
      <c r="DT87" s="59">
        <f ca="1">AVERAGE(OFFSET($DS$3,0,0,'Données projet'!$E$14+1,1))-AVERAGE(OFFSET($H$3,0,0,'Données projet'!$E$14+1,1))</f>
        <v>352.76625414822473</v>
      </c>
      <c r="DU87" s="59">
        <f t="shared" si="98"/>
        <v>186.48649111821521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86.689888695018155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86.689888695018155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210.25641030000014</v>
      </c>
      <c r="EK87" s="17">
        <f>EJ87*VLOOKUP('Données projet'!$B$15,Paramètres!$A$1:$I$89,3,0)*VLOOKUP('Données projet'!$B$15,Paramètres!$A$1:$I$89,5,0)</f>
        <v>164.00000003400012</v>
      </c>
      <c r="EL87" s="13">
        <f t="shared" si="99"/>
        <v>41.743425916009095</v>
      </c>
      <c r="EM87" s="20">
        <f t="shared" si="73"/>
        <v>358.3364668629327</v>
      </c>
      <c r="EN87" s="59">
        <f t="shared" si="74"/>
        <v>651.66980019626601</v>
      </c>
      <c r="EO87" s="59">
        <f ca="1">AVERAGE(OFFSET($EN$3,0,0,'Données projet'!$E$15+1,1))-AVERAGE(OFFSET($H$3,0,0,'Données projet'!$E$15+1,1))</f>
        <v>130.66539383144681</v>
      </c>
      <c r="EP87" s="59">
        <f t="shared" si="100"/>
        <v>126.36398121441903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23.995091555800503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23.995091555800503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283.77</v>
      </c>
      <c r="FC87" s="12">
        <f>VLOOKUP(A87,'Données projet'!$A$217:$I$237,9,0)</f>
        <v>7.6022222222222204</v>
      </c>
      <c r="FD87" s="12">
        <f t="array" ref="FD87">INDEX(FC:FC,MIN(IF(ISNUMBER(FC87:FC283),ROW(FC87:FC283),"")))</f>
        <v>7.6022222222222204</v>
      </c>
      <c r="FE87" s="12">
        <f>IF('Données projet'!$A$218&gt;35,FE86+FD87-FM86,IF(A87&lt;'Données projet'!$A$218,$FB$205^A87,IF(A87='Données projet'!$A$218,'Données projet'!$B$218,FE86+FD87-FM86)))</f>
        <v>283.77000000000004</v>
      </c>
      <c r="FF87" s="17">
        <f>FE87*VLOOKUP('Données projet'!$B$16,Paramètres!$A$1:$I$89,3,0)*VLOOKUP('Données projet'!$B$16,Paramètres!$A$1:$I$89,5,0)</f>
        <v>274.46234400000003</v>
      </c>
      <c r="FG87" s="13">
        <f t="shared" si="101"/>
        <v>65.795385936211957</v>
      </c>
      <c r="FH87" s="20">
        <f t="shared" si="76"/>
        <v>592.61554630556918</v>
      </c>
      <c r="FI87" s="59">
        <f t="shared" si="77"/>
        <v>885.94887963890255</v>
      </c>
      <c r="FJ87" s="59">
        <f ca="1">AVERAGE(OFFSET($FI$3,0,0,'Données projet'!$E$16+1,1))-AVERAGE(OFFSET($H$3,0,0,'Données projet'!$E$16+1,1))</f>
        <v>380.43199889536805</v>
      </c>
      <c r="FK87" s="59">
        <f t="shared" si="102"/>
        <v>154.72646317672996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44.89</v>
      </c>
      <c r="FN87" s="16">
        <f>IF(ISNA(VLOOKUP(A87,'Données projet'!$A$217:$I$237,5,0)),0%,VLOOKUP(A87,'Données projet'!$A$217:$I$237,5,0)*VLOOKUP('Données projet'!$B$16,Paramètres!$A$1:$I$89,7,0))</f>
        <v>0.43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89.352259421525631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89.352259421525631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304</v>
      </c>
      <c r="O88" s="13">
        <f>N88*VLOOKUP('Données projet'!$B$9,Paramètres!$A$1:$I$89,3,0)*VLOOKUP('Données projet'!$B$9,Paramètres!$A$1:$I$89,5,0)</f>
        <v>189.696</v>
      </c>
      <c r="P88" s="13">
        <f t="shared" si="87"/>
        <v>47.472736505152469</v>
      </c>
      <c r="Q88" s="20">
        <f t="shared" si="54"/>
        <v>413.06888274647389</v>
      </c>
      <c r="R88" s="59">
        <f t="shared" si="55"/>
        <v>706.4022160798072</v>
      </c>
      <c r="S88" s="59">
        <f ca="1">AVERAGE(OFFSET($R$3,0,0,'Données projet'!$E$9+1,1))-AVERAGE(OFFSET($H$3,0,0,'Données projet'!$E$9+1,1))</f>
        <v>179.44051550872138</v>
      </c>
      <c r="T88" s="59">
        <f t="shared" si="88"/>
        <v>272.9500808380069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41.383708655134861</v>
      </c>
      <c r="AA88" s="21">
        <f>EXP(-LN(2)/25)*AA87+(1-EXP(-LN(2)/25))/(LN(2)/25)*Calculateur!V88*Calculateur!X88*VLOOKUP('Données projet'!$B$9,Paramètres!$A$1:$I$89,3,0)*0.475*44/12</f>
        <v>10.531382646447655</v>
      </c>
      <c r="AB88" s="21">
        <f>EXP(-LN(2)/2)*AB87+(1-EXP(-LN(2)/2))/(LN(2)/2)*V88*Y88*VLOOKUP('Données projet'!$B$9,Paramètres!$A$1:$I$89,3,0)*0.475*44/12</f>
        <v>1.1631755636228687E-9</v>
      </c>
      <c r="AC88" s="22">
        <f t="shared" si="57"/>
        <v>51.915091302745687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377.86</v>
      </c>
      <c r="AG88" s="12">
        <f>VLOOKUP(A88,'Données projet'!$A$61:$I$81,9,0)</f>
        <v>9.1600000000000144</v>
      </c>
      <c r="AH88" s="12">
        <f t="array" ref="AH88">INDEX(AG:AG,MIN(IF(ISNUMBER(AG88:AG284),ROW(AG88:AG284),"")))</f>
        <v>9.1600000000000144</v>
      </c>
      <c r="AI88" s="13">
        <f>IF('Données projet'!$A$62&gt;35,AI87+AH88-AQ87,IF(A88&lt;'Données projet'!$A$62,$AF$205^A88,IF(A88='Données projet'!$A$62,'Données projet'!$B$62,AI87+AH88-AQ87)))</f>
        <v>377.86</v>
      </c>
      <c r="AJ88" s="13">
        <f>AI88*VLOOKUP('Données projet'!$B$10,Paramètres!$A$1:$I$89,3,0)*VLOOKUP('Données projet'!$B$10,Paramètres!$A$1:$I$89,5,0)</f>
        <v>181.75066000000001</v>
      </c>
      <c r="AK88" s="13">
        <f t="shared" si="89"/>
        <v>45.711456087123011</v>
      </c>
      <c r="AL88" s="20">
        <f t="shared" si="58"/>
        <v>396.16318551840595</v>
      </c>
      <c r="AM88" s="59">
        <f t="shared" si="59"/>
        <v>689.49651885173921</v>
      </c>
      <c r="AN88" s="59">
        <f ca="1">AVERAGE(OFFSET($AM$3,0,0,'Données projet'!$E$10+1,1))-AVERAGE(OFFSET($H$3,0,0,'Données projet'!$E$10+1,1))</f>
        <v>174.18188687702559</v>
      </c>
      <c r="AO88" s="59">
        <f t="shared" si="90"/>
        <v>32.17353897322738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106.43272061943728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106.43272061943728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0.8600000000003547</v>
      </c>
      <c r="BE88" s="13">
        <f>BD88*VLOOKUP('Données projet'!$B$11,Paramètres!$A$1:$I$89,3,0)*VLOOKUP('Données projet'!$B$11,Paramètres!$A$1:$I$89,5,0)</f>
        <v>0.48074000000019829</v>
      </c>
      <c r="BF88" s="13">
        <f t="shared" si="91"/>
        <v>0.24126147010950588</v>
      </c>
      <c r="BG88" s="20">
        <f t="shared" si="61"/>
        <v>1.2574858937744013</v>
      </c>
      <c r="BH88" s="59">
        <f t="shared" si="62"/>
        <v>294.59081922710772</v>
      </c>
      <c r="BI88" s="59">
        <f ca="1">AVERAGE(OFFSET($BH$3,0,0,'Données projet'!$E$11+1,1))-AVERAGE(OFFSET($H$3,0,0,'Données projet'!$E$11+1,1))</f>
        <v>350.01600895263641</v>
      </c>
      <c r="BJ88" s="59">
        <f t="shared" si="92"/>
        <v>464.08921044376882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205.24462889660541</v>
      </c>
      <c r="BQ88" s="21">
        <f>EXP(-LN(2)/25)*BQ87+(1-EXP(-LN(2)/25))/(LN(2)/25)*Calculateur!BL88*Calculateur!BN88*VLOOKUP('Données projet'!$B$11,Paramètres!$A$1:$I$89,3,0)*0.475*44/12</f>
        <v>11.006212231470165</v>
      </c>
      <c r="BR88" s="21">
        <f>EXP(-LN(2)/2)*BR87+(1-EXP(-LN(2)/2))/(LN(2)/2)*BL88*BO88*VLOOKUP('Données projet'!$B$11,Paramètres!$A$1:$I$89,3,0)*0.475*44/12</f>
        <v>3.8981648060638634E-9</v>
      </c>
      <c r="BS88" s="22">
        <f t="shared" si="63"/>
        <v>216.25084113197371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253.79640000000001</v>
      </c>
      <c r="CA88" s="13">
        <f t="shared" si="93"/>
        <v>61.39816832228076</v>
      </c>
      <c r="CB88" s="20">
        <f t="shared" si="64"/>
        <v>548.96387316130563</v>
      </c>
      <c r="CC88" s="59">
        <f t="shared" si="65"/>
        <v>842.29720649463889</v>
      </c>
      <c r="CD88" s="59">
        <f ca="1">AVERAGE(OFFSET($CC$3,0,0,'Données projet'!$E$12+1,1))-AVERAGE(OFFSET($H$3,0,0,'Données projet'!$E$12+1,1))</f>
        <v>279.49721661620544</v>
      </c>
      <c r="CE88" s="59">
        <f t="shared" si="94"/>
        <v>275.18739333988754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48.155731022117514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48.155731022117514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7.1655555555555566</v>
      </c>
      <c r="CT88" s="12">
        <f>IF('Données projet'!$A$140&gt;35,CT87+CS88-DB87,IF(A88&lt;'Données projet'!$A$140,$CQ$205^A88,IF(A88='Données projet'!$A$140,'Données projet'!$B$140,CT87+CS88-DB87)))</f>
        <v>246.04555555555561</v>
      </c>
      <c r="CU88" s="17">
        <f>CT88*VLOOKUP('Données projet'!$B$13,Paramètres!$A$1:$I$89,3,0)*VLOOKUP('Données projet'!$B$13,Paramètres!$A$1:$I$89,5,0)</f>
        <v>249.49019333333339</v>
      </c>
      <c r="CV88" s="13">
        <f t="shared" si="95"/>
        <v>60.476760461441259</v>
      </c>
      <c r="CW88" s="20">
        <f t="shared" si="67"/>
        <v>539.85911119256582</v>
      </c>
      <c r="CX88" s="59">
        <f t="shared" si="68"/>
        <v>833.19244452589919</v>
      </c>
      <c r="CY88" s="59">
        <f ca="1">AVERAGE(OFFSET($CX$3,0,0,'Données projet'!$E$13+1,1))-AVERAGE(OFFSET($H$3,0,0,'Données projet'!$E$13+1,1))</f>
        <v>402.54350692668021</v>
      </c>
      <c r="CZ88" s="59">
        <f t="shared" si="96"/>
        <v>163.60655196884522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91.83883140959378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91.83883140959378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365</v>
      </c>
      <c r="DM88" s="12">
        <f>VLOOKUP(A88,'Données projet'!$A$165:$I$185,9,0)</f>
        <v>8.4</v>
      </c>
      <c r="DN88" s="12">
        <f t="array" ref="DN88">INDEX(DM:DM,MIN(IF(ISNUMBER(DM88:DM284),ROW(DM88:DM284),"")))</f>
        <v>8.4</v>
      </c>
      <c r="DO88" s="12">
        <f>IF('Données projet'!$A$166&gt;35,DO87+DN88-DW87,IF(A88&lt;'Données projet'!$A$166,$DL$205^A88,IF(A88='Données projet'!$A$166,'Données projet'!$B$166,DO87+DN88-DW87)))</f>
        <v>364.99999999999977</v>
      </c>
      <c r="DP88" s="17">
        <f>DO88*VLOOKUP('Données projet'!$B$14,Paramètres!$A$1:$I$89,3,0)*VLOOKUP('Données projet'!$B$14,Paramètres!$A$1:$I$89,5,0)</f>
        <v>313.16999999999985</v>
      </c>
      <c r="DQ88" s="13">
        <f t="shared" si="97"/>
        <v>73.930459835341836</v>
      </c>
      <c r="DR88" s="20">
        <f t="shared" si="70"/>
        <v>674.19996754655335</v>
      </c>
      <c r="DS88" s="59">
        <f t="shared" si="71"/>
        <v>967.53330087988661</v>
      </c>
      <c r="DT88" s="59">
        <f ca="1">AVERAGE(OFFSET($DS$3,0,0,'Données projet'!$E$14+1,1))-AVERAGE(OFFSET($H$3,0,0,'Données projet'!$E$14+1,1))</f>
        <v>352.76625414822473</v>
      </c>
      <c r="DU88" s="59">
        <f t="shared" si="98"/>
        <v>186.48649111821521</v>
      </c>
      <c r="DV88" s="15">
        <f>IF(ISNA(VLOOKUP(A88,'Données projet'!$A$165:$I$185,3,0)),0,VLOOKUP(A88,'Données projet'!$A$165:$I$185,3,0))</f>
        <v>13</v>
      </c>
      <c r="DW88" s="15">
        <f>IF(ISNA(VLOOKUP(A88,'Données projet'!$A$165:$I$185,4,0)),0,VLOOKUP(A88,'Données projet'!$A$165:$I$185,4,0))</f>
        <v>27</v>
      </c>
      <c r="DX88" s="16">
        <f>IF(ISNA(VLOOKUP(A88,'Données projet'!$A$165:$I$185,5,0)),0%,VLOOKUP(A88,'Données projet'!$A$165:$I$185,5,0)*VLOOKUP('Données projet'!$B$14,Paramètres!$A$1:$I$89,7,0))</f>
        <v>0.53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98.562896063817888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98.562896063817888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210.25641030000014</v>
      </c>
      <c r="EK88" s="17">
        <f>EJ88*VLOOKUP('Données projet'!$B$15,Paramètres!$A$1:$I$89,3,0)*VLOOKUP('Données projet'!$B$15,Paramètres!$A$1:$I$89,5,0)</f>
        <v>164.00000003400012</v>
      </c>
      <c r="EL88" s="13">
        <f t="shared" si="99"/>
        <v>41.743425916009095</v>
      </c>
      <c r="EM88" s="20">
        <f t="shared" si="73"/>
        <v>358.3364668629327</v>
      </c>
      <c r="EN88" s="59">
        <f t="shared" si="74"/>
        <v>651.66980019626601</v>
      </c>
      <c r="EO88" s="59">
        <f ca="1">AVERAGE(OFFSET($EN$3,0,0,'Données projet'!$E$15+1,1))-AVERAGE(OFFSET($H$3,0,0,'Données projet'!$E$15+1,1))</f>
        <v>130.66539383144681</v>
      </c>
      <c r="EP88" s="59">
        <f t="shared" si="100"/>
        <v>126.36398121441903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23.524562445951961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23.524562445951961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7.1655555555555566</v>
      </c>
      <c r="FE88" s="12">
        <f>IF('Données projet'!$A$218&gt;35,FE87+FD88-FM87,IF(A88&lt;'Données projet'!$A$218,$FB$205^A88,IF(A88='Données projet'!$A$218,'Données projet'!$B$218,FE87+FD88-FM87)))</f>
        <v>246.04555555555561</v>
      </c>
      <c r="FF88" s="17">
        <f>FE88*VLOOKUP('Données projet'!$B$16,Paramètres!$A$1:$I$89,3,0)*VLOOKUP('Données projet'!$B$16,Paramètres!$A$1:$I$89,5,0)</f>
        <v>237.97526133333338</v>
      </c>
      <c r="FG88" s="13">
        <f t="shared" si="101"/>
        <v>58.003683525133063</v>
      </c>
      <c r="FH88" s="20">
        <f t="shared" si="76"/>
        <v>515.49666229516231</v>
      </c>
      <c r="FI88" s="59">
        <f t="shared" si="77"/>
        <v>808.82999562849568</v>
      </c>
      <c r="FJ88" s="59">
        <f ca="1">AVERAGE(OFFSET($FI$3,0,0,'Données projet'!$E$16+1,1))-AVERAGE(OFFSET($H$3,0,0,'Données projet'!$E$16+1,1))</f>
        <v>380.43199889536805</v>
      </c>
      <c r="FK88" s="59">
        <f t="shared" si="102"/>
        <v>154.72646317672996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87.600116113766376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87.600116113766376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304</v>
      </c>
      <c r="O89" s="13">
        <f>N89*VLOOKUP('Données projet'!$B$9,Paramètres!$A$1:$I$89,3,0)*VLOOKUP('Données projet'!$B$9,Paramètres!$A$1:$I$89,5,0)</f>
        <v>189.696</v>
      </c>
      <c r="P89" s="13">
        <f t="shared" si="87"/>
        <v>47.472736505152469</v>
      </c>
      <c r="Q89" s="20">
        <f t="shared" si="54"/>
        <v>413.06888274647389</v>
      </c>
      <c r="R89" s="59">
        <f t="shared" si="55"/>
        <v>706.4022160798072</v>
      </c>
      <c r="S89" s="59">
        <f ca="1">AVERAGE(OFFSET($R$3,0,0,'Données projet'!$E$9+1,1))-AVERAGE(OFFSET($H$3,0,0,'Données projet'!$E$9+1,1))</f>
        <v>179.44051550872138</v>
      </c>
      <c r="T89" s="59">
        <f t="shared" si="88"/>
        <v>272.9500808380069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40.572199369977547</v>
      </c>
      <c r="AA89" s="21">
        <f>EXP(-LN(2)/25)*AA88+(1-EXP(-LN(2)/25))/(LN(2)/25)*Calculateur!V89*Calculateur!X89*VLOOKUP('Données projet'!$B$9,Paramètres!$A$1:$I$89,3,0)*0.475*44/12</f>
        <v>10.2434014341592</v>
      </c>
      <c r="AB89" s="21">
        <f>EXP(-LN(2)/2)*AB88+(1-EXP(-LN(2)/2))/(LN(2)/2)*V89*Y89*VLOOKUP('Données projet'!$B$9,Paramètres!$A$1:$I$89,3,0)*0.475*44/12</f>
        <v>8.224893287482149E-10</v>
      </c>
      <c r="AC89" s="22">
        <f t="shared" si="57"/>
        <v>50.815600804959239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8.9039999999999964</v>
      </c>
      <c r="AI89" s="13">
        <f>IF('Données projet'!$A$62&gt;35,AI88+AH89-AQ88,IF(A89&lt;'Données projet'!$A$62,$AF$205^A89,IF(A89='Données projet'!$A$62,'Données projet'!$B$62,AI88+AH89-AQ88)))</f>
        <v>386.76400000000001</v>
      </c>
      <c r="AJ89" s="13">
        <f>AI89*VLOOKUP('Données projet'!$B$10,Paramètres!$A$1:$I$89,3,0)*VLOOKUP('Données projet'!$B$10,Paramètres!$A$1:$I$89,5,0)</f>
        <v>186.03348399999999</v>
      </c>
      <c r="AK89" s="13">
        <f t="shared" si="89"/>
        <v>46.661938622630473</v>
      </c>
      <c r="AL89" s="20">
        <f t="shared" si="58"/>
        <v>405.27786106774806</v>
      </c>
      <c r="AM89" s="59">
        <f t="shared" si="59"/>
        <v>698.61119440108132</v>
      </c>
      <c r="AN89" s="59">
        <f ca="1">AVERAGE(OFFSET($AM$3,0,0,'Données projet'!$E$10+1,1))-AVERAGE(OFFSET($H$3,0,0,'Données projet'!$E$10+1,1))</f>
        <v>174.18188687702559</v>
      </c>
      <c r="AO89" s="59">
        <f t="shared" si="90"/>
        <v>32.17353897322738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104.34563988563961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104.34563988563961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0.8600000000003547</v>
      </c>
      <c r="BE89" s="13">
        <f>BD89*VLOOKUP('Données projet'!$B$11,Paramètres!$A$1:$I$89,3,0)*VLOOKUP('Données projet'!$B$11,Paramètres!$A$1:$I$89,5,0)</f>
        <v>0.48074000000019829</v>
      </c>
      <c r="BF89" s="13">
        <f t="shared" si="91"/>
        <v>0.24126147010950588</v>
      </c>
      <c r="BG89" s="20">
        <f t="shared" si="61"/>
        <v>1.2574858937744013</v>
      </c>
      <c r="BH89" s="59">
        <f t="shared" si="62"/>
        <v>294.59081922710772</v>
      </c>
      <c r="BI89" s="59">
        <f ca="1">AVERAGE(OFFSET($BH$3,0,0,'Données projet'!$E$11+1,1))-AVERAGE(OFFSET($H$3,0,0,'Données projet'!$E$11+1,1))</f>
        <v>350.01600895263641</v>
      </c>
      <c r="BJ89" s="59">
        <f t="shared" si="92"/>
        <v>464.08921044376882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201.21990691080543</v>
      </c>
      <c r="BQ89" s="21">
        <f>EXP(-LN(2)/25)*BQ88+(1-EXP(-LN(2)/25))/(LN(2)/25)*Calculateur!BL89*Calculateur!BN89*VLOOKUP('Données projet'!$B$11,Paramètres!$A$1:$I$89,3,0)*0.475*44/12</f>
        <v>10.705246779209068</v>
      </c>
      <c r="BR89" s="21">
        <f>EXP(-LN(2)/2)*BR88+(1-EXP(-LN(2)/2))/(LN(2)/2)*BL89*BO89*VLOOKUP('Données projet'!$B$11,Paramètres!$A$1:$I$89,3,0)*0.475*44/12</f>
        <v>2.7564187685505008E-9</v>
      </c>
      <c r="BS89" s="22">
        <f t="shared" si="63"/>
        <v>211.92515369277092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253.79640000000001</v>
      </c>
      <c r="CA89" s="13">
        <f t="shared" si="93"/>
        <v>61.39816832228076</v>
      </c>
      <c r="CB89" s="20">
        <f t="shared" si="64"/>
        <v>548.96387316130563</v>
      </c>
      <c r="CC89" s="59">
        <f t="shared" si="65"/>
        <v>842.29720649463889</v>
      </c>
      <c r="CD89" s="59">
        <f ca="1">AVERAGE(OFFSET($CC$3,0,0,'Données projet'!$E$12+1,1))-AVERAGE(OFFSET($H$3,0,0,'Données projet'!$E$12+1,1))</f>
        <v>279.49721661620544</v>
      </c>
      <c r="CE89" s="59">
        <f t="shared" si="94"/>
        <v>275.18739333988754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47.211426508869458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47.211426508869458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7.1655555555555566</v>
      </c>
      <c r="CT89" s="12">
        <f>IF('Données projet'!$A$140&gt;35,CT88+CS89-DB88,IF(A89&lt;'Données projet'!$A$140,$CQ$205^A89,IF(A89='Données projet'!$A$140,'Données projet'!$B$140,CT88+CS89-DB88)))</f>
        <v>253.21111111111117</v>
      </c>
      <c r="CU89" s="17">
        <f>CT89*VLOOKUP('Données projet'!$B$13,Paramètres!$A$1:$I$89,3,0)*VLOOKUP('Données projet'!$B$13,Paramètres!$A$1:$I$89,5,0)</f>
        <v>256.75606666666675</v>
      </c>
      <c r="CV89" s="13">
        <f t="shared" si="95"/>
        <v>62.030398003614636</v>
      </c>
      <c r="CW89" s="20">
        <f t="shared" si="67"/>
        <v>555.21975930074007</v>
      </c>
      <c r="CX89" s="59">
        <f t="shared" si="68"/>
        <v>848.55309263407344</v>
      </c>
      <c r="CY89" s="59">
        <f ca="1">AVERAGE(OFFSET($CX$3,0,0,'Données projet'!$E$13+1,1))-AVERAGE(OFFSET($H$3,0,0,'Données projet'!$E$13+1,1))</f>
        <v>402.54350692668021</v>
      </c>
      <c r="CZ89" s="59">
        <f t="shared" si="96"/>
        <v>163.60655196884522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90.037927941807666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90.037927941807666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7.8</v>
      </c>
      <c r="DO89" s="12">
        <f>IF('Données projet'!$A$166&gt;35,DO88+DN89-DW88,IF(A89&lt;'Données projet'!$A$166,$DL$205^A89,IF(A89='Données projet'!$A$166,'Données projet'!$B$166,DO88+DN89-DW88)))</f>
        <v>345.79999999999978</v>
      </c>
      <c r="DP89" s="17">
        <f>DO89*VLOOKUP('Données projet'!$B$14,Paramètres!$A$1:$I$89,3,0)*VLOOKUP('Données projet'!$B$14,Paramètres!$A$1:$I$89,5,0)</f>
        <v>296.69639999999981</v>
      </c>
      <c r="DQ89" s="13">
        <f t="shared" si="97"/>
        <v>70.48345633189993</v>
      </c>
      <c r="DR89" s="20">
        <f t="shared" si="70"/>
        <v>639.50491644472538</v>
      </c>
      <c r="DS89" s="59">
        <f t="shared" si="71"/>
        <v>932.83824977805875</v>
      </c>
      <c r="DT89" s="59">
        <f ca="1">AVERAGE(OFFSET($DS$3,0,0,'Données projet'!$E$14+1,1))-AVERAGE(OFFSET($H$3,0,0,'Données projet'!$E$14+1,1))</f>
        <v>352.76625414822473</v>
      </c>
      <c r="DU89" s="59">
        <f t="shared" si="98"/>
        <v>186.48649111821521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96.630137789436915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96.630137789436915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210.25641030000014</v>
      </c>
      <c r="EK89" s="17">
        <f>EJ89*VLOOKUP('Données projet'!$B$15,Paramètres!$A$1:$I$89,3,0)*VLOOKUP('Données projet'!$B$15,Paramètres!$A$1:$I$89,5,0)</f>
        <v>164.00000003400012</v>
      </c>
      <c r="EL89" s="13">
        <f t="shared" si="99"/>
        <v>41.743425916009095</v>
      </c>
      <c r="EM89" s="20">
        <f t="shared" si="73"/>
        <v>358.3364668629327</v>
      </c>
      <c r="EN89" s="59">
        <f t="shared" si="74"/>
        <v>651.66980019626601</v>
      </c>
      <c r="EO89" s="59">
        <f ca="1">AVERAGE(OFFSET($EN$3,0,0,'Données projet'!$E$15+1,1))-AVERAGE(OFFSET($H$3,0,0,'Données projet'!$E$15+1,1))</f>
        <v>130.66539383144681</v>
      </c>
      <c r="EP89" s="59">
        <f t="shared" si="100"/>
        <v>126.36398121441903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23.063260124953132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23.063260124953132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7.1655555555555566</v>
      </c>
      <c r="FE89" s="12">
        <f>IF('Données projet'!$A$218&gt;35,FE88+FD89-FM88,IF(A89&lt;'Données projet'!$A$218,$FB$205^A89,IF(A89='Données projet'!$A$218,'Données projet'!$B$218,FE88+FD89-FM88)))</f>
        <v>253.21111111111117</v>
      </c>
      <c r="FF89" s="17">
        <f>FE89*VLOOKUP('Données projet'!$B$16,Paramètres!$A$1:$I$89,3,0)*VLOOKUP('Données projet'!$B$16,Paramètres!$A$1:$I$89,5,0)</f>
        <v>244.90578666666673</v>
      </c>
      <c r="FG89" s="13">
        <f t="shared" si="101"/>
        <v>59.493788147493696</v>
      </c>
      <c r="FH89" s="20">
        <f t="shared" si="76"/>
        <v>530.16259280132942</v>
      </c>
      <c r="FI89" s="59">
        <f t="shared" si="77"/>
        <v>823.4959261346628</v>
      </c>
      <c r="FJ89" s="59">
        <f ca="1">AVERAGE(OFFSET($FI$3,0,0,'Données projet'!$E$16+1,1))-AVERAGE(OFFSET($H$3,0,0,'Données projet'!$E$16+1,1))</f>
        <v>380.43199889536805</v>
      </c>
      <c r="FK89" s="59">
        <f t="shared" si="102"/>
        <v>154.72646317672996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85.882331267570393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85.882331267570393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304</v>
      </c>
      <c r="O90" s="13">
        <f>N90*VLOOKUP('Données projet'!$B$9,Paramètres!$A$1:$I$89,3,0)*VLOOKUP('Données projet'!$B$9,Paramètres!$A$1:$I$89,5,0)</f>
        <v>189.696</v>
      </c>
      <c r="P90" s="13">
        <f t="shared" si="87"/>
        <v>47.472736505152469</v>
      </c>
      <c r="Q90" s="20">
        <f t="shared" si="54"/>
        <v>413.06888274647389</v>
      </c>
      <c r="R90" s="59">
        <f t="shared" si="55"/>
        <v>706.4022160798072</v>
      </c>
      <c r="S90" s="59">
        <f ca="1">AVERAGE(OFFSET($R$3,0,0,'Données projet'!$E$9+1,1))-AVERAGE(OFFSET($H$3,0,0,'Données projet'!$E$9+1,1))</f>
        <v>179.44051550872138</v>
      </c>
      <c r="T90" s="59">
        <f t="shared" si="88"/>
        <v>272.9500808380069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39.776603286930381</v>
      </c>
      <c r="AA90" s="21">
        <f>EXP(-LN(2)/25)*AA89+(1-EXP(-LN(2)/25))/(LN(2)/25)*Calculateur!V90*Calculateur!X90*VLOOKUP('Données projet'!$B$9,Paramètres!$A$1:$I$89,3,0)*0.475*44/12</f>
        <v>9.9632950832650469</v>
      </c>
      <c r="AB90" s="21">
        <f>EXP(-LN(2)/2)*AB89+(1-EXP(-LN(2)/2))/(LN(2)/2)*V90*Y90*VLOOKUP('Données projet'!$B$9,Paramètres!$A$1:$I$89,3,0)*0.475*44/12</f>
        <v>5.8158778181143433E-10</v>
      </c>
      <c r="AC90" s="22">
        <f t="shared" si="57"/>
        <v>49.739898370777013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8.9039999999999964</v>
      </c>
      <c r="AI90" s="13">
        <f>IF('Données projet'!$A$62&gt;35,AI89+AH90-AQ89,IF(A90&lt;'Données projet'!$A$62,$AF$205^A90,IF(A90='Données projet'!$A$62,'Données projet'!$B$62,AI89+AH90-AQ89)))</f>
        <v>395.66800000000001</v>
      </c>
      <c r="AJ90" s="13">
        <f>AI90*VLOOKUP('Données projet'!$B$10,Paramètres!$A$1:$I$89,3,0)*VLOOKUP('Données projet'!$B$10,Paramètres!$A$1:$I$89,5,0)</f>
        <v>190.31630800000002</v>
      </c>
      <c r="AK90" s="13">
        <f t="shared" si="89"/>
        <v>47.609877287569212</v>
      </c>
      <c r="AL90" s="20">
        <f t="shared" si="58"/>
        <v>414.38810604251643</v>
      </c>
      <c r="AM90" s="59">
        <f t="shared" si="59"/>
        <v>707.72143937584974</v>
      </c>
      <c r="AN90" s="59">
        <f ca="1">AVERAGE(OFFSET($AM$3,0,0,'Données projet'!$E$10+1,1))-AVERAGE(OFFSET($H$3,0,0,'Données projet'!$E$10+1,1))</f>
        <v>174.18188687702559</v>
      </c>
      <c r="AO90" s="59">
        <f t="shared" si="90"/>
        <v>32.17353897322738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102.29948553203818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102.29948553203818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0.8600000000003547</v>
      </c>
      <c r="BE90" s="13">
        <f>BD90*VLOOKUP('Données projet'!$B$11,Paramètres!$A$1:$I$89,3,0)*VLOOKUP('Données projet'!$B$11,Paramètres!$A$1:$I$89,5,0)</f>
        <v>0.48074000000019829</v>
      </c>
      <c r="BF90" s="13">
        <f t="shared" si="91"/>
        <v>0.24126147010950588</v>
      </c>
      <c r="BG90" s="20">
        <f t="shared" si="61"/>
        <v>1.2574858937744013</v>
      </c>
      <c r="BH90" s="59">
        <f t="shared" si="62"/>
        <v>294.59081922710772</v>
      </c>
      <c r="BI90" s="59">
        <f ca="1">AVERAGE(OFFSET($BH$3,0,0,'Données projet'!$E$11+1,1))-AVERAGE(OFFSET($H$3,0,0,'Données projet'!$E$11+1,1))</f>
        <v>350.01600895263641</v>
      </c>
      <c r="BJ90" s="59">
        <f t="shared" si="92"/>
        <v>464.08921044376882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197.27410726830897</v>
      </c>
      <c r="BQ90" s="21">
        <f>EXP(-LN(2)/25)*BQ89+(1-EXP(-LN(2)/25))/(LN(2)/25)*Calculateur!BL90*Calculateur!BN90*VLOOKUP('Données projet'!$B$11,Paramètres!$A$1:$I$89,3,0)*0.475*44/12</f>
        <v>10.412511243067135</v>
      </c>
      <c r="BR90" s="21">
        <f>EXP(-LN(2)/2)*BR89+(1-EXP(-LN(2)/2))/(LN(2)/2)*BL90*BO90*VLOOKUP('Données projet'!$B$11,Paramètres!$A$1:$I$89,3,0)*0.475*44/12</f>
        <v>1.9490824030319317E-9</v>
      </c>
      <c r="BS90" s="22">
        <f t="shared" si="63"/>
        <v>207.68661851332519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253.79640000000001</v>
      </c>
      <c r="CA90" s="13">
        <f t="shared" si="93"/>
        <v>61.39816832228076</v>
      </c>
      <c r="CB90" s="20">
        <f t="shared" si="64"/>
        <v>548.96387316130563</v>
      </c>
      <c r="CC90" s="59">
        <f t="shared" si="65"/>
        <v>842.29720649463889</v>
      </c>
      <c r="CD90" s="59">
        <f ca="1">AVERAGE(OFFSET($CC$3,0,0,'Données projet'!$E$12+1,1))-AVERAGE(OFFSET($H$3,0,0,'Données projet'!$E$12+1,1))</f>
        <v>279.49721661620544</v>
      </c>
      <c r="CE90" s="59">
        <f t="shared" si="94"/>
        <v>275.18739333988754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46.285639231157319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46.285639231157319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7.1655555555555566</v>
      </c>
      <c r="CT90" s="12">
        <f>IF('Données projet'!$A$140&gt;35,CT89+CS90-DB89,IF(A90&lt;'Données projet'!$A$140,$CQ$205^A90,IF(A90='Données projet'!$A$140,'Données projet'!$B$140,CT89+CS90-DB89)))</f>
        <v>260.37666666666672</v>
      </c>
      <c r="CU90" s="17">
        <f>CT90*VLOOKUP('Données projet'!$B$13,Paramètres!$A$1:$I$89,3,0)*VLOOKUP('Données projet'!$B$13,Paramètres!$A$1:$I$89,5,0)</f>
        <v>264.02194000000009</v>
      </c>
      <c r="CV90" s="13">
        <f t="shared" si="95"/>
        <v>63.578925603808834</v>
      </c>
      <c r="CW90" s="20">
        <f t="shared" si="67"/>
        <v>570.57150759330045</v>
      </c>
      <c r="CX90" s="59">
        <f t="shared" si="68"/>
        <v>863.90484092663382</v>
      </c>
      <c r="CY90" s="59">
        <f ca="1">AVERAGE(OFFSET($CX$3,0,0,'Données projet'!$E$13+1,1))-AVERAGE(OFFSET($H$3,0,0,'Données projet'!$E$13+1,1))</f>
        <v>402.54350692668021</v>
      </c>
      <c r="CZ90" s="59">
        <f t="shared" si="96"/>
        <v>163.60655196884522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88.272339092582186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88.272339092582186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7.8</v>
      </c>
      <c r="DO90" s="12">
        <f>IF('Données projet'!$A$166&gt;35,DO89+DN90-DW89,IF(A90&lt;'Données projet'!$A$166,$DL$205^A90,IF(A90='Données projet'!$A$166,'Données projet'!$B$166,DO89+DN90-DW89)))</f>
        <v>353.5999999999998</v>
      </c>
      <c r="DP90" s="17">
        <f>DO90*VLOOKUP('Données projet'!$B$14,Paramètres!$A$1:$I$89,3,0)*VLOOKUP('Données projet'!$B$14,Paramètres!$A$1:$I$89,5,0)</f>
        <v>303.38879999999989</v>
      </c>
      <c r="DQ90" s="13">
        <f t="shared" si="97"/>
        <v>71.88642102141435</v>
      </c>
      <c r="DR90" s="20">
        <f t="shared" si="70"/>
        <v>653.60434327896314</v>
      </c>
      <c r="DS90" s="59">
        <f t="shared" si="71"/>
        <v>946.9376766122964</v>
      </c>
      <c r="DT90" s="59">
        <f ca="1">AVERAGE(OFFSET($DS$3,0,0,'Données projet'!$E$14+1,1))-AVERAGE(OFFSET($H$3,0,0,'Données projet'!$E$14+1,1))</f>
        <v>352.76625414822473</v>
      </c>
      <c r="DU90" s="59">
        <f t="shared" si="98"/>
        <v>186.48649111821521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94.735279725950406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94.735279725950406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210.25641030000014</v>
      </c>
      <c r="EK90" s="17">
        <f>EJ90*VLOOKUP('Données projet'!$B$15,Paramètres!$A$1:$I$89,3,0)*VLOOKUP('Données projet'!$B$15,Paramètres!$A$1:$I$89,5,0)</f>
        <v>164.00000003400012</v>
      </c>
      <c r="EL90" s="13">
        <f t="shared" si="99"/>
        <v>41.743425916009095</v>
      </c>
      <c r="EM90" s="20">
        <f t="shared" si="73"/>
        <v>358.3364668629327</v>
      </c>
      <c r="EN90" s="59">
        <f t="shared" si="74"/>
        <v>651.66980019626601</v>
      </c>
      <c r="EO90" s="59">
        <f ca="1">AVERAGE(OFFSET($EN$3,0,0,'Données projet'!$E$15+1,1))-AVERAGE(OFFSET($H$3,0,0,'Données projet'!$E$15+1,1))</f>
        <v>130.66539383144681</v>
      </c>
      <c r="EP90" s="59">
        <f t="shared" si="100"/>
        <v>126.36398121441903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22.611003661102458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22.611003661102458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7.1655555555555566</v>
      </c>
      <c r="FE90" s="12">
        <f>IF('Données projet'!$A$218&gt;35,FE89+FD90-FM89,IF(A90&lt;'Données projet'!$A$218,$FB$205^A90,IF(A90='Données projet'!$A$218,'Données projet'!$B$218,FE89+FD90-FM89)))</f>
        <v>260.37666666666672</v>
      </c>
      <c r="FF90" s="17">
        <f>FE90*VLOOKUP('Données projet'!$B$16,Paramètres!$A$1:$I$89,3,0)*VLOOKUP('Données projet'!$B$16,Paramètres!$A$1:$I$89,5,0)</f>
        <v>251.83631200000008</v>
      </c>
      <c r="FG90" s="13">
        <f t="shared" si="101"/>
        <v>60.978991788797622</v>
      </c>
      <c r="FH90" s="20">
        <f t="shared" si="76"/>
        <v>544.81998743215593</v>
      </c>
      <c r="FI90" s="59">
        <f t="shared" si="77"/>
        <v>838.1533207654893</v>
      </c>
      <c r="FJ90" s="59">
        <f ca="1">AVERAGE(OFFSET($FI$3,0,0,'Données projet'!$E$16+1,1))-AVERAGE(OFFSET($H$3,0,0,'Données projet'!$E$16+1,1))</f>
        <v>380.43199889536805</v>
      </c>
      <c r="FK90" s="59">
        <f t="shared" si="102"/>
        <v>154.72646317672996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84.198231134463015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84.198231134463015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304</v>
      </c>
      <c r="O91" s="13">
        <f>N91*VLOOKUP('Données projet'!$B$9,Paramètres!$A$1:$I$89,3,0)*VLOOKUP('Données projet'!$B$9,Paramètres!$A$1:$I$89,5,0)</f>
        <v>189.696</v>
      </c>
      <c r="P91" s="13">
        <f t="shared" si="87"/>
        <v>47.472736505152469</v>
      </c>
      <c r="Q91" s="20">
        <f t="shared" si="54"/>
        <v>413.06888274647389</v>
      </c>
      <c r="R91" s="59">
        <f t="shared" si="55"/>
        <v>706.4022160798072</v>
      </c>
      <c r="S91" s="59">
        <f ca="1">AVERAGE(OFFSET($R$3,0,0,'Données projet'!$E$9+1,1))-AVERAGE(OFFSET($H$3,0,0,'Données projet'!$E$9+1,1))</f>
        <v>179.44051550872138</v>
      </c>
      <c r="T91" s="59">
        <f t="shared" si="88"/>
        <v>272.9500808380069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38.996608357806075</v>
      </c>
      <c r="AA91" s="21">
        <f>EXP(-LN(2)/25)*AA90+(1-EXP(-LN(2)/25))/(LN(2)/25)*Calculateur!V91*Calculateur!X91*VLOOKUP('Données projet'!$B$9,Paramètres!$A$1:$I$89,3,0)*0.475*44/12</f>
        <v>9.6908482552662463</v>
      </c>
      <c r="AB91" s="21">
        <f>EXP(-LN(2)/2)*AB90+(1-EXP(-LN(2)/2))/(LN(2)/2)*V91*Y91*VLOOKUP('Données projet'!$B$9,Paramètres!$A$1:$I$89,3,0)*0.475*44/12</f>
        <v>4.1124466437410745E-10</v>
      </c>
      <c r="AC91" s="22">
        <f t="shared" si="57"/>
        <v>48.687456613483569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8.9039999999999964</v>
      </c>
      <c r="AI91" s="13">
        <f>IF('Données projet'!$A$62&gt;35,AI90+AH91-AQ90,IF(A91&lt;'Données projet'!$A$62,$AF$205^A91,IF(A91='Données projet'!$A$62,'Données projet'!$B$62,AI90+AH91-AQ90)))</f>
        <v>404.572</v>
      </c>
      <c r="AJ91" s="13">
        <f>AI91*VLOOKUP('Données projet'!$B$10,Paramètres!$A$1:$I$89,3,0)*VLOOKUP('Données projet'!$B$10,Paramètres!$A$1:$I$89,5,0)</f>
        <v>194.59913200000003</v>
      </c>
      <c r="AK91" s="13">
        <f t="shared" si="89"/>
        <v>48.55533591923141</v>
      </c>
      <c r="AL91" s="20">
        <f t="shared" si="58"/>
        <v>423.49403162599475</v>
      </c>
      <c r="AM91" s="59">
        <f t="shared" si="59"/>
        <v>716.82736495932807</v>
      </c>
      <c r="AN91" s="59">
        <f ca="1">AVERAGE(OFFSET($AM$3,0,0,'Données projet'!$E$10+1,1))-AVERAGE(OFFSET($H$3,0,0,'Données projet'!$E$10+1,1))</f>
        <v>174.18188687702559</v>
      </c>
      <c r="AO91" s="59">
        <f t="shared" si="90"/>
        <v>32.17353897322738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100.29345501727994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100.29345501727994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0.8600000000003547</v>
      </c>
      <c r="BE91" s="13">
        <f>BD91*VLOOKUP('Données projet'!$B$11,Paramètres!$A$1:$I$89,3,0)*VLOOKUP('Données projet'!$B$11,Paramètres!$A$1:$I$89,5,0)</f>
        <v>0.48074000000019829</v>
      </c>
      <c r="BF91" s="13">
        <f t="shared" si="91"/>
        <v>0.24126147010950588</v>
      </c>
      <c r="BG91" s="20">
        <f t="shared" si="61"/>
        <v>1.2574858937744013</v>
      </c>
      <c r="BH91" s="59">
        <f t="shared" si="62"/>
        <v>294.59081922710772</v>
      </c>
      <c r="BI91" s="59">
        <f ca="1">AVERAGE(OFFSET($BH$3,0,0,'Données projet'!$E$11+1,1))-AVERAGE(OFFSET($H$3,0,0,'Données projet'!$E$11+1,1))</f>
        <v>350.01600895263641</v>
      </c>
      <c r="BJ91" s="59">
        <f t="shared" si="92"/>
        <v>464.08921044376882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193.40568235010173</v>
      </c>
      <c r="BQ91" s="21">
        <f>EXP(-LN(2)/25)*BQ90+(1-EXP(-LN(2)/25))/(LN(2)/25)*Calculateur!BL91*Calculateur!BN91*VLOOKUP('Données projet'!$B$11,Paramètres!$A$1:$I$89,3,0)*0.475*44/12</f>
        <v>10.127780575555295</v>
      </c>
      <c r="BR91" s="21">
        <f>EXP(-LN(2)/2)*BR90+(1-EXP(-LN(2)/2))/(LN(2)/2)*BL91*BO91*VLOOKUP('Données projet'!$B$11,Paramètres!$A$1:$I$89,3,0)*0.475*44/12</f>
        <v>1.3782093842752504E-9</v>
      </c>
      <c r="BS91" s="22">
        <f t="shared" si="63"/>
        <v>203.53346292703523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253.79640000000001</v>
      </c>
      <c r="CA91" s="13">
        <f t="shared" si="93"/>
        <v>61.39816832228076</v>
      </c>
      <c r="CB91" s="20">
        <f t="shared" si="64"/>
        <v>548.96387316130563</v>
      </c>
      <c r="CC91" s="59">
        <f t="shared" si="65"/>
        <v>842.29720649463889</v>
      </c>
      <c r="CD91" s="59">
        <f ca="1">AVERAGE(OFFSET($CC$3,0,0,'Données projet'!$E$12+1,1))-AVERAGE(OFFSET($H$3,0,0,'Données projet'!$E$12+1,1))</f>
        <v>279.49721661620544</v>
      </c>
      <c r="CE91" s="59">
        <f t="shared" si="94"/>
        <v>275.18739333988754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45.378006077286628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45.378006077286628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7.1655555555555566</v>
      </c>
      <c r="CT91" s="12">
        <f>IF('Données projet'!$A$140&gt;35,CT90+CS91-DB90,IF(A91&lt;'Données projet'!$A$140,$CQ$205^A91,IF(A91='Données projet'!$A$140,'Données projet'!$B$140,CT90+CS91-DB90)))</f>
        <v>267.54222222222228</v>
      </c>
      <c r="CU91" s="17">
        <f>CT91*VLOOKUP('Données projet'!$B$13,Paramètres!$A$1:$I$89,3,0)*VLOOKUP('Données projet'!$B$13,Paramètres!$A$1:$I$89,5,0)</f>
        <v>271.28781333333342</v>
      </c>
      <c r="CV91" s="13">
        <f t="shared" si="95"/>
        <v>65.12250004512164</v>
      </c>
      <c r="CW91" s="20">
        <f t="shared" si="67"/>
        <v>585.9146291341425</v>
      </c>
      <c r="CX91" s="59">
        <f t="shared" si="68"/>
        <v>879.24796246747587</v>
      </c>
      <c r="CY91" s="59">
        <f ca="1">AVERAGE(OFFSET($CX$3,0,0,'Données projet'!$E$13+1,1))-AVERAGE(OFFSET($H$3,0,0,'Données projet'!$E$13+1,1))</f>
        <v>402.54350692668021</v>
      </c>
      <c r="CZ91" s="59">
        <f t="shared" si="96"/>
        <v>163.60655196884522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86.541372363787161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86.541372363787161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7.8</v>
      </c>
      <c r="DO91" s="12">
        <f>IF('Données projet'!$A$166&gt;35,DO90+DN91-DW90,IF(A91&lt;'Données projet'!$A$166,$DL$205^A91,IF(A91='Données projet'!$A$166,'Données projet'!$B$166,DO90+DN91-DW90)))</f>
        <v>361.39999999999981</v>
      </c>
      <c r="DP91" s="17">
        <f>DO91*VLOOKUP('Données projet'!$B$14,Paramètres!$A$1:$I$89,3,0)*VLOOKUP('Données projet'!$B$14,Paramètres!$A$1:$I$89,5,0)</f>
        <v>310.08119999999985</v>
      </c>
      <c r="DQ91" s="13">
        <f t="shared" si="97"/>
        <v>73.285787705139427</v>
      </c>
      <c r="DR91" s="20">
        <f t="shared" si="70"/>
        <v>667.69750358645092</v>
      </c>
      <c r="DS91" s="59">
        <f t="shared" si="71"/>
        <v>961.03083691978418</v>
      </c>
      <c r="DT91" s="59">
        <f ca="1">AVERAGE(OFFSET($DS$3,0,0,'Données projet'!$E$14+1,1))-AVERAGE(OFFSET($H$3,0,0,'Données projet'!$E$14+1,1))</f>
        <v>352.76625414822473</v>
      </c>
      <c r="DU91" s="59">
        <f t="shared" si="98"/>
        <v>186.48649111821521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92.877578673339571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92.877578673339571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210.25641030000014</v>
      </c>
      <c r="EK91" s="17">
        <f>EJ91*VLOOKUP('Données projet'!$B$15,Paramètres!$A$1:$I$89,3,0)*VLOOKUP('Données projet'!$B$15,Paramètres!$A$1:$I$89,5,0)</f>
        <v>164.00000003400012</v>
      </c>
      <c r="EL91" s="13">
        <f t="shared" si="99"/>
        <v>41.743425916009095</v>
      </c>
      <c r="EM91" s="20">
        <f t="shared" si="73"/>
        <v>358.3364668629327</v>
      </c>
      <c r="EN91" s="59">
        <f t="shared" si="74"/>
        <v>651.66980019626601</v>
      </c>
      <c r="EO91" s="59">
        <f ca="1">AVERAGE(OFFSET($EN$3,0,0,'Données projet'!$E$15+1,1))-AVERAGE(OFFSET($H$3,0,0,'Données projet'!$E$15+1,1))</f>
        <v>130.66539383144681</v>
      </c>
      <c r="EP91" s="59">
        <f t="shared" si="100"/>
        <v>126.36398121441903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22.167615670658691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22.167615670658691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7.1655555555555566</v>
      </c>
      <c r="FE91" s="12">
        <f>IF('Données projet'!$A$218&gt;35,FE90+FD91-FM90,IF(A91&lt;'Données projet'!$A$218,$FB$205^A91,IF(A91='Données projet'!$A$218,'Données projet'!$B$218,FE90+FD91-FM90)))</f>
        <v>267.54222222222228</v>
      </c>
      <c r="FF91" s="17">
        <f>FE91*VLOOKUP('Données projet'!$B$16,Paramètres!$A$1:$I$89,3,0)*VLOOKUP('Données projet'!$B$16,Paramètres!$A$1:$I$89,5,0)</f>
        <v>258.7668373333334</v>
      </c>
      <c r="FG91" s="13">
        <f t="shared" si="101"/>
        <v>62.459444820809424</v>
      </c>
      <c r="FH91" s="20">
        <f t="shared" si="76"/>
        <v>559.46910808513201</v>
      </c>
      <c r="FI91" s="59">
        <f t="shared" si="77"/>
        <v>852.80244141846538</v>
      </c>
      <c r="FJ91" s="59">
        <f ca="1">AVERAGE(OFFSET($FI$3,0,0,'Données projet'!$E$16+1,1))-AVERAGE(OFFSET($H$3,0,0,'Données projet'!$E$16+1,1))</f>
        <v>380.43199889536805</v>
      </c>
      <c r="FK91" s="59">
        <f t="shared" si="102"/>
        <v>154.72646317672996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82.547155177766214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82.547155177766214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304</v>
      </c>
      <c r="O92" s="13">
        <f>N92*VLOOKUP('Données projet'!$B$9,Paramètres!$A$1:$I$89,3,0)*VLOOKUP('Données projet'!$B$9,Paramètres!$A$1:$I$89,5,0)</f>
        <v>189.696</v>
      </c>
      <c r="P92" s="13">
        <f t="shared" si="87"/>
        <v>47.472736505152469</v>
      </c>
      <c r="Q92" s="20">
        <f t="shared" si="54"/>
        <v>413.06888274647389</v>
      </c>
      <c r="R92" s="59">
        <f t="shared" si="55"/>
        <v>706.4022160798072</v>
      </c>
      <c r="S92" s="59">
        <f ca="1">AVERAGE(OFFSET($R$3,0,0,'Données projet'!$E$9+1,1))-AVERAGE(OFFSET($H$3,0,0,'Données projet'!$E$9+1,1))</f>
        <v>179.44051550872138</v>
      </c>
      <c r="T92" s="59">
        <f t="shared" si="88"/>
        <v>272.9500808380069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38.231908653491963</v>
      </c>
      <c r="AA92" s="21">
        <f>EXP(-LN(2)/25)*AA91+(1-EXP(-LN(2)/25))/(LN(2)/25)*Calculateur!V92*Calculateur!X92*VLOOKUP('Données projet'!$B$9,Paramètres!$A$1:$I$89,3,0)*0.475*44/12</f>
        <v>9.4258515001064289</v>
      </c>
      <c r="AB92" s="21">
        <f>EXP(-LN(2)/2)*AB91+(1-EXP(-LN(2)/2))/(LN(2)/2)*V92*Y92*VLOOKUP('Données projet'!$B$9,Paramètres!$A$1:$I$89,3,0)*0.475*44/12</f>
        <v>2.9079389090571717E-10</v>
      </c>
      <c r="AC92" s="22">
        <f t="shared" si="57"/>
        <v>47.657760153889186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8.9039999999999964</v>
      </c>
      <c r="AI92" s="13">
        <f>IF('Données projet'!$A$62&gt;35,AI91+AH92-AQ91,IF(A92&lt;'Données projet'!$A$62,$AF$205^A92,IF(A92='Données projet'!$A$62,'Données projet'!$B$62,AI91+AH92-AQ91)))</f>
        <v>413.476</v>
      </c>
      <c r="AJ92" s="13">
        <f>AI92*VLOOKUP('Données projet'!$B$10,Paramètres!$A$1:$I$89,3,0)*VLOOKUP('Données projet'!$B$10,Paramètres!$A$1:$I$89,5,0)</f>
        <v>198.881956</v>
      </c>
      <c r="AK92" s="13">
        <f t="shared" si="89"/>
        <v>49.498375384537965</v>
      </c>
      <c r="AL92" s="20">
        <f t="shared" si="58"/>
        <v>432.59574382807028</v>
      </c>
      <c r="AM92" s="59">
        <f t="shared" si="59"/>
        <v>725.9290771614036</v>
      </c>
      <c r="AN92" s="59">
        <f ca="1">AVERAGE(OFFSET($AM$3,0,0,'Données projet'!$E$10+1,1))-AVERAGE(OFFSET($H$3,0,0,'Données projet'!$E$10+1,1))</f>
        <v>174.18188687702559</v>
      </c>
      <c r="AO92" s="59">
        <f t="shared" si="90"/>
        <v>32.17353897322738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98.326761537358308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98.326761537358308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0.8600000000003547</v>
      </c>
      <c r="BE92" s="13">
        <f>BD92*VLOOKUP('Données projet'!$B$11,Paramètres!$A$1:$I$89,3,0)*VLOOKUP('Données projet'!$B$11,Paramètres!$A$1:$I$89,5,0)</f>
        <v>0.48074000000019829</v>
      </c>
      <c r="BF92" s="13">
        <f t="shared" si="91"/>
        <v>0.24126147010950588</v>
      </c>
      <c r="BG92" s="20">
        <f t="shared" si="61"/>
        <v>1.2574858937744013</v>
      </c>
      <c r="BH92" s="59">
        <f t="shared" si="62"/>
        <v>294.59081922710772</v>
      </c>
      <c r="BI92" s="59">
        <f ca="1">AVERAGE(OFFSET($BH$3,0,0,'Données projet'!$E$11+1,1))-AVERAGE(OFFSET($H$3,0,0,'Données projet'!$E$11+1,1))</f>
        <v>350.01600895263641</v>
      </c>
      <c r="BJ92" s="59">
        <f t="shared" si="92"/>
        <v>464.08921044376882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189.61311488503432</v>
      </c>
      <c r="BQ92" s="21">
        <f>EXP(-LN(2)/25)*BQ91+(1-EXP(-LN(2)/25))/(LN(2)/25)*Calculateur!BL92*Calculateur!BN92*VLOOKUP('Données projet'!$B$11,Paramètres!$A$1:$I$89,3,0)*0.475*44/12</f>
        <v>9.8508358831199025</v>
      </c>
      <c r="BR92" s="21">
        <f>EXP(-LN(2)/2)*BR91+(1-EXP(-LN(2)/2))/(LN(2)/2)*BL92*BO92*VLOOKUP('Données projet'!$B$11,Paramètres!$A$1:$I$89,3,0)*0.475*44/12</f>
        <v>9.7454120151596584E-10</v>
      </c>
      <c r="BS92" s="22">
        <f t="shared" si="63"/>
        <v>199.46395076912879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253.79640000000001</v>
      </c>
      <c r="CA92" s="13">
        <f t="shared" si="93"/>
        <v>61.39816832228076</v>
      </c>
      <c r="CB92" s="20">
        <f t="shared" si="64"/>
        <v>548.96387316130563</v>
      </c>
      <c r="CC92" s="59">
        <f t="shared" si="65"/>
        <v>842.29720649463889</v>
      </c>
      <c r="CD92" s="59">
        <f ca="1">AVERAGE(OFFSET($CC$3,0,0,'Données projet'!$E$12+1,1))-AVERAGE(OFFSET($H$3,0,0,'Données projet'!$E$12+1,1))</f>
        <v>279.49721661620544</v>
      </c>
      <c r="CE92" s="59">
        <f t="shared" si="94"/>
        <v>275.18739333988754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44.488171055961786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44.488171055961786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7.1655555555555566</v>
      </c>
      <c r="CT92" s="12">
        <f>IF('Données projet'!$A$140&gt;35,CT91+CS92-DB91,IF(A92&lt;'Données projet'!$A$140,$CQ$205^A92,IF(A92='Données projet'!$A$140,'Données projet'!$B$140,CT91+CS92-DB91)))</f>
        <v>274.70777777777784</v>
      </c>
      <c r="CU92" s="17">
        <f>CT92*VLOOKUP('Données projet'!$B$13,Paramètres!$A$1:$I$89,3,0)*VLOOKUP('Données projet'!$B$13,Paramètres!$A$1:$I$89,5,0)</f>
        <v>278.55368666666675</v>
      </c>
      <c r="CV92" s="13">
        <f t="shared" si="95"/>
        <v>66.661269234297436</v>
      </c>
      <c r="CW92" s="20">
        <f t="shared" si="67"/>
        <v>601.24938152751258</v>
      </c>
      <c r="CX92" s="59">
        <f t="shared" si="68"/>
        <v>894.58271486084595</v>
      </c>
      <c r="CY92" s="59">
        <f ca="1">AVERAGE(OFFSET($CX$3,0,0,'Données projet'!$E$13+1,1))-AVERAGE(OFFSET($H$3,0,0,'Données projet'!$E$13+1,1))</f>
        <v>402.54350692668021</v>
      </c>
      <c r="CZ92" s="59">
        <f t="shared" si="96"/>
        <v>163.60655196884522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84.844348836758343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84.844348836758343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7.8</v>
      </c>
      <c r="DO92" s="12">
        <f>IF('Données projet'!$A$166&gt;35,DO91+DN92-DW91,IF(A92&lt;'Données projet'!$A$166,$DL$205^A92,IF(A92='Données projet'!$A$166,'Données projet'!$B$166,DO91+DN92-DW91)))</f>
        <v>369.19999999999982</v>
      </c>
      <c r="DP92" s="17">
        <f>DO92*VLOOKUP('Données projet'!$B$14,Paramètres!$A$1:$I$89,3,0)*VLOOKUP('Données projet'!$B$14,Paramètres!$A$1:$I$89,5,0)</f>
        <v>316.77359999999987</v>
      </c>
      <c r="DQ92" s="13">
        <f t="shared" si="97"/>
        <v>74.681642981668006</v>
      </c>
      <c r="DR92" s="20">
        <f t="shared" si="70"/>
        <v>681.78454819307149</v>
      </c>
      <c r="DS92" s="59">
        <f t="shared" si="71"/>
        <v>975.11788152640474</v>
      </c>
      <c r="DT92" s="59">
        <f ca="1">AVERAGE(OFFSET($DS$3,0,0,'Données projet'!$E$14+1,1))-AVERAGE(OFFSET($H$3,0,0,'Données projet'!$E$14+1,1))</f>
        <v>352.76625414822473</v>
      </c>
      <c r="DU92" s="59">
        <f t="shared" si="98"/>
        <v>186.48649111821521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91.056306005284682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91.056306005284682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210.25641030000014</v>
      </c>
      <c r="EK92" s="17">
        <f>EJ92*VLOOKUP('Données projet'!$B$15,Paramètres!$A$1:$I$89,3,0)*VLOOKUP('Données projet'!$B$15,Paramètres!$A$1:$I$89,5,0)</f>
        <v>164.00000003400012</v>
      </c>
      <c r="EL92" s="13">
        <f t="shared" si="99"/>
        <v>41.743425916009095</v>
      </c>
      <c r="EM92" s="20">
        <f t="shared" si="73"/>
        <v>358.3364668629327</v>
      </c>
      <c r="EN92" s="59">
        <f t="shared" si="74"/>
        <v>651.66980019626601</v>
      </c>
      <c r="EO92" s="59">
        <f ca="1">AVERAGE(OFFSET($EN$3,0,0,'Données projet'!$E$15+1,1))-AVERAGE(OFFSET($H$3,0,0,'Données projet'!$E$15+1,1))</f>
        <v>130.66539383144681</v>
      </c>
      <c r="EP92" s="59">
        <f t="shared" si="100"/>
        <v>126.36398121441903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21.732922248267553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21.732922248267553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7.1655555555555566</v>
      </c>
      <c r="FE92" s="12">
        <f>IF('Données projet'!$A$218&gt;35,FE91+FD92-FM91,IF(A92&lt;'Données projet'!$A$218,$FB$205^A92,IF(A92='Données projet'!$A$218,'Données projet'!$B$218,FE91+FD92-FM91)))</f>
        <v>274.70777777777784</v>
      </c>
      <c r="FF92" s="17">
        <f>FE92*VLOOKUP('Données projet'!$B$16,Paramètres!$A$1:$I$89,3,0)*VLOOKUP('Données projet'!$B$16,Paramètres!$A$1:$I$89,5,0)</f>
        <v>265.69736266666672</v>
      </c>
      <c r="FG92" s="13">
        <f t="shared" si="101"/>
        <v>63.9352891019211</v>
      </c>
      <c r="FH92" s="20">
        <f t="shared" si="76"/>
        <v>574.11020183029041</v>
      </c>
      <c r="FI92" s="59">
        <f t="shared" si="77"/>
        <v>867.44353516362366</v>
      </c>
      <c r="FJ92" s="59">
        <f ca="1">AVERAGE(OFFSET($FI$3,0,0,'Données projet'!$E$16+1,1))-AVERAGE(OFFSET($H$3,0,0,'Données projet'!$E$16+1,1))</f>
        <v>380.43199889536805</v>
      </c>
      <c r="FK92" s="59">
        <f t="shared" si="102"/>
        <v>154.72646317672996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80.928455813523342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80.928455813523342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304</v>
      </c>
      <c r="O93" s="13">
        <f>N93*VLOOKUP('Données projet'!$B$9,Paramètres!$A$1:$I$89,3,0)*VLOOKUP('Données projet'!$B$9,Paramètres!$A$1:$I$89,5,0)</f>
        <v>189.696</v>
      </c>
      <c r="P93" s="13">
        <f t="shared" si="87"/>
        <v>47.472736505152469</v>
      </c>
      <c r="Q93" s="20">
        <f t="shared" si="54"/>
        <v>413.06888274647389</v>
      </c>
      <c r="R93" s="59">
        <f t="shared" si="55"/>
        <v>706.4022160798072</v>
      </c>
      <c r="S93" s="59">
        <f ca="1">AVERAGE(OFFSET($R$3,0,0,'Données projet'!$E$9+1,1))-AVERAGE(OFFSET($H$3,0,0,'Données projet'!$E$9+1,1))</f>
        <v>179.44051550872138</v>
      </c>
      <c r="T93" s="59">
        <f t="shared" si="88"/>
        <v>272.9500808380069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37.482204243958691</v>
      </c>
      <c r="AA93" s="21">
        <f>EXP(-LN(2)/25)*AA92+(1-EXP(-LN(2)/25))/(LN(2)/25)*Calculateur!V93*Calculateur!X93*VLOOKUP('Données projet'!$B$9,Paramètres!$A$1:$I$89,3,0)*0.475*44/12</f>
        <v>9.1681010951520321</v>
      </c>
      <c r="AB93" s="21">
        <f>EXP(-LN(2)/2)*AB92+(1-EXP(-LN(2)/2))/(LN(2)/2)*V93*Y93*VLOOKUP('Données projet'!$B$9,Paramètres!$A$1:$I$89,3,0)*0.475*44/12</f>
        <v>2.0562233218705372E-10</v>
      </c>
      <c r="AC93" s="22">
        <f t="shared" si="57"/>
        <v>46.650305339316347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422.38</v>
      </c>
      <c r="AG93" s="12">
        <f>VLOOKUP(A93,'Données projet'!$A$61:$I$81,9,0)</f>
        <v>8.9039999999999964</v>
      </c>
      <c r="AH93" s="12">
        <f t="array" ref="AH93">INDEX(AG:AG,MIN(IF(ISNUMBER(AG93:AG289),ROW(AG93:AG289),"")))</f>
        <v>8.9039999999999964</v>
      </c>
      <c r="AI93" s="13">
        <f>IF('Données projet'!$A$62&gt;35,AI92+AH93-AQ92,IF(A93&lt;'Données projet'!$A$62,$AF$205^A93,IF(A93='Données projet'!$A$62,'Données projet'!$B$62,AI92+AH93-AQ92)))</f>
        <v>422.38</v>
      </c>
      <c r="AJ93" s="13">
        <f>AI93*VLOOKUP('Données projet'!$B$10,Paramètres!$A$1:$I$89,3,0)*VLOOKUP('Données projet'!$B$10,Paramètres!$A$1:$I$89,5,0)</f>
        <v>203.16478000000001</v>
      </c>
      <c r="AK93" s="13">
        <f t="shared" si="89"/>
        <v>50.439053779192271</v>
      </c>
      <c r="AL93" s="20">
        <f t="shared" si="58"/>
        <v>441.69334383209321</v>
      </c>
      <c r="AM93" s="59">
        <f t="shared" si="59"/>
        <v>735.02667716542646</v>
      </c>
      <c r="AN93" s="59">
        <f ca="1">AVERAGE(OFFSET($AM$3,0,0,'Données projet'!$E$10+1,1))-AVERAGE(OFFSET($H$3,0,0,'Données projet'!$E$10+1,1))</f>
        <v>174.18188687702559</v>
      </c>
      <c r="AO93" s="59">
        <f t="shared" si="90"/>
        <v>32.17353897322738</v>
      </c>
      <c r="AP93" s="15">
        <f>IF(ISNA(VLOOKUP(A93,'Données projet'!$A$61:$I$81,3,0)),0,VLOOKUP(A93,'Données projet'!$A$61:$I$81,3,0))</f>
        <v>5</v>
      </c>
      <c r="AQ93" s="15">
        <f>IF(ISNA(VLOOKUP(A93,'Données projet'!$A$61:$I$81,4,0)),0,VLOOKUP(A93,'Données projet'!$A$61:$I$81,4,0))</f>
        <v>63.34</v>
      </c>
      <c r="AR93" s="16">
        <f>IF(ISNA(VLOOKUP(A93,'Données projet'!$A$61:$I$81,5,0)),0%,VLOOKUP(A93,'Données projet'!$A$61:$I$81,5,0)*VLOOKUP('Données projet'!$B$10,Paramètres!$A$1:$I$89,7,0))</f>
        <v>0.55000000000000004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118.62733969133821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118.62733969133821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0.8600000000003547</v>
      </c>
      <c r="BE93" s="13">
        <f>BD93*VLOOKUP('Données projet'!$B$11,Paramètres!$A$1:$I$89,3,0)*VLOOKUP('Données projet'!$B$11,Paramètres!$A$1:$I$89,5,0)</f>
        <v>0.48074000000019829</v>
      </c>
      <c r="BF93" s="13">
        <f t="shared" si="91"/>
        <v>0.24126147010950588</v>
      </c>
      <c r="BG93" s="20">
        <f t="shared" si="61"/>
        <v>1.2574858937744013</v>
      </c>
      <c r="BH93" s="59">
        <f t="shared" si="62"/>
        <v>294.59081922710772</v>
      </c>
      <c r="BI93" s="59">
        <f ca="1">AVERAGE(OFFSET($BH$3,0,0,'Données projet'!$E$11+1,1))-AVERAGE(OFFSET($H$3,0,0,'Données projet'!$E$11+1,1))</f>
        <v>350.01600895263641</v>
      </c>
      <c r="BJ93" s="59">
        <f t="shared" si="92"/>
        <v>464.08921044376882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185.89491735471913</v>
      </c>
      <c r="BQ93" s="21">
        <f>EXP(-LN(2)/25)*BQ92+(1-EXP(-LN(2)/25))/(LN(2)/25)*Calculateur!BL93*Calculateur!BN93*VLOOKUP('Données projet'!$B$11,Paramètres!$A$1:$I$89,3,0)*0.475*44/12</f>
        <v>9.5814642578630433</v>
      </c>
      <c r="BR93" s="21">
        <f>EXP(-LN(2)/2)*BR92+(1-EXP(-LN(2)/2))/(LN(2)/2)*BL93*BO93*VLOOKUP('Données projet'!$B$11,Paramètres!$A$1:$I$89,3,0)*0.475*44/12</f>
        <v>6.891046921376252E-10</v>
      </c>
      <c r="BS93" s="22">
        <f t="shared" si="63"/>
        <v>195.47638161327129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253.79640000000001</v>
      </c>
      <c r="CA93" s="13">
        <f t="shared" si="93"/>
        <v>61.39816832228076</v>
      </c>
      <c r="CB93" s="20">
        <f t="shared" si="64"/>
        <v>548.96387316130563</v>
      </c>
      <c r="CC93" s="59">
        <f t="shared" si="65"/>
        <v>842.29720649463889</v>
      </c>
      <c r="CD93" s="59">
        <f ca="1">AVERAGE(OFFSET($CC$3,0,0,'Données projet'!$E$12+1,1))-AVERAGE(OFFSET($H$3,0,0,'Données projet'!$E$12+1,1))</f>
        <v>279.49721661620544</v>
      </c>
      <c r="CE93" s="59">
        <f t="shared" si="94"/>
        <v>275.18739333988754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43.615785156659349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43.615785156659349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7.1655555555555566</v>
      </c>
      <c r="CT93" s="12">
        <f>IF('Données projet'!$A$140&gt;35,CT92+CS93-DB92,IF(A93&lt;'Données projet'!$A$140,$CQ$205^A93,IF(A93='Données projet'!$A$140,'Données projet'!$B$140,CT92+CS93-DB92)))</f>
        <v>281.87333333333339</v>
      </c>
      <c r="CU93" s="17">
        <f>CT93*VLOOKUP('Données projet'!$B$13,Paramètres!$A$1:$I$89,3,0)*VLOOKUP('Données projet'!$B$13,Paramètres!$A$1:$I$89,5,0)</f>
        <v>285.81956000000008</v>
      </c>
      <c r="CV93" s="13">
        <f t="shared" si="95"/>
        <v>68.195372922513513</v>
      </c>
      <c r="CW93" s="20">
        <f t="shared" si="67"/>
        <v>616.57600817337777</v>
      </c>
      <c r="CX93" s="59">
        <f t="shared" si="68"/>
        <v>909.90934150671114</v>
      </c>
      <c r="CY93" s="59">
        <f ca="1">AVERAGE(OFFSET($CX$3,0,0,'Données projet'!$E$13+1,1))-AVERAGE(OFFSET($H$3,0,0,'Données projet'!$E$13+1,1))</f>
        <v>402.54350692668021</v>
      </c>
      <c r="CZ93" s="59">
        <f t="shared" si="96"/>
        <v>163.60655196884522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83.180602906012425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83.180602906012425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377</v>
      </c>
      <c r="DM93" s="12">
        <f>VLOOKUP(A93,'Données projet'!$A$165:$I$185,9,0)</f>
        <v>7.8</v>
      </c>
      <c r="DN93" s="12">
        <f t="array" ref="DN93">INDEX(DM:DM,MIN(IF(ISNUMBER(DM93:DM289),ROW(DM93:DM289),"")))</f>
        <v>7.8</v>
      </c>
      <c r="DO93" s="12">
        <f>IF('Données projet'!$A$166&gt;35,DO92+DN93-DW92,IF(A93&lt;'Données projet'!$A$166,$DL$205^A93,IF(A93='Données projet'!$A$166,'Données projet'!$B$166,DO92+DN93-DW92)))</f>
        <v>376.99999999999983</v>
      </c>
      <c r="DP93" s="17">
        <f>DO93*VLOOKUP('Données projet'!$B$14,Paramètres!$A$1:$I$89,3,0)*VLOOKUP('Données projet'!$B$14,Paramètres!$A$1:$I$89,5,0)</f>
        <v>323.46599999999989</v>
      </c>
      <c r="DQ93" s="13">
        <f t="shared" si="97"/>
        <v>76.074069581431147</v>
      </c>
      <c r="DR93" s="20">
        <f t="shared" si="70"/>
        <v>695.86562118765903</v>
      </c>
      <c r="DS93" s="59">
        <f t="shared" si="71"/>
        <v>989.1989545209924</v>
      </c>
      <c r="DT93" s="59">
        <f ca="1">AVERAGE(OFFSET($DS$3,0,0,'Données projet'!$E$14+1,1))-AVERAGE(OFFSET($H$3,0,0,'Données projet'!$E$14+1,1))</f>
        <v>352.76625414822473</v>
      </c>
      <c r="DU93" s="59">
        <f t="shared" si="98"/>
        <v>186.48649111821521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26</v>
      </c>
      <c r="DX93" s="16">
        <f>IF(ISNA(VLOOKUP(A93,'Données projet'!$A$165:$I$185,5,0)),0%,VLOOKUP(A93,'Données projet'!$A$165:$I$185,5,0)*VLOOKUP('Données projet'!$B$14,Paramètres!$A$1:$I$89,7,0))</f>
        <v>0.53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102.34098899349287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102.34098899349287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210.25641030000014</v>
      </c>
      <c r="EK93" s="17">
        <f>EJ93*VLOOKUP('Données projet'!$B$15,Paramètres!$A$1:$I$89,3,0)*VLOOKUP('Données projet'!$B$15,Paramètres!$A$1:$I$89,5,0)</f>
        <v>164.00000003400012</v>
      </c>
      <c r="EL93" s="13">
        <f t="shared" si="99"/>
        <v>41.743425916009095</v>
      </c>
      <c r="EM93" s="20">
        <f t="shared" si="73"/>
        <v>358.3364668629327</v>
      </c>
      <c r="EN93" s="59">
        <f t="shared" si="74"/>
        <v>651.66980019626601</v>
      </c>
      <c r="EO93" s="59">
        <f ca="1">AVERAGE(OFFSET($EN$3,0,0,'Données projet'!$E$15+1,1))-AVERAGE(OFFSET($H$3,0,0,'Données projet'!$E$15+1,1))</f>
        <v>130.66539383144681</v>
      </c>
      <c r="EP93" s="59">
        <f t="shared" si="100"/>
        <v>126.36398121441903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21.306752898752698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21.306752898752698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7.1655555555555566</v>
      </c>
      <c r="FE93" s="12">
        <f>IF('Données projet'!$A$218&gt;35,FE92+FD93-FM92,IF(A93&lt;'Données projet'!$A$218,$FB$205^A93,IF(A93='Données projet'!$A$218,'Données projet'!$B$218,FE92+FD93-FM92)))</f>
        <v>281.87333333333339</v>
      </c>
      <c r="FF93" s="17">
        <f>FE93*VLOOKUP('Données projet'!$B$16,Paramètres!$A$1:$I$89,3,0)*VLOOKUP('Données projet'!$B$16,Paramètres!$A$1:$I$89,5,0)</f>
        <v>272.6278880000001</v>
      </c>
      <c r="FG93" s="13">
        <f t="shared" si="101"/>
        <v>65.406658668463251</v>
      </c>
      <c r="FH93" s="20">
        <f t="shared" si="76"/>
        <v>588.7435021142403</v>
      </c>
      <c r="FI93" s="59">
        <f t="shared" si="77"/>
        <v>882.07683544757356</v>
      </c>
      <c r="FJ93" s="59">
        <f ca="1">AVERAGE(OFFSET($FI$3,0,0,'Données projet'!$E$16+1,1))-AVERAGE(OFFSET($H$3,0,0,'Données projet'!$E$16+1,1))</f>
        <v>380.43199889536805</v>
      </c>
      <c r="FK93" s="59">
        <f t="shared" si="102"/>
        <v>154.72646317672996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79.341498156504159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79.341498156504159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304</v>
      </c>
      <c r="O94" s="13">
        <f>N94*VLOOKUP('Données projet'!$B$9,Paramètres!$A$1:$I$89,3,0)*VLOOKUP('Données projet'!$B$9,Paramètres!$A$1:$I$89,5,0)</f>
        <v>189.696</v>
      </c>
      <c r="P94" s="13">
        <f t="shared" si="87"/>
        <v>47.472736505152469</v>
      </c>
      <c r="Q94" s="20">
        <f t="shared" si="54"/>
        <v>413.06888274647389</v>
      </c>
      <c r="R94" s="59">
        <f t="shared" si="55"/>
        <v>706.4022160798072</v>
      </c>
      <c r="S94" s="59">
        <f ca="1">AVERAGE(OFFSET($R$3,0,0,'Données projet'!$E$9+1,1))-AVERAGE(OFFSET($H$3,0,0,'Données projet'!$E$9+1,1))</f>
        <v>179.44051550872138</v>
      </c>
      <c r="T94" s="59">
        <f t="shared" si="88"/>
        <v>272.9500808380069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36.747201080621828</v>
      </c>
      <c r="AA94" s="21">
        <f>EXP(-LN(2)/25)*AA93+(1-EXP(-LN(2)/25))/(LN(2)/25)*Calculateur!V94*Calculateur!X94*VLOOKUP('Données projet'!$B$9,Paramètres!$A$1:$I$89,3,0)*0.475*44/12</f>
        <v>8.917398888575617</v>
      </c>
      <c r="AB94" s="21">
        <f>EXP(-LN(2)/2)*AB93+(1-EXP(-LN(2)/2))/(LN(2)/2)*V94*Y94*VLOOKUP('Données projet'!$B$9,Paramètres!$A$1:$I$89,3,0)*0.475*44/12</f>
        <v>1.4539694545285858E-10</v>
      </c>
      <c r="AC94" s="22">
        <f t="shared" si="57"/>
        <v>45.664599969342845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7.7020000000000097</v>
      </c>
      <c r="AI94" s="13">
        <f>IF('Données projet'!$A$62&gt;35,AI93+AH94-AQ93,IF(A94&lt;'Données projet'!$A$62,$AF$205^A94,IF(A94='Données projet'!$A$62,'Données projet'!$B$62,AI93+AH94-AQ93)))</f>
        <v>366.74199999999996</v>
      </c>
      <c r="AJ94" s="13">
        <f>AI94*VLOOKUP('Données projet'!$B$10,Paramètres!$A$1:$I$89,3,0)*VLOOKUP('Données projet'!$B$10,Paramètres!$A$1:$I$89,5,0)</f>
        <v>176.40290199999998</v>
      </c>
      <c r="AK94" s="13">
        <f t="shared" si="89"/>
        <v>44.520960353767087</v>
      </c>
      <c r="AL94" s="20">
        <f t="shared" si="58"/>
        <v>384.77572693281098</v>
      </c>
      <c r="AM94" s="59">
        <f t="shared" si="59"/>
        <v>678.1090602661443</v>
      </c>
      <c r="AN94" s="59">
        <f ca="1">AVERAGE(OFFSET($AM$3,0,0,'Données projet'!$E$10+1,1))-AVERAGE(OFFSET($H$3,0,0,'Données projet'!$E$10+1,1))</f>
        <v>174.18188687702559</v>
      </c>
      <c r="AO94" s="59">
        <f t="shared" si="90"/>
        <v>32.17353897322738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116.30112991552376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116.30112991552376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0.8600000000003547</v>
      </c>
      <c r="BE94" s="13">
        <f>BD94*VLOOKUP('Données projet'!$B$11,Paramètres!$A$1:$I$89,3,0)*VLOOKUP('Données projet'!$B$11,Paramètres!$A$1:$I$89,5,0)</f>
        <v>0.48074000000019829</v>
      </c>
      <c r="BF94" s="13">
        <f t="shared" si="91"/>
        <v>0.24126147010950588</v>
      </c>
      <c r="BG94" s="20">
        <f t="shared" si="61"/>
        <v>1.2574858937744013</v>
      </c>
      <c r="BH94" s="59">
        <f t="shared" si="62"/>
        <v>294.59081922710772</v>
      </c>
      <c r="BI94" s="59">
        <f ca="1">AVERAGE(OFFSET($BH$3,0,0,'Données projet'!$E$11+1,1))-AVERAGE(OFFSET($H$3,0,0,'Données projet'!$E$11+1,1))</f>
        <v>350.01600895263641</v>
      </c>
      <c r="BJ94" s="59">
        <f t="shared" si="92"/>
        <v>464.08921044376882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182.24963141009687</v>
      </c>
      <c r="BQ94" s="21">
        <f>EXP(-LN(2)/25)*BQ93+(1-EXP(-LN(2)/25))/(LN(2)/25)*Calculateur!BL94*Calculateur!BN94*VLOOKUP('Données projet'!$B$11,Paramètres!$A$1:$I$89,3,0)*0.475*44/12</f>
        <v>9.3194586138644713</v>
      </c>
      <c r="BR94" s="21">
        <f>EXP(-LN(2)/2)*BR93+(1-EXP(-LN(2)/2))/(LN(2)/2)*BL94*BO94*VLOOKUP('Données projet'!$B$11,Paramètres!$A$1:$I$89,3,0)*0.475*44/12</f>
        <v>4.8727060075798292E-10</v>
      </c>
      <c r="BS94" s="22">
        <f t="shared" si="63"/>
        <v>191.5690900244486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253.79640000000001</v>
      </c>
      <c r="CA94" s="13">
        <f t="shared" si="93"/>
        <v>61.39816832228076</v>
      </c>
      <c r="CB94" s="20">
        <f t="shared" si="64"/>
        <v>548.96387316130563</v>
      </c>
      <c r="CC94" s="59">
        <f t="shared" si="65"/>
        <v>842.29720649463889</v>
      </c>
      <c r="CD94" s="59">
        <f ca="1">AVERAGE(OFFSET($CC$3,0,0,'Données projet'!$E$12+1,1))-AVERAGE(OFFSET($H$3,0,0,'Données projet'!$E$12+1,1))</f>
        <v>279.49721661620544</v>
      </c>
      <c r="CE94" s="59">
        <f t="shared" si="94"/>
        <v>275.18739333988754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42.760506212739379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42.760506212739379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7.1655555555555566</v>
      </c>
      <c r="CT94" s="12">
        <f>IF('Données projet'!$A$140&gt;35,CT93+CS94-DB93,IF(A94&lt;'Données projet'!$A$140,$CQ$205^A94,IF(A94='Données projet'!$A$140,'Données projet'!$B$140,CT93+CS94-DB93)))</f>
        <v>289.03888888888895</v>
      </c>
      <c r="CU94" s="17">
        <f>CT94*VLOOKUP('Données projet'!$B$13,Paramètres!$A$1:$I$89,3,0)*VLOOKUP('Données projet'!$B$13,Paramètres!$A$1:$I$89,5,0)</f>
        <v>293.08543333333341</v>
      </c>
      <c r="CV94" s="13">
        <f t="shared" si="95"/>
        <v>69.724943350810875</v>
      </c>
      <c r="CW94" s="20">
        <f t="shared" si="67"/>
        <v>631.8947393915513</v>
      </c>
      <c r="CX94" s="59">
        <f t="shared" si="68"/>
        <v>925.22807272488467</v>
      </c>
      <c r="CY94" s="59">
        <f ca="1">AVERAGE(OFFSET($CX$3,0,0,'Données projet'!$E$13+1,1))-AVERAGE(OFFSET($H$3,0,0,'Données projet'!$E$13+1,1))</f>
        <v>402.54350692668021</v>
      </c>
      <c r="CZ94" s="59">
        <f t="shared" si="96"/>
        <v>163.60655196884522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81.54948201818361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81.54948201818361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7.6</v>
      </c>
      <c r="DO94" s="12">
        <f>IF('Données projet'!$A$166&gt;35,DO93+DN94-DW93,IF(A94&lt;'Données projet'!$A$166,$DL$205^A94,IF(A94='Données projet'!$A$166,'Données projet'!$B$166,DO93+DN94-DW93)))</f>
        <v>358.59999999999985</v>
      </c>
      <c r="DP94" s="17">
        <f>DO94*VLOOKUP('Données projet'!$B$14,Paramètres!$A$1:$I$89,3,0)*VLOOKUP('Données projet'!$B$14,Paramètres!$A$1:$I$89,5,0)</f>
        <v>307.67879999999991</v>
      </c>
      <c r="DQ94" s="13">
        <f t="shared" si="97"/>
        <v>72.783859383050768</v>
      </c>
      <c r="DR94" s="20">
        <f t="shared" si="70"/>
        <v>662.63913175881328</v>
      </c>
      <c r="DS94" s="59">
        <f t="shared" si="71"/>
        <v>955.97246509214665</v>
      </c>
      <c r="DT94" s="59">
        <f ca="1">AVERAGE(OFFSET($DS$3,0,0,'Données projet'!$E$14+1,1))-AVERAGE(OFFSET($H$3,0,0,'Données projet'!$E$14+1,1))</f>
        <v>352.76625414822473</v>
      </c>
      <c r="DU94" s="59">
        <f t="shared" si="98"/>
        <v>186.48649111821521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100.33414462117011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100.33414462117011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210.25641030000014</v>
      </c>
      <c r="EK94" s="17">
        <f>EJ94*VLOOKUP('Données projet'!$B$15,Paramètres!$A$1:$I$89,3,0)*VLOOKUP('Données projet'!$B$15,Paramètres!$A$1:$I$89,5,0)</f>
        <v>164.00000003400012</v>
      </c>
      <c r="EL94" s="13">
        <f t="shared" si="99"/>
        <v>41.743425916009095</v>
      </c>
      <c r="EM94" s="20">
        <f t="shared" si="73"/>
        <v>358.3364668629327</v>
      </c>
      <c r="EN94" s="59">
        <f t="shared" si="74"/>
        <v>651.66980019626601</v>
      </c>
      <c r="EO94" s="59">
        <f ca="1">AVERAGE(OFFSET($EN$3,0,0,'Données projet'!$E$15+1,1))-AVERAGE(OFFSET($H$3,0,0,'Données projet'!$E$15+1,1))</f>
        <v>130.66539383144681</v>
      </c>
      <c r="EP94" s="59">
        <f t="shared" si="100"/>
        <v>126.36398121441903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20.888940470244194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20.888940470244194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7.1655555555555566</v>
      </c>
      <c r="FE94" s="12">
        <f>IF('Données projet'!$A$218&gt;35,FE93+FD94-FM93,IF(A94&lt;'Données projet'!$A$218,$FB$205^A94,IF(A94='Données projet'!$A$218,'Données projet'!$B$218,FE93+FD94-FM93)))</f>
        <v>289.03888888888895</v>
      </c>
      <c r="FF94" s="17">
        <f>FE94*VLOOKUP('Données projet'!$B$16,Paramètres!$A$1:$I$89,3,0)*VLOOKUP('Données projet'!$B$16,Paramètres!$A$1:$I$89,5,0)</f>
        <v>279.55841333333342</v>
      </c>
      <c r="FG94" s="13">
        <f t="shared" si="101"/>
        <v>66.873680353742316</v>
      </c>
      <c r="FH94" s="20">
        <f t="shared" si="76"/>
        <v>603.36922983832358</v>
      </c>
      <c r="FI94" s="59">
        <f t="shared" si="77"/>
        <v>896.70256317165695</v>
      </c>
      <c r="FJ94" s="59">
        <f ca="1">AVERAGE(OFFSET($FI$3,0,0,'Données projet'!$E$16+1,1))-AVERAGE(OFFSET($H$3,0,0,'Données projet'!$E$16+1,1))</f>
        <v>380.43199889536805</v>
      </c>
      <c r="FK94" s="59">
        <f t="shared" si="102"/>
        <v>154.72646317672996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77.785659771190524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77.785659771190524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304</v>
      </c>
      <c r="O95" s="13">
        <f>N95*VLOOKUP('Données projet'!$B$9,Paramètres!$A$1:$I$89,3,0)*VLOOKUP('Données projet'!$B$9,Paramètres!$A$1:$I$89,5,0)</f>
        <v>189.696</v>
      </c>
      <c r="P95" s="13">
        <f t="shared" si="87"/>
        <v>47.472736505152469</v>
      </c>
      <c r="Q95" s="20">
        <f t="shared" si="54"/>
        <v>413.06888274647389</v>
      </c>
      <c r="R95" s="59">
        <f t="shared" si="55"/>
        <v>706.4022160798072</v>
      </c>
      <c r="S95" s="59">
        <f ca="1">AVERAGE(OFFSET($R$3,0,0,'Données projet'!$E$9+1,1))-AVERAGE(OFFSET($H$3,0,0,'Données projet'!$E$9+1,1))</f>
        <v>179.44051550872138</v>
      </c>
      <c r="T95" s="59">
        <f t="shared" si="88"/>
        <v>272.9500808380069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36.026610881010335</v>
      </c>
      <c r="AA95" s="21">
        <f>EXP(-LN(2)/25)*AA94+(1-EXP(-LN(2)/25))/(LN(2)/25)*Calculateur!V95*Calculateur!X95*VLOOKUP('Données projet'!$B$9,Paramètres!$A$1:$I$89,3,0)*0.475*44/12</f>
        <v>8.6735521470218906</v>
      </c>
      <c r="AB95" s="21">
        <f>EXP(-LN(2)/2)*AB94+(1-EXP(-LN(2)/2))/(LN(2)/2)*V95*Y95*VLOOKUP('Données projet'!$B$9,Paramètres!$A$1:$I$89,3,0)*0.475*44/12</f>
        <v>1.0281116609352686E-10</v>
      </c>
      <c r="AC95" s="22">
        <f t="shared" si="57"/>
        <v>44.70016302813503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7.7020000000000097</v>
      </c>
      <c r="AI95" s="13">
        <f>IF('Données projet'!$A$62&gt;35,AI94+AH95-AQ94,IF(A95&lt;'Données projet'!$A$62,$AF$205^A95,IF(A95='Données projet'!$A$62,'Données projet'!$B$62,AI94+AH95-AQ94)))</f>
        <v>374.44399999999996</v>
      </c>
      <c r="AJ95" s="13">
        <f>AI95*VLOOKUP('Données projet'!$B$10,Paramètres!$A$1:$I$89,3,0)*VLOOKUP('Données projet'!$B$10,Paramètres!$A$1:$I$89,5,0)</f>
        <v>180.107564</v>
      </c>
      <c r="AK95" s="13">
        <f t="shared" si="89"/>
        <v>45.346116342702757</v>
      </c>
      <c r="AL95" s="20">
        <f t="shared" si="58"/>
        <v>392.66515993020727</v>
      </c>
      <c r="AM95" s="59">
        <f t="shared" si="59"/>
        <v>685.99849326354058</v>
      </c>
      <c r="AN95" s="59">
        <f ca="1">AVERAGE(OFFSET($AM$3,0,0,'Données projet'!$E$10+1,1))-AVERAGE(OFFSET($H$3,0,0,'Données projet'!$E$10+1,1))</f>
        <v>174.18188687702559</v>
      </c>
      <c r="AO95" s="59">
        <f t="shared" si="90"/>
        <v>32.17353897322738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114.02053569456517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114.02053569456517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0.8600000000003547</v>
      </c>
      <c r="BE95" s="13">
        <f>BD95*VLOOKUP('Données projet'!$B$11,Paramètres!$A$1:$I$89,3,0)*VLOOKUP('Données projet'!$B$11,Paramètres!$A$1:$I$89,5,0)</f>
        <v>0.48074000000019829</v>
      </c>
      <c r="BF95" s="13">
        <f t="shared" si="91"/>
        <v>0.24126147010950588</v>
      </c>
      <c r="BG95" s="20">
        <f t="shared" si="61"/>
        <v>1.2574858937744013</v>
      </c>
      <c r="BH95" s="59">
        <f t="shared" si="62"/>
        <v>294.59081922710772</v>
      </c>
      <c r="BI95" s="59">
        <f ca="1">AVERAGE(OFFSET($BH$3,0,0,'Données projet'!$E$11+1,1))-AVERAGE(OFFSET($H$3,0,0,'Données projet'!$E$11+1,1))</f>
        <v>350.01600895263641</v>
      </c>
      <c r="BJ95" s="59">
        <f t="shared" si="92"/>
        <v>464.08921044376882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178.67582729944377</v>
      </c>
      <c r="BQ95" s="21">
        <f>EXP(-LN(2)/25)*BQ94+(1-EXP(-LN(2)/25))/(LN(2)/25)*Calculateur!BL95*Calculateur!BN95*VLOOKUP('Données projet'!$B$11,Paramètres!$A$1:$I$89,3,0)*0.475*44/12</f>
        <v>9.0646175279793191</v>
      </c>
      <c r="BR95" s="21">
        <f>EXP(-LN(2)/2)*BR94+(1-EXP(-LN(2)/2))/(LN(2)/2)*BL95*BO95*VLOOKUP('Données projet'!$B$11,Paramètres!$A$1:$I$89,3,0)*0.475*44/12</f>
        <v>3.445523460688126E-10</v>
      </c>
      <c r="BS95" s="22">
        <f t="shared" si="63"/>
        <v>187.74044482776765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253.79640000000001</v>
      </c>
      <c r="CA95" s="13">
        <f t="shared" si="93"/>
        <v>61.39816832228076</v>
      </c>
      <c r="CB95" s="20">
        <f t="shared" si="64"/>
        <v>548.96387316130563</v>
      </c>
      <c r="CC95" s="59">
        <f t="shared" si="65"/>
        <v>842.29720649463889</v>
      </c>
      <c r="CD95" s="59">
        <f ca="1">AVERAGE(OFFSET($CC$3,0,0,'Données projet'!$E$12+1,1))-AVERAGE(OFFSET($H$3,0,0,'Données projet'!$E$12+1,1))</f>
        <v>279.49721661620544</v>
      </c>
      <c r="CE95" s="59">
        <f t="shared" si="94"/>
        <v>275.18739333988754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41.921998767241035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41.921998767241035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7.1655555555555566</v>
      </c>
      <c r="CT95" s="12">
        <f>IF('Données projet'!$A$140&gt;35,CT94+CS95-DB94,IF(A95&lt;'Données projet'!$A$140,$CQ$205^A95,IF(A95='Données projet'!$A$140,'Données projet'!$B$140,CT94+CS95-DB94)))</f>
        <v>296.2044444444445</v>
      </c>
      <c r="CU95" s="17">
        <f>CT95*VLOOKUP('Données projet'!$B$13,Paramètres!$A$1:$I$89,3,0)*VLOOKUP('Données projet'!$B$13,Paramètres!$A$1:$I$89,5,0)</f>
        <v>300.35130666666674</v>
      </c>
      <c r="CV95" s="13">
        <f t="shared" si="95"/>
        <v>71.250105829719942</v>
      </c>
      <c r="CW95" s="20">
        <f t="shared" si="67"/>
        <v>647.20579343120664</v>
      </c>
      <c r="CX95" s="59">
        <f t="shared" si="68"/>
        <v>940.53912676454001</v>
      </c>
      <c r="CY95" s="59">
        <f ca="1">AVERAGE(OFFSET($CX$3,0,0,'Données projet'!$E$13+1,1))-AVERAGE(OFFSET($H$3,0,0,'Données projet'!$E$13+1,1))</f>
        <v>402.54350692668021</v>
      </c>
      <c r="CZ95" s="59">
        <f t="shared" si="96"/>
        <v>163.60655196884522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79.950346416079611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79.950346416079611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7.6</v>
      </c>
      <c r="DO95" s="12">
        <f>IF('Données projet'!$A$166&gt;35,DO94+DN95-DW94,IF(A95&lt;'Données projet'!$A$166,$DL$205^A95,IF(A95='Données projet'!$A$166,'Données projet'!$B$166,DO94+DN95-DW94)))</f>
        <v>366.19999999999987</v>
      </c>
      <c r="DP95" s="17">
        <f>DO95*VLOOKUP('Données projet'!$B$14,Paramètres!$A$1:$I$89,3,0)*VLOOKUP('Données projet'!$B$14,Paramètres!$A$1:$I$89,5,0)</f>
        <v>314.19959999999992</v>
      </c>
      <c r="DQ95" s="13">
        <f t="shared" si="97"/>
        <v>74.145185764564587</v>
      </c>
      <c r="DR95" s="20">
        <f t="shared" si="70"/>
        <v>676.36716853994983</v>
      </c>
      <c r="DS95" s="59">
        <f t="shared" si="71"/>
        <v>969.7005018732832</v>
      </c>
      <c r="DT95" s="59">
        <f ca="1">AVERAGE(OFFSET($DS$3,0,0,'Données projet'!$E$14+1,1))-AVERAGE(OFFSET($H$3,0,0,'Données projet'!$E$14+1,1))</f>
        <v>352.76625414822473</v>
      </c>
      <c r="DU95" s="59">
        <f t="shared" si="98"/>
        <v>186.48649111821521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98.366653242934404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98.366653242934404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210.25641030000014</v>
      </c>
      <c r="EK95" s="17">
        <f>EJ95*VLOOKUP('Données projet'!$B$15,Paramètres!$A$1:$I$89,3,0)*VLOOKUP('Données projet'!$B$15,Paramètres!$A$1:$I$89,5,0)</f>
        <v>164.00000003400012</v>
      </c>
      <c r="EL95" s="13">
        <f t="shared" si="99"/>
        <v>41.743425916009095</v>
      </c>
      <c r="EM95" s="20">
        <f t="shared" si="73"/>
        <v>358.3364668629327</v>
      </c>
      <c r="EN95" s="59">
        <f t="shared" si="74"/>
        <v>651.66980019626601</v>
      </c>
      <c r="EO95" s="59">
        <f ca="1">AVERAGE(OFFSET($EN$3,0,0,'Données projet'!$E$15+1,1))-AVERAGE(OFFSET($H$3,0,0,'Données projet'!$E$15+1,1))</f>
        <v>130.66539383144681</v>
      </c>
      <c r="EP95" s="59">
        <f t="shared" si="100"/>
        <v>126.36398121441903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20.479321088618324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20.479321088618324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7.1655555555555566</v>
      </c>
      <c r="FE95" s="12">
        <f>IF('Données projet'!$A$218&gt;35,FE94+FD95-FM94,IF(A95&lt;'Données projet'!$A$218,$FB$205^A95,IF(A95='Données projet'!$A$218,'Données projet'!$B$218,FE94+FD95-FM94)))</f>
        <v>296.2044444444445</v>
      </c>
      <c r="FF95" s="17">
        <f>FE95*VLOOKUP('Données projet'!$B$16,Paramètres!$A$1:$I$89,3,0)*VLOOKUP('Données projet'!$B$16,Paramètres!$A$1:$I$89,5,0)</f>
        <v>286.48893866666674</v>
      </c>
      <c r="FG95" s="13">
        <f t="shared" si="101"/>
        <v>68.336474343963559</v>
      </c>
      <c r="FH95" s="20">
        <f t="shared" si="76"/>
        <v>617.98759432684778</v>
      </c>
      <c r="FI95" s="59">
        <f t="shared" si="77"/>
        <v>911.32092766018104</v>
      </c>
      <c r="FJ95" s="59">
        <f ca="1">AVERAGE(OFFSET($FI$3,0,0,'Données projet'!$E$16+1,1))-AVERAGE(OFFSET($H$3,0,0,'Données projet'!$E$16+1,1))</f>
        <v>380.43199889536805</v>
      </c>
      <c r="FK95" s="59">
        <f t="shared" si="102"/>
        <v>154.72646317672996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76.260330427645172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76.260330427645172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304</v>
      </c>
      <c r="O96" s="13">
        <f>N96*VLOOKUP('Données projet'!$B$9,Paramètres!$A$1:$I$89,3,0)*VLOOKUP('Données projet'!$B$9,Paramètres!$A$1:$I$89,5,0)</f>
        <v>189.696</v>
      </c>
      <c r="P96" s="13">
        <f t="shared" si="87"/>
        <v>47.472736505152469</v>
      </c>
      <c r="Q96" s="20">
        <f t="shared" si="54"/>
        <v>413.06888274647389</v>
      </c>
      <c r="R96" s="59">
        <f t="shared" si="55"/>
        <v>706.4022160798072</v>
      </c>
      <c r="S96" s="59">
        <f ca="1">AVERAGE(OFFSET($R$3,0,0,'Données projet'!$E$9+1,1))-AVERAGE(OFFSET($H$3,0,0,'Données projet'!$E$9+1,1))</f>
        <v>179.44051550872138</v>
      </c>
      <c r="T96" s="59">
        <f t="shared" si="88"/>
        <v>272.9500808380069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35.320151015696602</v>
      </c>
      <c r="AA96" s="21">
        <f>EXP(-LN(2)/25)*AA95+(1-EXP(-LN(2)/25))/(LN(2)/25)*Calculateur!V96*Calculateur!X96*VLOOKUP('Données projet'!$B$9,Paramètres!$A$1:$I$89,3,0)*0.475*44/12</f>
        <v>8.4363734074392926</v>
      </c>
      <c r="AB96" s="21">
        <f>EXP(-LN(2)/2)*AB95+(1-EXP(-LN(2)/2))/(LN(2)/2)*V96*Y96*VLOOKUP('Données projet'!$B$9,Paramètres!$A$1:$I$89,3,0)*0.475*44/12</f>
        <v>7.2698472726429292E-11</v>
      </c>
      <c r="AC96" s="22">
        <f t="shared" si="57"/>
        <v>43.756524423208589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7.7020000000000097</v>
      </c>
      <c r="AI96" s="13">
        <f>IF('Données projet'!$A$62&gt;35,AI95+AH96-AQ95,IF(A96&lt;'Données projet'!$A$62,$AF$205^A96,IF(A96='Données projet'!$A$62,'Données projet'!$B$62,AI95+AH96-AQ95)))</f>
        <v>382.14599999999996</v>
      </c>
      <c r="AJ96" s="13">
        <f>AI96*VLOOKUP('Données projet'!$B$10,Paramètres!$A$1:$I$89,3,0)*VLOOKUP('Données projet'!$B$10,Paramètres!$A$1:$I$89,5,0)</f>
        <v>183.81222599999998</v>
      </c>
      <c r="AK96" s="13">
        <f t="shared" si="89"/>
        <v>46.169298917451833</v>
      </c>
      <c r="AL96" s="20">
        <f t="shared" si="58"/>
        <v>400.55115589789528</v>
      </c>
      <c r="AM96" s="59">
        <f t="shared" si="59"/>
        <v>693.8844892312286</v>
      </c>
      <c r="AN96" s="59">
        <f ca="1">AVERAGE(OFFSET($AM$3,0,0,'Données projet'!$E$10+1,1))-AVERAGE(OFFSET($H$3,0,0,'Données projet'!$E$10+1,1))</f>
        <v>174.18188687702559</v>
      </c>
      <c r="AO96" s="59">
        <f t="shared" si="90"/>
        <v>32.17353897322738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111.78466253525445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111.78466253525445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0.8600000000003547</v>
      </c>
      <c r="BE96" s="13">
        <f>BD96*VLOOKUP('Données projet'!$B$11,Paramètres!$A$1:$I$89,3,0)*VLOOKUP('Données projet'!$B$11,Paramètres!$A$1:$I$89,5,0)</f>
        <v>0.48074000000019829</v>
      </c>
      <c r="BF96" s="13">
        <f t="shared" si="91"/>
        <v>0.24126147010950588</v>
      </c>
      <c r="BG96" s="20">
        <f t="shared" si="61"/>
        <v>1.2574858937744013</v>
      </c>
      <c r="BH96" s="59">
        <f t="shared" si="62"/>
        <v>294.59081922710772</v>
      </c>
      <c r="BI96" s="59">
        <f ca="1">AVERAGE(OFFSET($BH$3,0,0,'Données projet'!$E$11+1,1))-AVERAGE(OFFSET($H$3,0,0,'Données projet'!$E$11+1,1))</f>
        <v>350.01600895263641</v>
      </c>
      <c r="BJ96" s="59">
        <f t="shared" si="92"/>
        <v>464.08921044376882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175.17210330759531</v>
      </c>
      <c r="BQ96" s="21">
        <f>EXP(-LN(2)/25)*BQ95+(1-EXP(-LN(2)/25))/(LN(2)/25)*Calculateur!BL96*Calculateur!BN96*VLOOKUP('Données projet'!$B$11,Paramètres!$A$1:$I$89,3,0)*0.475*44/12</f>
        <v>8.8167450849892059</v>
      </c>
      <c r="BR96" s="21">
        <f>EXP(-LN(2)/2)*BR95+(1-EXP(-LN(2)/2))/(LN(2)/2)*BL96*BO96*VLOOKUP('Données projet'!$B$11,Paramètres!$A$1:$I$89,3,0)*0.475*44/12</f>
        <v>2.4363530037899146E-10</v>
      </c>
      <c r="BS96" s="22">
        <f t="shared" si="63"/>
        <v>183.98884839282815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253.79640000000001</v>
      </c>
      <c r="CA96" s="13">
        <f t="shared" si="93"/>
        <v>61.39816832228076</v>
      </c>
      <c r="CB96" s="20">
        <f t="shared" si="64"/>
        <v>548.96387316130563</v>
      </c>
      <c r="CC96" s="59">
        <f t="shared" si="65"/>
        <v>842.29720649463889</v>
      </c>
      <c r="CD96" s="59">
        <f ca="1">AVERAGE(OFFSET($CC$3,0,0,'Données projet'!$E$12+1,1))-AVERAGE(OFFSET($H$3,0,0,'Données projet'!$E$12+1,1))</f>
        <v>279.49721661620544</v>
      </c>
      <c r="CE96" s="59">
        <f t="shared" si="94"/>
        <v>275.18739333988754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41.099933941309871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41.099933941309871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303.37</v>
      </c>
      <c r="CR96" s="12">
        <f>VLOOKUP(A96,'Données projet'!$A$139:$I$159,9,0)</f>
        <v>7.1655555555555566</v>
      </c>
      <c r="CS96" s="12">
        <f t="array" ref="CS96">INDEX(CR:CR,MIN(IF(ISNUMBER(CR96:CR292),ROW(CR96:CR292),"")))</f>
        <v>7.1655555555555566</v>
      </c>
      <c r="CT96" s="12">
        <f>IF('Données projet'!$A$140&gt;35,CT95+CS96-DB95,IF(A96&lt;'Données projet'!$A$140,$CQ$205^A96,IF(A96='Données projet'!$A$140,'Données projet'!$B$140,CT95+CS96-DB95)))</f>
        <v>303.37000000000006</v>
      </c>
      <c r="CU96" s="17">
        <f>CT96*VLOOKUP('Données projet'!$B$13,Paramètres!$A$1:$I$89,3,0)*VLOOKUP('Données projet'!$B$13,Paramètres!$A$1:$I$89,5,0)</f>
        <v>307.61718000000008</v>
      </c>
      <c r="CV96" s="13">
        <f t="shared" si="95"/>
        <v>72.770979261218784</v>
      </c>
      <c r="CW96" s="20">
        <f t="shared" si="67"/>
        <v>662.50937737995605</v>
      </c>
      <c r="CX96" s="59">
        <f t="shared" si="68"/>
        <v>955.84271071328931</v>
      </c>
      <c r="CY96" s="59">
        <f ca="1">AVERAGE(OFFSET($CX$3,0,0,'Données projet'!$E$13+1,1))-AVERAGE(OFFSET($H$3,0,0,'Données projet'!$E$13+1,1))</f>
        <v>402.54350692668021</v>
      </c>
      <c r="CZ96" s="59">
        <f t="shared" si="96"/>
        <v>163.60655196884522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38.57</v>
      </c>
      <c r="DC96" s="16">
        <f>IF(ISNA(VLOOKUP(A96,'Données projet'!$A$139:$I$159,5,0)),0%,VLOOKUP(A96,'Données projet'!$A$139:$I$159,5,0)*VLOOKUP('Données projet'!$B$13,Paramètres!$A$1:$I$89,7,0))</f>
        <v>0.43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96.973586394430697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96.973586394430697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7.6</v>
      </c>
      <c r="DO96" s="12">
        <f>IF('Données projet'!$A$166&gt;35,DO95+DN96-DW95,IF(A96&lt;'Données projet'!$A$166,$DL$205^A96,IF(A96='Données projet'!$A$166,'Données projet'!$B$166,DO95+DN96-DW95)))</f>
        <v>373.7999999999999</v>
      </c>
      <c r="DP96" s="17">
        <f>DO96*VLOOKUP('Données projet'!$B$14,Paramètres!$A$1:$I$89,3,0)*VLOOKUP('Données projet'!$B$14,Paramètres!$A$1:$I$89,5,0)</f>
        <v>320.72039999999993</v>
      </c>
      <c r="DQ96" s="13">
        <f t="shared" si="97"/>
        <v>75.503227270035708</v>
      </c>
      <c r="DR96" s="20">
        <f t="shared" si="70"/>
        <v>690.0894841619787</v>
      </c>
      <c r="DS96" s="59">
        <f t="shared" si="71"/>
        <v>983.42281749531207</v>
      </c>
      <c r="DT96" s="59">
        <f ca="1">AVERAGE(OFFSET($DS$3,0,0,'Données projet'!$E$14+1,1))-AVERAGE(OFFSET($H$3,0,0,'Données projet'!$E$14+1,1))</f>
        <v>352.76625414822473</v>
      </c>
      <c r="DU96" s="59">
        <f t="shared" si="98"/>
        <v>186.48649111821521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96.437743170574649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96.437743170574649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210.25641030000014</v>
      </c>
      <c r="EK96" s="17">
        <f>EJ96*VLOOKUP('Données projet'!$B$15,Paramètres!$A$1:$I$89,3,0)*VLOOKUP('Données projet'!$B$15,Paramètres!$A$1:$I$89,5,0)</f>
        <v>164.00000003400012</v>
      </c>
      <c r="EL96" s="13">
        <f t="shared" si="99"/>
        <v>41.743425916009095</v>
      </c>
      <c r="EM96" s="20">
        <f t="shared" si="73"/>
        <v>358.3364668629327</v>
      </c>
      <c r="EN96" s="59">
        <f t="shared" si="74"/>
        <v>651.66980019626601</v>
      </c>
      <c r="EO96" s="59">
        <f ca="1">AVERAGE(OFFSET($EN$3,0,0,'Données projet'!$E$15+1,1))-AVERAGE(OFFSET($H$3,0,0,'Données projet'!$E$15+1,1))</f>
        <v>130.66539383144681</v>
      </c>
      <c r="EP96" s="59">
        <f t="shared" si="100"/>
        <v>126.36398121441903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20.077734093222983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20.077734093222983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303.37</v>
      </c>
      <c r="FC96" s="12">
        <f>VLOOKUP(A96,'Données projet'!$A$217:$I$237,9,0)</f>
        <v>7.1655555555555566</v>
      </c>
      <c r="FD96" s="12">
        <f t="array" ref="FD96">INDEX(FC:FC,MIN(IF(ISNUMBER(FC96:FC292),ROW(FC96:FC292),"")))</f>
        <v>7.1655555555555566</v>
      </c>
      <c r="FE96" s="12">
        <f>IF('Données projet'!$A$218&gt;35,FE95+FD96-FM95,IF(A96&lt;'Données projet'!$A$218,$FB$205^A96,IF(A96='Données projet'!$A$218,'Données projet'!$B$218,FE95+FD96-FM95)))</f>
        <v>303.37000000000006</v>
      </c>
      <c r="FF96" s="17">
        <f>FE96*VLOOKUP('Données projet'!$B$16,Paramètres!$A$1:$I$89,3,0)*VLOOKUP('Données projet'!$B$16,Paramètres!$A$1:$I$89,5,0)</f>
        <v>293.41946400000006</v>
      </c>
      <c r="FG96" s="13">
        <f t="shared" si="101"/>
        <v>69.795154678845094</v>
      </c>
      <c r="FH96" s="20">
        <f t="shared" si="76"/>
        <v>632.59879419898868</v>
      </c>
      <c r="FI96" s="59">
        <f t="shared" si="77"/>
        <v>925.93212753232206</v>
      </c>
      <c r="FJ96" s="59">
        <f ca="1">AVERAGE(OFFSET($FI$3,0,0,'Données projet'!$E$16+1,1))-AVERAGE(OFFSET($H$3,0,0,'Données projet'!$E$16+1,1))</f>
        <v>380.43199889536805</v>
      </c>
      <c r="FK96" s="59">
        <f t="shared" si="102"/>
        <v>154.72646317672996</v>
      </c>
      <c r="FL96" s="15">
        <f>IF(ISNA(VLOOKUP(A96,'Données projet'!$A$217:$I$237,3,0)),0,VLOOKUP(A96,'Données projet'!$A$217:$I$237,3,0))</f>
        <v>7</v>
      </c>
      <c r="FM96" s="15">
        <f>IF(ISNA(VLOOKUP(A96,'Données projet'!$A$217:$I$237,4,0)),0,VLOOKUP(A96,'Données projet'!$A$217:$I$237,4,0))</f>
        <v>38.57</v>
      </c>
      <c r="FN96" s="16">
        <f>IF(ISNA(VLOOKUP(A96,'Données projet'!$A$217:$I$237,5,0)),0%,VLOOKUP(A96,'Données projet'!$A$217:$I$237,5,0)*VLOOKUP('Données projet'!$B$16,Paramètres!$A$1:$I$89,7,0))</f>
        <v>0.43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92.497882406995444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92.497882406995444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304</v>
      </c>
      <c r="O97" s="13">
        <f>N97*VLOOKUP('Données projet'!$B$9,Paramètres!$A$1:$I$89,3,0)*VLOOKUP('Données projet'!$B$9,Paramètres!$A$1:$I$89,5,0)</f>
        <v>189.696</v>
      </c>
      <c r="P97" s="13">
        <f t="shared" si="87"/>
        <v>47.472736505152469</v>
      </c>
      <c r="Q97" s="20">
        <f t="shared" si="54"/>
        <v>413.06888274647389</v>
      </c>
      <c r="R97" s="59">
        <f t="shared" si="55"/>
        <v>706.4022160798072</v>
      </c>
      <c r="S97" s="59">
        <f ca="1">AVERAGE(OFFSET($R$3,0,0,'Données projet'!$E$9+1,1))-AVERAGE(OFFSET($H$3,0,0,'Données projet'!$E$9+1,1))</f>
        <v>179.44051550872138</v>
      </c>
      <c r="T97" s="59">
        <f t="shared" si="88"/>
        <v>272.9500808380069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34.6275443974437</v>
      </c>
      <c r="AA97" s="21">
        <f>EXP(-LN(2)/25)*AA96+(1-EXP(-LN(2)/25))/(LN(2)/25)*Calculateur!V97*Calculateur!X97*VLOOKUP('Données projet'!$B$9,Paramètres!$A$1:$I$89,3,0)*0.475*44/12</f>
        <v>8.2056803329632686</v>
      </c>
      <c r="AB97" s="21">
        <f>EXP(-LN(2)/2)*AB96+(1-EXP(-LN(2)/2))/(LN(2)/2)*V97*Y97*VLOOKUP('Données projet'!$B$9,Paramètres!$A$1:$I$89,3,0)*0.475*44/12</f>
        <v>5.1405583046763431E-11</v>
      </c>
      <c r="AC97" s="22">
        <f t="shared" si="57"/>
        <v>42.833224730458376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7.7020000000000097</v>
      </c>
      <c r="AI97" s="13">
        <f>IF('Données projet'!$A$62&gt;35,AI96+AH97-AQ96,IF(A97&lt;'Données projet'!$A$62,$AF$205^A97,IF(A97='Données projet'!$A$62,'Données projet'!$B$62,AI96+AH97-AQ96)))</f>
        <v>389.84799999999996</v>
      </c>
      <c r="AJ97" s="13">
        <f>AI97*VLOOKUP('Données projet'!$B$10,Paramètres!$A$1:$I$89,3,0)*VLOOKUP('Données projet'!$B$10,Paramètres!$A$1:$I$89,5,0)</f>
        <v>187.51688799999999</v>
      </c>
      <c r="AK97" s="13">
        <f t="shared" si="89"/>
        <v>46.990552435027368</v>
      </c>
      <c r="AL97" s="20">
        <f t="shared" si="58"/>
        <v>408.43379209100596</v>
      </c>
      <c r="AM97" s="59">
        <f t="shared" si="59"/>
        <v>701.76712542433927</v>
      </c>
      <c r="AN97" s="59">
        <f ca="1">AVERAGE(OFFSET($AM$3,0,0,'Données projet'!$E$10+1,1))-AVERAGE(OFFSET($H$3,0,0,'Données projet'!$E$10+1,1))</f>
        <v>174.18188687702559</v>
      </c>
      <c r="AO97" s="59">
        <f t="shared" si="90"/>
        <v>32.17353897322738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109.59263348484986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109.59263348484986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0.8600000000003547</v>
      </c>
      <c r="BE97" s="13">
        <f>BD97*VLOOKUP('Données projet'!$B$11,Paramètres!$A$1:$I$89,3,0)*VLOOKUP('Données projet'!$B$11,Paramètres!$A$1:$I$89,5,0)</f>
        <v>0.48074000000019829</v>
      </c>
      <c r="BF97" s="13">
        <f t="shared" si="91"/>
        <v>0.24126147010950588</v>
      </c>
      <c r="BG97" s="20">
        <f t="shared" si="61"/>
        <v>1.2574858937744013</v>
      </c>
      <c r="BH97" s="59">
        <f t="shared" si="62"/>
        <v>294.59081922710772</v>
      </c>
      <c r="BI97" s="59">
        <f ca="1">AVERAGE(OFFSET($BH$3,0,0,'Données projet'!$E$11+1,1))-AVERAGE(OFFSET($H$3,0,0,'Données projet'!$E$11+1,1))</f>
        <v>350.01600895263641</v>
      </c>
      <c r="BJ97" s="59">
        <f t="shared" si="92"/>
        <v>464.08921044376882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171.73708520616637</v>
      </c>
      <c r="BQ97" s="21">
        <f>EXP(-LN(2)/25)*BQ96+(1-EXP(-LN(2)/25))/(LN(2)/25)*Calculateur!BL97*Calculateur!BN97*VLOOKUP('Données projet'!$B$11,Paramètres!$A$1:$I$89,3,0)*0.475*44/12</f>
        <v>8.5756507269877034</v>
      </c>
      <c r="BR97" s="21">
        <f>EXP(-LN(2)/2)*BR96+(1-EXP(-LN(2)/2))/(LN(2)/2)*BL97*BO97*VLOOKUP('Données projet'!$B$11,Paramètres!$A$1:$I$89,3,0)*0.475*44/12</f>
        <v>1.722761730344063E-10</v>
      </c>
      <c r="BS97" s="22">
        <f t="shared" si="63"/>
        <v>180.31273593332634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253.79640000000001</v>
      </c>
      <c r="CA97" s="13">
        <f t="shared" si="93"/>
        <v>61.39816832228076</v>
      </c>
      <c r="CB97" s="20">
        <f t="shared" si="64"/>
        <v>548.96387316130563</v>
      </c>
      <c r="CC97" s="59">
        <f t="shared" si="65"/>
        <v>842.29720649463889</v>
      </c>
      <c r="CD97" s="59">
        <f ca="1">AVERAGE(OFFSET($CC$3,0,0,'Données projet'!$E$12+1,1))-AVERAGE(OFFSET($H$3,0,0,'Données projet'!$E$12+1,1))</f>
        <v>279.49721661620544</v>
      </c>
      <c r="CE97" s="59">
        <f t="shared" si="94"/>
        <v>275.18739333988754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40.29398930520518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40.29398930520518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7.2909999999999968</v>
      </c>
      <c r="CT97" s="12">
        <f>IF('Données projet'!$A$140&gt;35,CT96+CS97-DB96,IF(A97&lt;'Données projet'!$A$140,$CQ$205^A97,IF(A97='Données projet'!$A$140,'Données projet'!$B$140,CT96+CS97-DB96)))</f>
        <v>272.09100000000007</v>
      </c>
      <c r="CU97" s="17">
        <f>CT97*VLOOKUP('Données projet'!$B$13,Paramètres!$A$1:$I$89,3,0)*VLOOKUP('Données projet'!$B$13,Paramètres!$A$1:$I$89,5,0)</f>
        <v>275.90027400000008</v>
      </c>
      <c r="CV97" s="13">
        <f t="shared" si="95"/>
        <v>66.099876569326042</v>
      </c>
      <c r="CW97" s="20">
        <f t="shared" si="67"/>
        <v>595.65026224157634</v>
      </c>
      <c r="CX97" s="59">
        <f t="shared" si="68"/>
        <v>888.98359557490971</v>
      </c>
      <c r="CY97" s="59">
        <f ca="1">AVERAGE(OFFSET($CX$3,0,0,'Données projet'!$E$13+1,1))-AVERAGE(OFFSET($H$3,0,0,'Données projet'!$E$13+1,1))</f>
        <v>402.54350692668021</v>
      </c>
      <c r="CZ97" s="59">
        <f t="shared" si="96"/>
        <v>163.60655196884522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95.071993513283232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95.071993513283232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7.6</v>
      </c>
      <c r="DO97" s="12">
        <f>IF('Données projet'!$A$166&gt;35,DO96+DN97-DW96,IF(A97&lt;'Données projet'!$A$166,$DL$205^A97,IF(A97='Données projet'!$A$166,'Données projet'!$B$166,DO96+DN97-DW96)))</f>
        <v>381.39999999999992</v>
      </c>
      <c r="DP97" s="17">
        <f>DO97*VLOOKUP('Données projet'!$B$14,Paramètres!$A$1:$I$89,3,0)*VLOOKUP('Données projet'!$B$14,Paramètres!$A$1:$I$89,5,0)</f>
        <v>327.24119999999999</v>
      </c>
      <c r="DQ97" s="13">
        <f t="shared" si="97"/>
        <v>76.85805838290122</v>
      </c>
      <c r="DR97" s="20">
        <f t="shared" si="70"/>
        <v>703.80620835021955</v>
      </c>
      <c r="DS97" s="59">
        <f t="shared" si="71"/>
        <v>997.13954168355281</v>
      </c>
      <c r="DT97" s="59">
        <f ca="1">AVERAGE(OFFSET($DS$3,0,0,'Données projet'!$E$14+1,1))-AVERAGE(OFFSET($H$3,0,0,'Données projet'!$E$14+1,1))</f>
        <v>352.76625414822473</v>
      </c>
      <c r="DU97" s="59">
        <f t="shared" si="98"/>
        <v>186.48649111821521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94.546657848214906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94.546657848214906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210.25641030000014</v>
      </c>
      <c r="EK97" s="17">
        <f>EJ97*VLOOKUP('Données projet'!$B$15,Paramètres!$A$1:$I$89,3,0)*VLOOKUP('Données projet'!$B$15,Paramètres!$A$1:$I$89,5,0)</f>
        <v>164.00000003400012</v>
      </c>
      <c r="EL97" s="13">
        <f t="shared" si="99"/>
        <v>41.743425916009095</v>
      </c>
      <c r="EM97" s="20">
        <f t="shared" si="73"/>
        <v>358.3364668629327</v>
      </c>
      <c r="EN97" s="59">
        <f t="shared" si="74"/>
        <v>651.66980019626601</v>
      </c>
      <c r="EO97" s="59">
        <f ca="1">AVERAGE(OFFSET($EN$3,0,0,'Données projet'!$E$15+1,1))-AVERAGE(OFFSET($H$3,0,0,'Données projet'!$E$15+1,1))</f>
        <v>130.66539383144681</v>
      </c>
      <c r="EP97" s="59">
        <f t="shared" si="100"/>
        <v>126.36398121441903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19.684021973863466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19.684021973863466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7.2909999999999968</v>
      </c>
      <c r="FE97" s="12">
        <f>IF('Données projet'!$A$218&gt;35,FE96+FD97-FM96,IF(A97&lt;'Données projet'!$A$218,$FB$205^A97,IF(A97='Données projet'!$A$218,'Données projet'!$B$218,FE96+FD97-FM96)))</f>
        <v>272.09100000000007</v>
      </c>
      <c r="FF97" s="17">
        <f>FE97*VLOOKUP('Données projet'!$B$16,Paramètres!$A$1:$I$89,3,0)*VLOOKUP('Données projet'!$B$16,Paramètres!$A$1:$I$89,5,0)</f>
        <v>263.16641520000007</v>
      </c>
      <c r="FG97" s="13">
        <f t="shared" si="101"/>
        <v>63.396853474353101</v>
      </c>
      <c r="FH97" s="20">
        <f t="shared" si="76"/>
        <v>568.76435960783181</v>
      </c>
      <c r="FI97" s="59">
        <f t="shared" si="77"/>
        <v>862.09769294116518</v>
      </c>
      <c r="FJ97" s="59">
        <f ca="1">AVERAGE(OFFSET($FI$3,0,0,'Données projet'!$E$16+1,1))-AVERAGE(OFFSET($H$3,0,0,'Données projet'!$E$16+1,1))</f>
        <v>380.43199889536805</v>
      </c>
      <c r="FK97" s="59">
        <f t="shared" si="102"/>
        <v>154.72646317672996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90.684055351131704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90.684055351131704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304</v>
      </c>
      <c r="O98" s="13">
        <f>N98*VLOOKUP('Données projet'!$B$9,Paramètres!$A$1:$I$89,3,0)*VLOOKUP('Données projet'!$B$9,Paramètres!$A$1:$I$89,5,0)</f>
        <v>189.696</v>
      </c>
      <c r="P98" s="13">
        <f t="shared" si="87"/>
        <v>47.472736505152469</v>
      </c>
      <c r="Q98" s="20">
        <f t="shared" si="54"/>
        <v>413.06888274647389</v>
      </c>
      <c r="R98" s="59">
        <f t="shared" si="55"/>
        <v>706.4022160798072</v>
      </c>
      <c r="S98" s="59">
        <f ca="1">AVERAGE(OFFSET($R$3,0,0,'Données projet'!$E$9+1,1))-AVERAGE(OFFSET($H$3,0,0,'Données projet'!$E$9+1,1))</f>
        <v>179.44051550872138</v>
      </c>
      <c r="T98" s="59">
        <f t="shared" si="88"/>
        <v>272.9500808380069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33.948519372526412</v>
      </c>
      <c r="AA98" s="21">
        <f>EXP(-LN(2)/25)*AA97+(1-EXP(-LN(2)/25))/(LN(2)/25)*Calculateur!V98*Calculateur!X98*VLOOKUP('Données projet'!$B$9,Paramètres!$A$1:$I$89,3,0)*0.475*44/12</f>
        <v>7.9812955727404136</v>
      </c>
      <c r="AB98" s="21">
        <f>EXP(-LN(2)/2)*AB97+(1-EXP(-LN(2)/2))/(LN(2)/2)*V98*Y98*VLOOKUP('Données projet'!$B$9,Paramètres!$A$1:$I$89,3,0)*0.475*44/12</f>
        <v>3.6349236363214646E-11</v>
      </c>
      <c r="AC98" s="22">
        <f t="shared" si="57"/>
        <v>41.929814945303178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397.55</v>
      </c>
      <c r="AG98" s="12">
        <f>VLOOKUP(A98,'Données projet'!$A$61:$I$81,9,0)</f>
        <v>7.7020000000000097</v>
      </c>
      <c r="AH98" s="12">
        <f t="array" ref="AH98">INDEX(AG:AG,MIN(IF(ISNUMBER(AG98:AG294),ROW(AG98:AG294),"")))</f>
        <v>7.7020000000000097</v>
      </c>
      <c r="AI98" s="13">
        <f>IF('Données projet'!$A$62&gt;35,AI97+AH98-AQ97,IF(A98&lt;'Données projet'!$A$62,$AF$205^A98,IF(A98='Données projet'!$A$62,'Données projet'!$B$62,AI97+AH98-AQ97)))</f>
        <v>397.54999999999995</v>
      </c>
      <c r="AJ98" s="13">
        <f>AI98*VLOOKUP('Données projet'!$B$10,Paramètres!$A$1:$I$89,3,0)*VLOOKUP('Données projet'!$B$10,Paramètres!$A$1:$I$89,5,0)</f>
        <v>191.22154999999998</v>
      </c>
      <c r="AK98" s="13">
        <f t="shared" si="89"/>
        <v>47.809919399534799</v>
      </c>
      <c r="AL98" s="20">
        <f t="shared" si="58"/>
        <v>416.31314253752311</v>
      </c>
      <c r="AM98" s="59">
        <f t="shared" si="59"/>
        <v>709.64647587085642</v>
      </c>
      <c r="AN98" s="59">
        <f ca="1">AVERAGE(OFFSET($AM$3,0,0,'Données projet'!$E$10+1,1))-AVERAGE(OFFSET($H$3,0,0,'Données projet'!$E$10+1,1))</f>
        <v>174.18188687702559</v>
      </c>
      <c r="AO98" s="59">
        <f t="shared" si="90"/>
        <v>32.17353897322738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107.44358878711799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107.44358878711799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0.8600000000003547</v>
      </c>
      <c r="BE98" s="13">
        <f>BD98*VLOOKUP('Données projet'!$B$11,Paramètres!$A$1:$I$89,3,0)*VLOOKUP('Données projet'!$B$11,Paramètres!$A$1:$I$89,5,0)</f>
        <v>0.48074000000019829</v>
      </c>
      <c r="BF98" s="13">
        <f t="shared" si="91"/>
        <v>0.24126147010950588</v>
      </c>
      <c r="BG98" s="20">
        <f t="shared" si="61"/>
        <v>1.2574858937744013</v>
      </c>
      <c r="BH98" s="59">
        <f t="shared" si="62"/>
        <v>294.59081922710772</v>
      </c>
      <c r="BI98" s="59">
        <f ca="1">AVERAGE(OFFSET($BH$3,0,0,'Données projet'!$E$11+1,1))-AVERAGE(OFFSET($H$3,0,0,'Données projet'!$E$11+1,1))</f>
        <v>350.01600895263641</v>
      </c>
      <c r="BJ98" s="59">
        <f t="shared" si="92"/>
        <v>464.08921044376882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168.36942571455228</v>
      </c>
      <c r="BQ98" s="21">
        <f>EXP(-LN(2)/25)*BQ97+(1-EXP(-LN(2)/25))/(LN(2)/25)*Calculateur!BL98*Calculateur!BN98*VLOOKUP('Données projet'!$B$11,Paramètres!$A$1:$I$89,3,0)*0.475*44/12</f>
        <v>8.3411491068843535</v>
      </c>
      <c r="BR98" s="21">
        <f>EXP(-LN(2)/2)*BR97+(1-EXP(-LN(2)/2))/(LN(2)/2)*BL98*BO98*VLOOKUP('Données projet'!$B$11,Paramètres!$A$1:$I$89,3,0)*0.475*44/12</f>
        <v>1.2181765018949573E-10</v>
      </c>
      <c r="BS98" s="22">
        <f t="shared" si="63"/>
        <v>176.71057482155845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253.79640000000001</v>
      </c>
      <c r="CA98" s="13">
        <f t="shared" si="93"/>
        <v>61.39816832228076</v>
      </c>
      <c r="CB98" s="20">
        <f t="shared" si="64"/>
        <v>548.96387316130563</v>
      </c>
      <c r="CC98" s="59">
        <f t="shared" si="65"/>
        <v>842.29720649463889</v>
      </c>
      <c r="CD98" s="59">
        <f ca="1">AVERAGE(OFFSET($CC$3,0,0,'Données projet'!$E$12+1,1))-AVERAGE(OFFSET($H$3,0,0,'Données projet'!$E$12+1,1))</f>
        <v>279.49721661620544</v>
      </c>
      <c r="CE98" s="59">
        <f t="shared" si="94"/>
        <v>275.18739333988754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39.503848751836813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39.503848751836813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7.2909999999999968</v>
      </c>
      <c r="CT98" s="12">
        <f>IF('Données projet'!$A$140&gt;35,CT97+CS98-DB97,IF(A98&lt;'Données projet'!$A$140,$CQ$205^A98,IF(A98='Données projet'!$A$140,'Données projet'!$B$140,CT97+CS98-DB97)))</f>
        <v>279.38200000000006</v>
      </c>
      <c r="CU98" s="17">
        <f>CT98*VLOOKUP('Données projet'!$B$13,Paramètres!$A$1:$I$89,3,0)*VLOOKUP('Données projet'!$B$13,Paramètres!$A$1:$I$89,5,0)</f>
        <v>283.29334800000009</v>
      </c>
      <c r="CV98" s="13">
        <f t="shared" si="95"/>
        <v>67.662513628868325</v>
      </c>
      <c r="CW98" s="20">
        <f t="shared" si="67"/>
        <v>611.24812567027914</v>
      </c>
      <c r="CX98" s="59">
        <f t="shared" si="68"/>
        <v>904.58145900361251</v>
      </c>
      <c r="CY98" s="59">
        <f ca="1">AVERAGE(OFFSET($CX$3,0,0,'Données projet'!$E$13+1,1))-AVERAGE(OFFSET($H$3,0,0,'Données projet'!$E$13+1,1))</f>
        <v>402.54350692668021</v>
      </c>
      <c r="CZ98" s="59">
        <f t="shared" si="96"/>
        <v>163.60655196884522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93.207689708677933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93.207689708677933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389</v>
      </c>
      <c r="DM98" s="12">
        <f>VLOOKUP(A98,'Données projet'!$A$165:$I$185,9,0)</f>
        <v>7.6</v>
      </c>
      <c r="DN98" s="12">
        <f t="array" ref="DN98">INDEX(DM:DM,MIN(IF(ISNUMBER(DM98:DM294),ROW(DM98:DM294),"")))</f>
        <v>7.6</v>
      </c>
      <c r="DO98" s="12">
        <f>IF('Données projet'!$A$166&gt;35,DO97+DN98-DW97,IF(A98&lt;'Données projet'!$A$166,$DL$205^A98,IF(A98='Données projet'!$A$166,'Données projet'!$B$166,DO97+DN98-DW97)))</f>
        <v>388.99999999999994</v>
      </c>
      <c r="DP98" s="17">
        <f>DO98*VLOOKUP('Données projet'!$B$14,Paramètres!$A$1:$I$89,3,0)*VLOOKUP('Données projet'!$B$14,Paramètres!$A$1:$I$89,5,0)</f>
        <v>333.762</v>
      </c>
      <c r="DQ98" s="13">
        <f t="shared" si="97"/>
        <v>78.209750448453065</v>
      </c>
      <c r="DR98" s="20">
        <f t="shared" si="70"/>
        <v>717.51746536438895</v>
      </c>
      <c r="DS98" s="59">
        <f t="shared" si="71"/>
        <v>1010.8507986977222</v>
      </c>
      <c r="DT98" s="59">
        <f ca="1">AVERAGE(OFFSET($DS$3,0,0,'Données projet'!$E$14+1,1))-AVERAGE(OFFSET($H$3,0,0,'Données projet'!$E$14+1,1))</f>
        <v>352.76625414822473</v>
      </c>
      <c r="DU98" s="59">
        <f t="shared" si="98"/>
        <v>186.48649111821521</v>
      </c>
      <c r="DV98" s="15">
        <f>IF(ISNA(VLOOKUP(A98,'Données projet'!$A$165:$I$185,3,0)),0,VLOOKUP(A98,'Données projet'!$A$165:$I$185,3,0))</f>
        <v>15</v>
      </c>
      <c r="DW98" s="15">
        <f>IF(ISNA(VLOOKUP(A98,'Données projet'!$A$165:$I$185,4,0)),0,VLOOKUP(A98,'Données projet'!$A$165:$I$185,4,0))</f>
        <v>25</v>
      </c>
      <c r="DX98" s="16">
        <f>IF(ISNA(VLOOKUP(A98,'Données projet'!$A$165:$I$185,5,0)),0%,VLOOKUP(A98,'Données projet'!$A$165:$I$185,5,0)*VLOOKUP('Données projet'!$B$14,Paramètres!$A$1:$I$89,7,0))</f>
        <v>0.53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105.26019556529883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105.26019556529883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210.25641030000014</v>
      </c>
      <c r="EK98" s="17">
        <f>EJ98*VLOOKUP('Données projet'!$B$15,Paramètres!$A$1:$I$89,3,0)*VLOOKUP('Données projet'!$B$15,Paramètres!$A$1:$I$89,5,0)</f>
        <v>164.00000003400012</v>
      </c>
      <c r="EL98" s="13">
        <f t="shared" si="99"/>
        <v>41.743425916009095</v>
      </c>
      <c r="EM98" s="20">
        <f t="shared" si="73"/>
        <v>358.3364668629327</v>
      </c>
      <c r="EN98" s="59">
        <f t="shared" si="74"/>
        <v>651.66980019626601</v>
      </c>
      <c r="EO98" s="59">
        <f ca="1">AVERAGE(OFFSET($EN$3,0,0,'Données projet'!$E$15+1,1))-AVERAGE(OFFSET($H$3,0,0,'Données projet'!$E$15+1,1))</f>
        <v>130.66539383144681</v>
      </c>
      <c r="EP98" s="59">
        <f t="shared" si="100"/>
        <v>126.36398121441903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19.298030309023908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19.298030309023908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7.2909999999999968</v>
      </c>
      <c r="FE98" s="12">
        <f>IF('Données projet'!$A$218&gt;35,FE97+FD98-FM97,IF(A98&lt;'Données projet'!$A$218,$FB$205^A98,IF(A98='Données projet'!$A$218,'Données projet'!$B$218,FE97+FD98-FM97)))</f>
        <v>279.38200000000006</v>
      </c>
      <c r="FF98" s="17">
        <f>FE98*VLOOKUP('Données projet'!$B$16,Paramètres!$A$1:$I$89,3,0)*VLOOKUP('Données projet'!$B$16,Paramètres!$A$1:$I$89,5,0)</f>
        <v>270.21827040000011</v>
      </c>
      <c r="FG98" s="13">
        <f t="shared" si="101"/>
        <v>64.895589596704227</v>
      </c>
      <c r="FH98" s="20">
        <f t="shared" si="76"/>
        <v>583.65663949426005</v>
      </c>
      <c r="FI98" s="59">
        <f t="shared" si="77"/>
        <v>876.98997282759342</v>
      </c>
      <c r="FJ98" s="59">
        <f ca="1">AVERAGE(OFFSET($FI$3,0,0,'Données projet'!$E$16+1,1))-AVERAGE(OFFSET($H$3,0,0,'Données projet'!$E$16+1,1))</f>
        <v>380.43199889536805</v>
      </c>
      <c r="FK98" s="59">
        <f t="shared" si="102"/>
        <v>154.72646317672996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88.905796337508193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88.905796337508193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304</v>
      </c>
      <c r="O99" s="13">
        <f>N99*VLOOKUP('Données projet'!$B$9,Paramètres!$A$1:$I$89,3,0)*VLOOKUP('Données projet'!$B$9,Paramètres!$A$1:$I$89,5,0)</f>
        <v>189.696</v>
      </c>
      <c r="P99" s="13">
        <f t="shared" si="87"/>
        <v>47.472736505152469</v>
      </c>
      <c r="Q99" s="20">
        <f t="shared" ref="Q99:Q130" si="107">(O99+P99)*0.475*44/12</f>
        <v>413.06888274647389</v>
      </c>
      <c r="R99" s="59">
        <f t="shared" si="55"/>
        <v>706.4022160798072</v>
      </c>
      <c r="S99" s="59">
        <f ca="1">AVERAGE(OFFSET($R$3,0,0,'Données projet'!$E$9+1,1))-AVERAGE(OFFSET($H$3,0,0,'Données projet'!$E$9+1,1))</f>
        <v>179.44051550872138</v>
      </c>
      <c r="T99" s="59">
        <f t="shared" si="88"/>
        <v>272.9500808380069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33.282809614183385</v>
      </c>
      <c r="AA99" s="21">
        <f>EXP(-LN(2)/25)*AA98+(1-EXP(-LN(2)/25))/(LN(2)/25)*Calculateur!V99*Calculateur!X99*VLOOKUP('Données projet'!$B$9,Paramètres!$A$1:$I$89,3,0)*0.475*44/12</f>
        <v>7.7630466255857344</v>
      </c>
      <c r="AB99" s="21">
        <f>EXP(-LN(2)/2)*AB98+(1-EXP(-LN(2)/2))/(LN(2)/2)*V99*Y99*VLOOKUP('Données projet'!$B$9,Paramètres!$A$1:$I$89,3,0)*0.475*44/12</f>
        <v>2.5702791523381715E-11</v>
      </c>
      <c r="AC99" s="22">
        <f t="shared" si="57"/>
        <v>41.045856239794823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7.8519999999999985</v>
      </c>
      <c r="AI99" s="13">
        <f>IF('Données projet'!$A$62&gt;35,AI98+AH99-AQ98,IF(A99&lt;'Données projet'!$A$62,$AF$205^A99,IF(A99='Données projet'!$A$62,'Données projet'!$B$62,AI98+AH99-AQ98)))</f>
        <v>405.40199999999993</v>
      </c>
      <c r="AJ99" s="13">
        <f>AI99*VLOOKUP('Données projet'!$B$10,Paramètres!$A$1:$I$89,3,0)*VLOOKUP('Données projet'!$B$10,Paramètres!$A$1:$I$89,5,0)</f>
        <v>194.99836199999996</v>
      </c>
      <c r="AK99" s="13">
        <f t="shared" si="89"/>
        <v>48.643344115820497</v>
      </c>
      <c r="AL99" s="20">
        <f t="shared" si="58"/>
        <v>424.34263815172062</v>
      </c>
      <c r="AM99" s="59">
        <f t="shared" si="59"/>
        <v>717.67597148505388</v>
      </c>
      <c r="AN99" s="59">
        <f ca="1">AVERAGE(OFFSET($AM$3,0,0,'Données projet'!$E$10+1,1))-AVERAGE(OFFSET($H$3,0,0,'Données projet'!$E$10+1,1))</f>
        <v>174.18188687702559</v>
      </c>
      <c r="AO99" s="59">
        <f t="shared" si="90"/>
        <v>32.17353897322738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105.33668554512082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105.33668554512082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0.8600000000003547</v>
      </c>
      <c r="BE99" s="13">
        <f>BD99*VLOOKUP('Données projet'!$B$11,Paramètres!$A$1:$I$89,3,0)*VLOOKUP('Données projet'!$B$11,Paramètres!$A$1:$I$89,5,0)</f>
        <v>0.48074000000019829</v>
      </c>
      <c r="BF99" s="13">
        <f t="shared" si="91"/>
        <v>0.24126147010950588</v>
      </c>
      <c r="BG99" s="20">
        <f t="shared" si="61"/>
        <v>1.2574858937744013</v>
      </c>
      <c r="BH99" s="59">
        <f t="shared" si="62"/>
        <v>294.59081922710772</v>
      </c>
      <c r="BI99" s="59">
        <f ca="1">AVERAGE(OFFSET($BH$3,0,0,'Données projet'!$E$11+1,1))-AVERAGE(OFFSET($H$3,0,0,'Données projet'!$E$11+1,1))</f>
        <v>350.01600895263641</v>
      </c>
      <c r="BJ99" s="59">
        <f t="shared" si="92"/>
        <v>464.08921044376882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165.06780397149927</v>
      </c>
      <c r="BQ99" s="21">
        <f>EXP(-LN(2)/25)*BQ98+(1-EXP(-LN(2)/25))/(LN(2)/25)*Calculateur!BL99*Calculateur!BN99*VLOOKUP('Données projet'!$B$11,Paramètres!$A$1:$I$89,3,0)*0.475*44/12</f>
        <v>8.1130599459146335</v>
      </c>
      <c r="BR99" s="21">
        <f>EXP(-LN(2)/2)*BR98+(1-EXP(-LN(2)/2))/(LN(2)/2)*BL99*BO99*VLOOKUP('Données projet'!$B$11,Paramètres!$A$1:$I$89,3,0)*0.475*44/12</f>
        <v>8.613808651720315E-11</v>
      </c>
      <c r="BS99" s="22">
        <f t="shared" si="63"/>
        <v>173.18086391750006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253.79640000000001</v>
      </c>
      <c r="CA99" s="13">
        <f t="shared" si="93"/>
        <v>61.39816832228076</v>
      </c>
      <c r="CB99" s="20">
        <f t="shared" si="64"/>
        <v>548.96387316130563</v>
      </c>
      <c r="CC99" s="59">
        <f t="shared" si="65"/>
        <v>842.29720649463889</v>
      </c>
      <c r="CD99" s="59">
        <f ca="1">AVERAGE(OFFSET($CC$3,0,0,'Données projet'!$E$12+1,1))-AVERAGE(OFFSET($H$3,0,0,'Données projet'!$E$12+1,1))</f>
        <v>279.49721661620544</v>
      </c>
      <c r="CE99" s="59">
        <f t="shared" si="94"/>
        <v>275.18739333988754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38.729202372781849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38.729202372781849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7.2909999999999968</v>
      </c>
      <c r="CT99" s="12">
        <f>IF('Données projet'!$A$140&gt;35,CT98+CS99-DB98,IF(A99&lt;'Données projet'!$A$140,$CQ$205^A99,IF(A99='Données projet'!$A$140,'Données projet'!$B$140,CT98+CS99-DB98)))</f>
        <v>286.67300000000006</v>
      </c>
      <c r="CU99" s="17">
        <f>CT99*VLOOKUP('Données projet'!$B$13,Paramètres!$A$1:$I$89,3,0)*VLOOKUP('Données projet'!$B$13,Paramètres!$A$1:$I$89,5,0)</f>
        <v>290.68642200000011</v>
      </c>
      <c r="CV99" s="13">
        <f t="shared" si="95"/>
        <v>69.220410534780981</v>
      </c>
      <c r="CW99" s="20">
        <f t="shared" si="67"/>
        <v>626.83773333141039</v>
      </c>
      <c r="CX99" s="59">
        <f t="shared" si="68"/>
        <v>920.17106666474365</v>
      </c>
      <c r="CY99" s="59">
        <f ca="1">AVERAGE(OFFSET($CX$3,0,0,'Données projet'!$E$13+1,1))-AVERAGE(OFFSET($H$3,0,0,'Données projet'!$E$13+1,1))</f>
        <v>402.54350692668021</v>
      </c>
      <c r="CZ99" s="59">
        <f t="shared" si="96"/>
        <v>163.60655196884522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91.379943764567898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91.379943764567898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7.2</v>
      </c>
      <c r="DO99" s="12">
        <f>IF('Données projet'!$A$166&gt;35,DO98+DN99-DW98,IF(A99&lt;'Données projet'!$A$166,$DL$205^A99,IF(A99='Données projet'!$A$166,'Données projet'!$B$166,DO98+DN99-DW98)))</f>
        <v>371.19999999999993</v>
      </c>
      <c r="DP99" s="17">
        <f>DO99*VLOOKUP('Données projet'!$B$14,Paramètres!$A$1:$I$89,3,0)*VLOOKUP('Données projet'!$B$14,Paramètres!$A$1:$I$89,5,0)</f>
        <v>318.48959999999994</v>
      </c>
      <c r="DQ99" s="13">
        <f t="shared" si="97"/>
        <v>75.038999086150227</v>
      </c>
      <c r="DR99" s="20">
        <f t="shared" si="70"/>
        <v>685.39564340837808</v>
      </c>
      <c r="DS99" s="59">
        <f t="shared" si="71"/>
        <v>978.72897674171145</v>
      </c>
      <c r="DT99" s="59">
        <f ca="1">AVERAGE(OFFSET($DS$3,0,0,'Données projet'!$E$14+1,1))-AVERAGE(OFFSET($H$3,0,0,'Données projet'!$E$14+1,1))</f>
        <v>352.76625414822473</v>
      </c>
      <c r="DU99" s="59">
        <f t="shared" si="98"/>
        <v>186.48649111821521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103.19610733264315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103.19610733264315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210.25641030000014</v>
      </c>
      <c r="EK99" s="17">
        <f>EJ99*VLOOKUP('Données projet'!$B$15,Paramètres!$A$1:$I$89,3,0)*VLOOKUP('Données projet'!$B$15,Paramètres!$A$1:$I$89,5,0)</f>
        <v>164.00000003400012</v>
      </c>
      <c r="EL99" s="13">
        <f t="shared" si="99"/>
        <v>41.743425916009095</v>
      </c>
      <c r="EM99" s="20">
        <f t="shared" si="73"/>
        <v>358.3364668629327</v>
      </c>
      <c r="EN99" s="59">
        <f t="shared" si="74"/>
        <v>651.66980019626601</v>
      </c>
      <c r="EO99" s="59">
        <f ca="1">AVERAGE(OFFSET($EN$3,0,0,'Données projet'!$E$15+1,1))-AVERAGE(OFFSET($H$3,0,0,'Données projet'!$E$15+1,1))</f>
        <v>130.66539383144681</v>
      </c>
      <c r="EP99" s="59">
        <f t="shared" si="100"/>
        <v>126.36398121441903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18.919607705300184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18.919607705300184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7.2909999999999968</v>
      </c>
      <c r="FE99" s="12">
        <f>IF('Données projet'!$A$218&gt;35,FE98+FD99-FM98,IF(A99&lt;'Données projet'!$A$218,$FB$205^A99,IF(A99='Données projet'!$A$218,'Données projet'!$B$218,FE98+FD99-FM98)))</f>
        <v>286.67300000000006</v>
      </c>
      <c r="FF99" s="17">
        <f>FE99*VLOOKUP('Données projet'!$B$16,Paramètres!$A$1:$I$89,3,0)*VLOOKUP('Données projet'!$B$16,Paramètres!$A$1:$I$89,5,0)</f>
        <v>277.27012560000009</v>
      </c>
      <c r="FG99" s="13">
        <f t="shared" si="101"/>
        <v>66.389779404588467</v>
      </c>
      <c r="FH99" s="20">
        <f t="shared" si="76"/>
        <v>598.54100121632507</v>
      </c>
      <c r="FI99" s="59">
        <f t="shared" si="77"/>
        <v>891.87433454965844</v>
      </c>
      <c r="FJ99" s="59">
        <f ca="1">AVERAGE(OFFSET($FI$3,0,0,'Données projet'!$E$16+1,1))-AVERAGE(OFFSET($H$3,0,0,'Données projet'!$E$16+1,1))</f>
        <v>380.43199889536805</v>
      </c>
      <c r="FK99" s="59">
        <f t="shared" si="102"/>
        <v>154.72646317672996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87.162407898510935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87.162407898510935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304</v>
      </c>
      <c r="O100" s="13">
        <f>N100*VLOOKUP('Données projet'!$B$9,Paramètres!$A$1:$I$89,3,0)*VLOOKUP('Données projet'!$B$9,Paramètres!$A$1:$I$89,5,0)</f>
        <v>189.696</v>
      </c>
      <c r="P100" s="13">
        <f t="shared" si="87"/>
        <v>47.472736505152469</v>
      </c>
      <c r="Q100" s="20">
        <f t="shared" si="107"/>
        <v>413.06888274647389</v>
      </c>
      <c r="R100" s="59">
        <f t="shared" si="55"/>
        <v>706.4022160798072</v>
      </c>
      <c r="S100" s="59">
        <f ca="1">AVERAGE(OFFSET($R$3,0,0,'Données projet'!$E$9+1,1))-AVERAGE(OFFSET($H$3,0,0,'Données projet'!$E$9+1,1))</f>
        <v>179.44051550872138</v>
      </c>
      <c r="T100" s="59">
        <f t="shared" si="88"/>
        <v>272.9500808380069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32.630154018158606</v>
      </c>
      <c r="AA100" s="21">
        <f>EXP(-LN(2)/25)*AA99+(1-EXP(-LN(2)/25))/(LN(2)/25)*Calculateur!V100*Calculateur!X100*VLOOKUP('Données projet'!$B$9,Paramètres!$A$1:$I$89,3,0)*0.475*44/12</f>
        <v>7.5507657073682131</v>
      </c>
      <c r="AB100" s="21">
        <f>EXP(-LN(2)/2)*AB99+(1-EXP(-LN(2)/2))/(LN(2)/2)*V100*Y100*VLOOKUP('Données projet'!$B$9,Paramètres!$A$1:$I$89,3,0)*0.475*44/12</f>
        <v>1.8174618181607323E-11</v>
      </c>
      <c r="AC100" s="22">
        <f t="shared" si="57"/>
        <v>40.180919725544996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7.8519999999999985</v>
      </c>
      <c r="AI100" s="13">
        <f>IF('Données projet'!$A$62&gt;35,AI99+AH100-AQ99,IF(A100&lt;'Données projet'!$A$62,$AF$205^A100,IF(A100='Données projet'!$A$62,'Données projet'!$B$62,AI99+AH100-AQ99)))</f>
        <v>413.25399999999991</v>
      </c>
      <c r="AJ100" s="13">
        <f>AI100*VLOOKUP('Données projet'!$B$10,Paramètres!$A$1:$I$89,3,0)*VLOOKUP('Données projet'!$B$10,Paramètres!$A$1:$I$89,5,0)</f>
        <v>198.77517399999996</v>
      </c>
      <c r="AK100" s="13">
        <f t="shared" si="89"/>
        <v>49.474891880817943</v>
      </c>
      <c r="AL100" s="20">
        <f t="shared" si="58"/>
        <v>432.36886474242448</v>
      </c>
      <c r="AM100" s="59">
        <f t="shared" si="59"/>
        <v>725.70219807575779</v>
      </c>
      <c r="AN100" s="59">
        <f ca="1">AVERAGE(OFFSET($AM$3,0,0,'Données projet'!$E$10+1,1))-AVERAGE(OFFSET($H$3,0,0,'Données projet'!$E$10+1,1))</f>
        <v>174.18188687702559</v>
      </c>
      <c r="AO100" s="59">
        <f t="shared" si="90"/>
        <v>32.17353897322738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103.27109739061511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103.27109739061511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0.8600000000003547</v>
      </c>
      <c r="BE100" s="13">
        <f>BD100*VLOOKUP('Données projet'!$B$11,Paramètres!$A$1:$I$89,3,0)*VLOOKUP('Données projet'!$B$11,Paramètres!$A$1:$I$89,5,0)</f>
        <v>0.48074000000019829</v>
      </c>
      <c r="BF100" s="13">
        <f t="shared" si="91"/>
        <v>0.24126147010950588</v>
      </c>
      <c r="BG100" s="20">
        <f t="shared" si="61"/>
        <v>1.2574858937744013</v>
      </c>
      <c r="BH100" s="59">
        <f t="shared" si="62"/>
        <v>294.59081922710772</v>
      </c>
      <c r="BI100" s="59">
        <f ca="1">AVERAGE(OFFSET($BH$3,0,0,'Données projet'!$E$11+1,1))-AVERAGE(OFFSET($H$3,0,0,'Données projet'!$E$11+1,1))</f>
        <v>350.01600895263641</v>
      </c>
      <c r="BJ100" s="59">
        <f t="shared" si="92"/>
        <v>464.08921044376882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161.83092501703712</v>
      </c>
      <c r="BQ100" s="21">
        <f>EXP(-LN(2)/25)*BQ99+(1-EXP(-LN(2)/25))/(LN(2)/25)*Calculateur!BL100*Calculateur!BN100*VLOOKUP('Données projet'!$B$11,Paramètres!$A$1:$I$89,3,0)*0.475*44/12</f>
        <v>7.8912078950463176</v>
      </c>
      <c r="BR100" s="21">
        <f>EXP(-LN(2)/2)*BR99+(1-EXP(-LN(2)/2))/(LN(2)/2)*BL100*BO100*VLOOKUP('Données projet'!$B$11,Paramètres!$A$1:$I$89,3,0)*0.475*44/12</f>
        <v>6.0908825094747865E-11</v>
      </c>
      <c r="BS100" s="22">
        <f t="shared" si="63"/>
        <v>169.72213291214433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253.79640000000001</v>
      </c>
      <c r="CA100" s="13">
        <f t="shared" si="93"/>
        <v>61.39816832228076</v>
      </c>
      <c r="CB100" s="20">
        <f t="shared" si="64"/>
        <v>548.96387316130563</v>
      </c>
      <c r="CC100" s="59">
        <f t="shared" si="65"/>
        <v>842.29720649463889</v>
      </c>
      <c r="CD100" s="59">
        <f ca="1">AVERAGE(OFFSET($CC$3,0,0,'Données projet'!$E$12+1,1))-AVERAGE(OFFSET($H$3,0,0,'Données projet'!$E$12+1,1))</f>
        <v>279.49721661620544</v>
      </c>
      <c r="CE100" s="59">
        <f t="shared" si="94"/>
        <v>275.18739333988754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37.96974633673252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37.96974633673252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7.2909999999999968</v>
      </c>
      <c r="CT100" s="12">
        <f>IF('Données projet'!$A$140&gt;35,CT99+CS100-DB99,IF(A100&lt;'Données projet'!$A$140,$CQ$205^A100,IF(A100='Données projet'!$A$140,'Données projet'!$B$140,CT99+CS100-DB99)))</f>
        <v>293.96400000000006</v>
      </c>
      <c r="CU100" s="17">
        <f>CT100*VLOOKUP('Données projet'!$B$13,Paramètres!$A$1:$I$89,3,0)*VLOOKUP('Données projet'!$B$13,Paramètres!$A$1:$I$89,5,0)</f>
        <v>298.07949600000006</v>
      </c>
      <c r="CV100" s="13">
        <f t="shared" si="95"/>
        <v>70.773701707287046</v>
      </c>
      <c r="CW100" s="20">
        <f t="shared" si="67"/>
        <v>642.41931934019169</v>
      </c>
      <c r="CX100" s="59">
        <f t="shared" si="68"/>
        <v>935.75265267352506</v>
      </c>
      <c r="CY100" s="59">
        <f ca="1">AVERAGE(OFFSET($CX$3,0,0,'Données projet'!$E$13+1,1))-AVERAGE(OFFSET($H$3,0,0,'Données projet'!$E$13+1,1))</f>
        <v>402.54350692668021</v>
      </c>
      <c r="CZ100" s="59">
        <f t="shared" si="96"/>
        <v>163.60655196884522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89.588038803606921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89.588038803606921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7.2</v>
      </c>
      <c r="DO100" s="12">
        <f>IF('Données projet'!$A$166&gt;35,DO99+DN100-DW99,IF(A100&lt;'Données projet'!$A$166,$DL$205^A100,IF(A100='Données projet'!$A$166,'Données projet'!$B$166,DO99+DN100-DW99)))</f>
        <v>378.39999999999992</v>
      </c>
      <c r="DP100" s="17">
        <f>DO100*VLOOKUP('Données projet'!$B$14,Paramètres!$A$1:$I$89,3,0)*VLOOKUP('Données projet'!$B$14,Paramètres!$A$1:$I$89,5,0)</f>
        <v>324.66719999999998</v>
      </c>
      <c r="DQ100" s="13">
        <f t="shared" si="97"/>
        <v>76.323635512638404</v>
      </c>
      <c r="DR100" s="20">
        <f t="shared" si="70"/>
        <v>698.39237185117838</v>
      </c>
      <c r="DS100" s="59">
        <f t="shared" si="71"/>
        <v>991.72570518451175</v>
      </c>
      <c r="DT100" s="59">
        <f ca="1">AVERAGE(OFFSET($DS$3,0,0,'Données projet'!$E$14+1,1))-AVERAGE(OFFSET($H$3,0,0,'Données projet'!$E$14+1,1))</f>
        <v>352.76625414822473</v>
      </c>
      <c r="DU100" s="59">
        <f t="shared" si="98"/>
        <v>186.48649111821521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101.17249461126035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101.17249461126035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210.25641030000014</v>
      </c>
      <c r="EK100" s="17">
        <f>EJ100*VLOOKUP('Données projet'!$B$15,Paramètres!$A$1:$I$89,3,0)*VLOOKUP('Données projet'!$B$15,Paramètres!$A$1:$I$89,5,0)</f>
        <v>164.00000003400012</v>
      </c>
      <c r="EL100" s="13">
        <f t="shared" si="99"/>
        <v>41.743425916009095</v>
      </c>
      <c r="EM100" s="20">
        <f t="shared" si="73"/>
        <v>358.3364668629327</v>
      </c>
      <c r="EN100" s="59">
        <f t="shared" si="74"/>
        <v>651.66980019626601</v>
      </c>
      <c r="EO100" s="59">
        <f ca="1">AVERAGE(OFFSET($EN$3,0,0,'Données projet'!$E$15+1,1))-AVERAGE(OFFSET($H$3,0,0,'Données projet'!$E$15+1,1))</f>
        <v>130.66539383144681</v>
      </c>
      <c r="EP100" s="59">
        <f t="shared" si="100"/>
        <v>126.36398121441903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18.548605738020484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18.548605738020484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7.2909999999999968</v>
      </c>
      <c r="FE100" s="12">
        <f>IF('Données projet'!$A$218&gt;35,FE99+FD100-FM99,IF(A100&lt;'Données projet'!$A$218,$FB$205^A100,IF(A100='Données projet'!$A$218,'Données projet'!$B$218,FE99+FD100-FM99)))</f>
        <v>293.96400000000006</v>
      </c>
      <c r="FF100" s="17">
        <f>FE100*VLOOKUP('Données projet'!$B$16,Paramètres!$A$1:$I$89,3,0)*VLOOKUP('Données projet'!$B$16,Paramètres!$A$1:$I$89,5,0)</f>
        <v>284.32198080000006</v>
      </c>
      <c r="FG100" s="13">
        <f t="shared" si="101"/>
        <v>67.879551821380943</v>
      </c>
      <c r="FH100" s="20">
        <f t="shared" si="76"/>
        <v>613.41766931557186</v>
      </c>
      <c r="FI100" s="59">
        <f t="shared" si="77"/>
        <v>906.75100264890511</v>
      </c>
      <c r="FJ100" s="59">
        <f ca="1">AVERAGE(OFFSET($FI$3,0,0,'Données projet'!$E$16+1,1))-AVERAGE(OFFSET($H$3,0,0,'Données projet'!$E$16+1,1))</f>
        <v>380.43199889536805</v>
      </c>
      <c r="FK100" s="59">
        <f t="shared" si="102"/>
        <v>154.72646317672996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85.453206243440462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85.453206243440462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304</v>
      </c>
      <c r="O101" s="13">
        <f>N101*VLOOKUP('Données projet'!$B$9,Paramètres!$A$1:$I$89,3,0)*VLOOKUP('Données projet'!$B$9,Paramètres!$A$1:$I$89,5,0)</f>
        <v>189.696</v>
      </c>
      <c r="P101" s="13">
        <f t="shared" si="87"/>
        <v>47.472736505152469</v>
      </c>
      <c r="Q101" s="20">
        <f t="shared" si="107"/>
        <v>413.06888274647389</v>
      </c>
      <c r="R101" s="59">
        <f t="shared" si="55"/>
        <v>706.4022160798072</v>
      </c>
      <c r="S101" s="59">
        <f ca="1">AVERAGE(OFFSET($R$3,0,0,'Données projet'!$E$9+1,1))-AVERAGE(OFFSET($H$3,0,0,'Données projet'!$E$9+1,1))</f>
        <v>179.44051550872138</v>
      </c>
      <c r="T101" s="59">
        <f t="shared" si="88"/>
        <v>272.9500808380069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31.990296600291266</v>
      </c>
      <c r="AA101" s="21">
        <f>EXP(-LN(2)/25)*AA100+(1-EXP(-LN(2)/25))/(LN(2)/25)*Calculateur!V101*Calculateur!X101*VLOOKUP('Données projet'!$B$9,Paramètres!$A$1:$I$89,3,0)*0.475*44/12</f>
        <v>7.3442896220227185</v>
      </c>
      <c r="AB101" s="21">
        <f>EXP(-LN(2)/2)*AB100+(1-EXP(-LN(2)/2))/(LN(2)/2)*V101*Y101*VLOOKUP('Données projet'!$B$9,Paramètres!$A$1:$I$89,3,0)*0.475*44/12</f>
        <v>1.2851395761690858E-11</v>
      </c>
      <c r="AC101" s="22">
        <f t="shared" si="57"/>
        <v>39.334586222326841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7.8519999999999985</v>
      </c>
      <c r="AI101" s="13">
        <f>IF('Données projet'!$A$62&gt;35,AI100+AH101-AQ100,IF(A101&lt;'Données projet'!$A$62,$AF$205^A101,IF(A101='Données projet'!$A$62,'Données projet'!$B$62,AI100+AH101-AQ100)))</f>
        <v>421.10599999999988</v>
      </c>
      <c r="AJ101" s="13">
        <f>AI101*VLOOKUP('Données projet'!$B$10,Paramètres!$A$1:$I$89,3,0)*VLOOKUP('Données projet'!$B$10,Paramètres!$A$1:$I$89,5,0)</f>
        <v>202.55198599999994</v>
      </c>
      <c r="AK101" s="13">
        <f t="shared" si="89"/>
        <v>50.304602469382218</v>
      </c>
      <c r="AL101" s="20">
        <f t="shared" si="58"/>
        <v>440.39189158417389</v>
      </c>
      <c r="AM101" s="59">
        <f t="shared" si="59"/>
        <v>733.72522491750715</v>
      </c>
      <c r="AN101" s="59">
        <f ca="1">AVERAGE(OFFSET($AM$3,0,0,'Données projet'!$E$10+1,1))-AVERAGE(OFFSET($H$3,0,0,'Données projet'!$E$10+1,1))</f>
        <v>174.18188687702559</v>
      </c>
      <c r="AO101" s="59">
        <f t="shared" si="90"/>
        <v>32.17353897322738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101.2460141599349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101.2460141599349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0.8600000000003547</v>
      </c>
      <c r="BE101" s="13">
        <f>BD101*VLOOKUP('Données projet'!$B$11,Paramètres!$A$1:$I$89,3,0)*VLOOKUP('Données projet'!$B$11,Paramètres!$A$1:$I$89,5,0)</f>
        <v>0.48074000000019829</v>
      </c>
      <c r="BF101" s="13">
        <f t="shared" si="91"/>
        <v>0.24126147010950588</v>
      </c>
      <c r="BG101" s="20">
        <f t="shared" si="61"/>
        <v>1.2574858937744013</v>
      </c>
      <c r="BH101" s="59">
        <f t="shared" si="62"/>
        <v>294.59081922710772</v>
      </c>
      <c r="BI101" s="59">
        <f ca="1">AVERAGE(OFFSET($BH$3,0,0,'Données projet'!$E$11+1,1))-AVERAGE(OFFSET($H$3,0,0,'Données projet'!$E$11+1,1))</f>
        <v>350.01600895263641</v>
      </c>
      <c r="BJ101" s="59">
        <f t="shared" si="92"/>
        <v>464.08921044376882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158.65751928457075</v>
      </c>
      <c r="BQ101" s="21">
        <f>EXP(-LN(2)/25)*BQ100+(1-EXP(-LN(2)/25))/(LN(2)/25)*Calculateur!BL101*Calculateur!BN101*VLOOKUP('Données projet'!$B$11,Paramètres!$A$1:$I$89,3,0)*0.475*44/12</f>
        <v>7.6754224001756883</v>
      </c>
      <c r="BR101" s="21">
        <f>EXP(-LN(2)/2)*BR100+(1-EXP(-LN(2)/2))/(LN(2)/2)*BL101*BO101*VLOOKUP('Données projet'!$B$11,Paramètres!$A$1:$I$89,3,0)*0.475*44/12</f>
        <v>4.3069043258601575E-11</v>
      </c>
      <c r="BS101" s="22">
        <f t="shared" si="63"/>
        <v>166.33294168478949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253.79640000000001</v>
      </c>
      <c r="CA101" s="13">
        <f t="shared" si="93"/>
        <v>61.39816832228076</v>
      </c>
      <c r="CB101" s="20">
        <f t="shared" si="64"/>
        <v>548.96387316130563</v>
      </c>
      <c r="CC101" s="59">
        <f t="shared" si="65"/>
        <v>842.29720649463889</v>
      </c>
      <c r="CD101" s="59">
        <f ca="1">AVERAGE(OFFSET($CC$3,0,0,'Données projet'!$E$12+1,1))-AVERAGE(OFFSET($H$3,0,0,'Données projet'!$E$12+1,1))</f>
        <v>279.49721661620544</v>
      </c>
      <c r="CE101" s="59">
        <f t="shared" si="94"/>
        <v>275.18739333988754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37.22518277032767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37.22518277032767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7.2909999999999968</v>
      </c>
      <c r="CT101" s="12">
        <f>IF('Données projet'!$A$140&gt;35,CT100+CS101-DB100,IF(A101&lt;'Données projet'!$A$140,$CQ$205^A101,IF(A101='Données projet'!$A$140,'Données projet'!$B$140,CT100+CS101-DB100)))</f>
        <v>301.25500000000005</v>
      </c>
      <c r="CU101" s="17">
        <f>CT101*VLOOKUP('Données projet'!$B$13,Paramètres!$A$1:$I$89,3,0)*VLOOKUP('Données projet'!$B$13,Paramètres!$A$1:$I$89,5,0)</f>
        <v>305.47257000000008</v>
      </c>
      <c r="CV101" s="13">
        <f t="shared" si="95"/>
        <v>72.322514518660114</v>
      </c>
      <c r="CW101" s="20">
        <f t="shared" si="67"/>
        <v>657.99310553666646</v>
      </c>
      <c r="CX101" s="59">
        <f t="shared" si="68"/>
        <v>951.32643886999972</v>
      </c>
      <c r="CY101" s="59">
        <f ca="1">AVERAGE(OFFSET($CX$3,0,0,'Données projet'!$E$13+1,1))-AVERAGE(OFFSET($H$3,0,0,'Données projet'!$E$13+1,1))</f>
        <v>402.54350692668021</v>
      </c>
      <c r="CZ101" s="59">
        <f t="shared" si="96"/>
        <v>163.60655196884522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87.831272005976274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87.831272005976274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7.2</v>
      </c>
      <c r="DO101" s="12">
        <f>IF('Données projet'!$A$166&gt;35,DO100+DN101-DW100,IF(A101&lt;'Données projet'!$A$166,$DL$205^A101,IF(A101='Données projet'!$A$166,'Données projet'!$B$166,DO100+DN101-DW100)))</f>
        <v>385.59999999999991</v>
      </c>
      <c r="DP101" s="17">
        <f>DO101*VLOOKUP('Données projet'!$B$14,Paramètres!$A$1:$I$89,3,0)*VLOOKUP('Données projet'!$B$14,Paramètres!$A$1:$I$89,5,0)</f>
        <v>330.84479999999996</v>
      </c>
      <c r="DQ101" s="13">
        <f t="shared" si="97"/>
        <v>77.605429694617001</v>
      </c>
      <c r="DR101" s="20">
        <f t="shared" si="70"/>
        <v>711.38415005145782</v>
      </c>
      <c r="DS101" s="59">
        <f t="shared" si="71"/>
        <v>1004.7174833847912</v>
      </c>
      <c r="DT101" s="59">
        <f ca="1">AVERAGE(OFFSET($DS$3,0,0,'Données projet'!$E$14+1,1))-AVERAGE(OFFSET($H$3,0,0,'Données projet'!$E$14+1,1))</f>
        <v>352.76625414822473</v>
      </c>
      <c r="DU101" s="59">
        <f t="shared" si="98"/>
        <v>186.48649111821521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99.18856370106198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99.18856370106198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210.25641030000014</v>
      </c>
      <c r="EK101" s="17">
        <f>EJ101*VLOOKUP('Données projet'!$B$15,Paramètres!$A$1:$I$89,3,0)*VLOOKUP('Données projet'!$B$15,Paramètres!$A$1:$I$89,5,0)</f>
        <v>164.00000003400012</v>
      </c>
      <c r="EL101" s="13">
        <f t="shared" si="99"/>
        <v>41.743425916009095</v>
      </c>
      <c r="EM101" s="20">
        <f t="shared" si="73"/>
        <v>358.3364668629327</v>
      </c>
      <c r="EN101" s="59">
        <f t="shared" si="74"/>
        <v>651.66980019626601</v>
      </c>
      <c r="EO101" s="59">
        <f ca="1">AVERAGE(OFFSET($EN$3,0,0,'Données projet'!$E$15+1,1))-AVERAGE(OFFSET($H$3,0,0,'Données projet'!$E$15+1,1))</f>
        <v>130.66539383144681</v>
      </c>
      <c r="EP101" s="59">
        <f t="shared" si="100"/>
        <v>126.36398121441903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18.184878893030284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18.184878893030284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7.2909999999999968</v>
      </c>
      <c r="FE101" s="12">
        <f>IF('Données projet'!$A$218&gt;35,FE100+FD101-FM100,IF(A101&lt;'Données projet'!$A$218,$FB$205^A101,IF(A101='Données projet'!$A$218,'Données projet'!$B$218,FE100+FD101-FM100)))</f>
        <v>301.25500000000005</v>
      </c>
      <c r="FF101" s="17">
        <f>FE101*VLOOKUP('Données projet'!$B$16,Paramètres!$A$1:$I$89,3,0)*VLOOKUP('Données projet'!$B$16,Paramètres!$A$1:$I$89,5,0)</f>
        <v>291.37383600000004</v>
      </c>
      <c r="FG101" s="13">
        <f t="shared" si="101"/>
        <v>69.365029010719368</v>
      </c>
      <c r="FH101" s="20">
        <f t="shared" si="76"/>
        <v>628.28685656033622</v>
      </c>
      <c r="FI101" s="59">
        <f t="shared" si="77"/>
        <v>921.62018989366948</v>
      </c>
      <c r="FJ101" s="59">
        <f ca="1">AVERAGE(OFFSET($FI$3,0,0,'Données projet'!$E$16+1,1))-AVERAGE(OFFSET($H$3,0,0,'Données projet'!$E$16+1,1))</f>
        <v>380.43199889536805</v>
      </c>
      <c r="FK101" s="59">
        <f t="shared" si="102"/>
        <v>154.72646317672996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83.77752099031585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83.77752099031585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304</v>
      </c>
      <c r="O102" s="13">
        <f>N102*VLOOKUP('Données projet'!$B$9,Paramètres!$A$1:$I$89,3,0)*VLOOKUP('Données projet'!$B$9,Paramètres!$A$1:$I$89,5,0)</f>
        <v>189.696</v>
      </c>
      <c r="P102" s="13">
        <f t="shared" si="87"/>
        <v>47.472736505152469</v>
      </c>
      <c r="Q102" s="20">
        <f t="shared" si="107"/>
        <v>413.06888274647389</v>
      </c>
      <c r="R102" s="59">
        <f t="shared" si="55"/>
        <v>706.4022160798072</v>
      </c>
      <c r="S102" s="59">
        <f ca="1">AVERAGE(OFFSET($R$3,0,0,'Données projet'!$E$9+1,1))-AVERAGE(OFFSET($H$3,0,0,'Données projet'!$E$9+1,1))</f>
        <v>179.44051550872138</v>
      </c>
      <c r="T102" s="59">
        <f t="shared" si="88"/>
        <v>272.9500808380069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31.362986396113815</v>
      </c>
      <c r="AA102" s="21">
        <f>EXP(-LN(2)/25)*AA101+(1-EXP(-LN(2)/25))/(LN(2)/25)*Calculateur!V102*Calculateur!X102*VLOOKUP('Données projet'!$B$9,Paramètres!$A$1:$I$89,3,0)*0.475*44/12</f>
        <v>7.1434596360891014</v>
      </c>
      <c r="AB102" s="21">
        <f>EXP(-LN(2)/2)*AB101+(1-EXP(-LN(2)/2))/(LN(2)/2)*V102*Y102*VLOOKUP('Données projet'!$B$9,Paramètres!$A$1:$I$89,3,0)*0.475*44/12</f>
        <v>9.0873090908036615E-12</v>
      </c>
      <c r="AC102" s="22">
        <f t="shared" si="57"/>
        <v>38.506446032212004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7.8519999999999985</v>
      </c>
      <c r="AI102" s="13">
        <f>IF('Données projet'!$A$62&gt;35,AI101+AH102-AQ101,IF(A102&lt;'Données projet'!$A$62,$AF$205^A102,IF(A102='Données projet'!$A$62,'Données projet'!$B$62,AI101+AH102-AQ101)))</f>
        <v>428.95799999999986</v>
      </c>
      <c r="AJ102" s="13">
        <f>AI102*VLOOKUP('Données projet'!$B$10,Paramètres!$A$1:$I$89,3,0)*VLOOKUP('Données projet'!$B$10,Paramètres!$A$1:$I$89,5,0)</f>
        <v>206.32879799999995</v>
      </c>
      <c r="AK102" s="13">
        <f t="shared" si="89"/>
        <v>51.132514088176059</v>
      </c>
      <c r="AL102" s="20">
        <f t="shared" si="58"/>
        <v>448.41178522023984</v>
      </c>
      <c r="AM102" s="59">
        <f t="shared" si="59"/>
        <v>741.74511855357309</v>
      </c>
      <c r="AN102" s="59">
        <f ca="1">AVERAGE(OFFSET($AM$3,0,0,'Données projet'!$E$10+1,1))-AVERAGE(OFFSET($H$3,0,0,'Données projet'!$E$10+1,1))</f>
        <v>174.18188687702559</v>
      </c>
      <c r="AO102" s="59">
        <f t="shared" si="90"/>
        <v>32.17353897322738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99.260641576229517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99.260641576229517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0.8600000000003547</v>
      </c>
      <c r="BE102" s="13">
        <f>BD102*VLOOKUP('Données projet'!$B$11,Paramètres!$A$1:$I$89,3,0)*VLOOKUP('Données projet'!$B$11,Paramètres!$A$1:$I$89,5,0)</f>
        <v>0.48074000000019829</v>
      </c>
      <c r="BF102" s="13">
        <f t="shared" si="91"/>
        <v>0.24126147010950588</v>
      </c>
      <c r="BG102" s="20">
        <f t="shared" si="61"/>
        <v>1.2574858937744013</v>
      </c>
      <c r="BH102" s="59">
        <f t="shared" si="62"/>
        <v>294.59081922710772</v>
      </c>
      <c r="BI102" s="59">
        <f ca="1">AVERAGE(OFFSET($BH$3,0,0,'Données projet'!$E$11+1,1))-AVERAGE(OFFSET($H$3,0,0,'Données projet'!$E$11+1,1))</f>
        <v>350.01600895263641</v>
      </c>
      <c r="BJ102" s="59">
        <f t="shared" si="92"/>
        <v>464.08921044376882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155.5463421029317</v>
      </c>
      <c r="BQ102" s="21">
        <f>EXP(-LN(2)/25)*BQ101+(1-EXP(-LN(2)/25))/(LN(2)/25)*Calculateur!BL102*Calculateur!BN102*VLOOKUP('Données projet'!$B$11,Paramètres!$A$1:$I$89,3,0)*0.475*44/12</f>
        <v>7.4655375710099623</v>
      </c>
      <c r="BR102" s="21">
        <f>EXP(-LN(2)/2)*BR101+(1-EXP(-LN(2)/2))/(LN(2)/2)*BL102*BO102*VLOOKUP('Données projet'!$B$11,Paramètres!$A$1:$I$89,3,0)*0.475*44/12</f>
        <v>3.0454412547373933E-11</v>
      </c>
      <c r="BS102" s="22">
        <f t="shared" si="63"/>
        <v>163.01187967397215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253.79640000000001</v>
      </c>
      <c r="CA102" s="13">
        <f t="shared" si="93"/>
        <v>61.39816832228076</v>
      </c>
      <c r="CB102" s="20">
        <f t="shared" si="64"/>
        <v>548.96387316130563</v>
      </c>
      <c r="CC102" s="59">
        <f t="shared" si="65"/>
        <v>842.29720649463889</v>
      </c>
      <c r="CD102" s="59">
        <f ca="1">AVERAGE(OFFSET($CC$3,0,0,'Données projet'!$E$12+1,1))-AVERAGE(OFFSET($H$3,0,0,'Données projet'!$E$12+1,1))</f>
        <v>279.49721661620544</v>
      </c>
      <c r="CE102" s="59">
        <f t="shared" si="94"/>
        <v>275.18739333988754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36.495219641321093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36.495219641321093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7.2909999999999968</v>
      </c>
      <c r="CT102" s="12">
        <f>IF('Données projet'!$A$140&gt;35,CT101+CS102-DB101,IF(A102&lt;'Données projet'!$A$140,$CQ$205^A102,IF(A102='Données projet'!$A$140,'Données projet'!$B$140,CT101+CS102-DB101)))</f>
        <v>308.54600000000005</v>
      </c>
      <c r="CU102" s="17">
        <f>CT102*VLOOKUP('Données projet'!$B$13,Paramètres!$A$1:$I$89,3,0)*VLOOKUP('Données projet'!$B$13,Paramètres!$A$1:$I$89,5,0)</f>
        <v>312.86564400000009</v>
      </c>
      <c r="CV102" s="13">
        <f t="shared" si="95"/>
        <v>73.866969824265013</v>
      </c>
      <c r="CW102" s="20">
        <f t="shared" si="67"/>
        <v>673.55930241059502</v>
      </c>
      <c r="CX102" s="59">
        <f t="shared" si="68"/>
        <v>966.89263574392839</v>
      </c>
      <c r="CY102" s="59">
        <f ca="1">AVERAGE(OFFSET($CX$3,0,0,'Données projet'!$E$13+1,1))-AVERAGE(OFFSET($H$3,0,0,'Données projet'!$E$13+1,1))</f>
        <v>402.54350692668021</v>
      </c>
      <c r="CZ102" s="59">
        <f t="shared" si="96"/>
        <v>163.60655196884522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86.108954333725222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86.108954333725222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7.2</v>
      </c>
      <c r="DO102" s="12">
        <f>IF('Données projet'!$A$166&gt;35,DO101+DN102-DW101,IF(A102&lt;'Données projet'!$A$166,$DL$205^A102,IF(A102='Données projet'!$A$166,'Données projet'!$B$166,DO101+DN102-DW101)))</f>
        <v>392.7999999999999</v>
      </c>
      <c r="DP102" s="17">
        <f>DO102*VLOOKUP('Données projet'!$B$14,Paramètres!$A$1:$I$89,3,0)*VLOOKUP('Données projet'!$B$14,Paramètres!$A$1:$I$89,5,0)</f>
        <v>337.02239999999995</v>
      </c>
      <c r="DQ102" s="13">
        <f t="shared" si="97"/>
        <v>78.884440823098231</v>
      </c>
      <c r="DR102" s="20">
        <f t="shared" si="70"/>
        <v>724.37108110022928</v>
      </c>
      <c r="DS102" s="59">
        <f t="shared" si="71"/>
        <v>1017.7044144335625</v>
      </c>
      <c r="DT102" s="59">
        <f ca="1">AVERAGE(OFFSET($DS$3,0,0,'Données projet'!$E$14+1,1))-AVERAGE(OFFSET($H$3,0,0,'Données projet'!$E$14+1,1))</f>
        <v>352.76625414822473</v>
      </c>
      <c r="DU102" s="59">
        <f t="shared" si="98"/>
        <v>186.48649111821521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97.243536465934227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97.243536465934227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210.25641030000014</v>
      </c>
      <c r="EK102" s="17">
        <f>EJ102*VLOOKUP('Données projet'!$B$15,Paramètres!$A$1:$I$89,3,0)*VLOOKUP('Données projet'!$B$15,Paramètres!$A$1:$I$89,5,0)</f>
        <v>164.00000003400012</v>
      </c>
      <c r="EL102" s="13">
        <f t="shared" si="99"/>
        <v>41.743425916009095</v>
      </c>
      <c r="EM102" s="20">
        <f t="shared" si="73"/>
        <v>358.3364668629327</v>
      </c>
      <c r="EN102" s="59">
        <f t="shared" si="74"/>
        <v>651.66980019626601</v>
      </c>
      <c r="EO102" s="59">
        <f ca="1">AVERAGE(OFFSET($EN$3,0,0,'Données projet'!$E$15+1,1))-AVERAGE(OFFSET($H$3,0,0,'Données projet'!$E$15+1,1))</f>
        <v>130.66539383144681</v>
      </c>
      <c r="EP102" s="59">
        <f t="shared" si="100"/>
        <v>126.36398121441903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17.828284509618872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17.828284509618872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7.2909999999999968</v>
      </c>
      <c r="FE102" s="12">
        <f>IF('Données projet'!$A$218&gt;35,FE101+FD102-FM101,IF(A102&lt;'Données projet'!$A$218,$FB$205^A102,IF(A102='Données projet'!$A$218,'Données projet'!$B$218,FE101+FD102-FM101)))</f>
        <v>308.54600000000005</v>
      </c>
      <c r="FF102" s="17">
        <f>FE102*VLOOKUP('Données projet'!$B$16,Paramètres!$A$1:$I$89,3,0)*VLOOKUP('Données projet'!$B$16,Paramètres!$A$1:$I$89,5,0)</f>
        <v>298.42569120000007</v>
      </c>
      <c r="FG102" s="13">
        <f t="shared" si="101"/>
        <v>70.846326885828532</v>
      </c>
      <c r="FH102" s="20">
        <f t="shared" si="76"/>
        <v>643.14876483281807</v>
      </c>
      <c r="FI102" s="59">
        <f t="shared" si="77"/>
        <v>936.48209816615145</v>
      </c>
      <c r="FJ102" s="59">
        <f ca="1">AVERAGE(OFFSET($FI$3,0,0,'Données projet'!$E$16+1,1))-AVERAGE(OFFSET($H$3,0,0,'Données projet'!$E$16+1,1))</f>
        <v>380.43199889536805</v>
      </c>
      <c r="FK102" s="59">
        <f t="shared" si="102"/>
        <v>154.72646317672996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82.134694902937923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82.134694902937923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304</v>
      </c>
      <c r="O103" s="13">
        <f>N103*VLOOKUP('Données projet'!$B$9,Paramètres!$A$1:$I$89,3,0)*VLOOKUP('Données projet'!$B$9,Paramètres!$A$1:$I$89,5,0)</f>
        <v>189.696</v>
      </c>
      <c r="P103" s="13">
        <f t="shared" si="87"/>
        <v>47.472736505152469</v>
      </c>
      <c r="Q103" s="20">
        <f t="shared" si="107"/>
        <v>413.06888274647389</v>
      </c>
      <c r="R103" s="59">
        <f t="shared" si="55"/>
        <v>706.4022160798072</v>
      </c>
      <c r="S103" s="59">
        <f ca="1">AVERAGE(OFFSET($R$3,0,0,'Données projet'!$E$9+1,1))-AVERAGE(OFFSET($H$3,0,0,'Données projet'!$E$9+1,1))</f>
        <v>179.44051550872138</v>
      </c>
      <c r="T103" s="59">
        <f t="shared" si="88"/>
        <v>272.9500808380069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30.74797736241884</v>
      </c>
      <c r="AA103" s="21">
        <f>EXP(-LN(2)/25)*AA102+(1-EXP(-LN(2)/25))/(LN(2)/25)*Calculateur!V103*Calculateur!X103*VLOOKUP('Données projet'!$B$9,Paramètres!$A$1:$I$89,3,0)*0.475*44/12</f>
        <v>6.9481213566820292</v>
      </c>
      <c r="AB103" s="21">
        <f>EXP(-LN(2)/2)*AB102+(1-EXP(-LN(2)/2))/(LN(2)/2)*V103*Y103*VLOOKUP('Données projet'!$B$9,Paramètres!$A$1:$I$89,3,0)*0.475*44/12</f>
        <v>6.4256978808454289E-12</v>
      </c>
      <c r="AC103" s="22">
        <f t="shared" si="57"/>
        <v>37.69609871910729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436.81</v>
      </c>
      <c r="AG103" s="12">
        <f>VLOOKUP(A103,'Données projet'!$A$61:$I$81,9,0)</f>
        <v>7.8519999999999985</v>
      </c>
      <c r="AH103" s="12">
        <f t="array" ref="AH103">INDEX(AG:AG,MIN(IF(ISNUMBER(AG103:AG299),ROW(AG103:AG299),"")))</f>
        <v>7.8519999999999985</v>
      </c>
      <c r="AI103" s="13">
        <f>IF('Données projet'!$A$62&gt;35,AI102+AH103-AQ102,IF(A103&lt;'Données projet'!$A$62,$AF$205^A103,IF(A103='Données projet'!$A$62,'Données projet'!$B$62,AI102+AH103-AQ102)))</f>
        <v>436.80999999999983</v>
      </c>
      <c r="AJ103" s="13">
        <f>AI103*VLOOKUP('Données projet'!$B$10,Paramètres!$A$1:$I$89,3,0)*VLOOKUP('Données projet'!$B$10,Paramètres!$A$1:$I$89,5,0)</f>
        <v>210.10560999999993</v>
      </c>
      <c r="AK103" s="13">
        <f t="shared" si="89"/>
        <v>51.958663465051934</v>
      </c>
      <c r="AL103" s="20">
        <f t="shared" si="58"/>
        <v>456.42860961829865</v>
      </c>
      <c r="AM103" s="59">
        <f t="shared" si="59"/>
        <v>749.76194295163191</v>
      </c>
      <c r="AN103" s="59">
        <f ca="1">AVERAGE(OFFSET($AM$3,0,0,'Données projet'!$E$10+1,1))-AVERAGE(OFFSET($H$3,0,0,'Données projet'!$E$10+1,1))</f>
        <v>174.18188687702559</v>
      </c>
      <c r="AO103" s="59">
        <f t="shared" si="90"/>
        <v>32.17353897322738</v>
      </c>
      <c r="AP103" s="15">
        <f>IF(ISNA(VLOOKUP(A103,'Données projet'!$A$61:$I$81,3,0)),0,VLOOKUP(A103,'Données projet'!$A$61:$I$81,3,0))</f>
        <v>6</v>
      </c>
      <c r="AQ103" s="15">
        <f>IF(ISNA(VLOOKUP(A103,'Données projet'!$A$61:$I$81,4,0)),0,VLOOKUP(A103,'Données projet'!$A$61:$I$81,4,0))</f>
        <v>193.84</v>
      </c>
      <c r="AR103" s="16">
        <f>IF(ISNA(VLOOKUP(A103,'Données projet'!$A$61:$I$81,5,0)),0%,VLOOKUP(A103,'Données projet'!$A$61:$I$81,5,0)*VLOOKUP('Données projet'!$B$10,Paramètres!$A$1:$I$89,7,0))</f>
        <v>0.55000000000000004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165.34091969484996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165.34091969484996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0.8600000000003547</v>
      </c>
      <c r="BE103" s="13">
        <f>BD103*VLOOKUP('Données projet'!$B$11,Paramètres!$A$1:$I$89,3,0)*VLOOKUP('Données projet'!$B$11,Paramètres!$A$1:$I$89,5,0)</f>
        <v>0.48074000000019829</v>
      </c>
      <c r="BF103" s="13">
        <f t="shared" si="91"/>
        <v>0.24126147010950588</v>
      </c>
      <c r="BG103" s="20">
        <f t="shared" si="61"/>
        <v>1.2574858937744013</v>
      </c>
      <c r="BH103" s="59">
        <f t="shared" si="62"/>
        <v>294.59081922710772</v>
      </c>
      <c r="BI103" s="59">
        <f ca="1">AVERAGE(OFFSET($BH$3,0,0,'Données projet'!$E$11+1,1))-AVERAGE(OFFSET($H$3,0,0,'Données projet'!$E$11+1,1))</f>
        <v>350.01600895263641</v>
      </c>
      <c r="BJ103" s="59">
        <f t="shared" si="92"/>
        <v>464.08921044376882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152.49617320819388</v>
      </c>
      <c r="BQ103" s="21">
        <f>EXP(-LN(2)/25)*BQ102+(1-EXP(-LN(2)/25))/(LN(2)/25)*Calculateur!BL103*Calculateur!BN103*VLOOKUP('Données projet'!$B$11,Paramètres!$A$1:$I$89,3,0)*0.475*44/12</f>
        <v>7.2613920535351371</v>
      </c>
      <c r="BR103" s="21">
        <f>EXP(-LN(2)/2)*BR102+(1-EXP(-LN(2)/2))/(LN(2)/2)*BL103*BO103*VLOOKUP('Données projet'!$B$11,Paramètres!$A$1:$I$89,3,0)*0.475*44/12</f>
        <v>2.1534521629300787E-11</v>
      </c>
      <c r="BS103" s="22">
        <f t="shared" si="63"/>
        <v>159.75756526175056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253.79640000000001</v>
      </c>
      <c r="CA103" s="13">
        <f t="shared" si="93"/>
        <v>61.39816832228076</v>
      </c>
      <c r="CB103" s="20">
        <f t="shared" si="64"/>
        <v>548.96387316130563</v>
      </c>
      <c r="CC103" s="59">
        <f t="shared" si="65"/>
        <v>842.29720649463889</v>
      </c>
      <c r="CD103" s="59">
        <f ca="1">AVERAGE(OFFSET($CC$3,0,0,'Données projet'!$E$12+1,1))-AVERAGE(OFFSET($H$3,0,0,'Données projet'!$E$12+1,1))</f>
        <v>279.49721661620544</v>
      </c>
      <c r="CE103" s="59">
        <f t="shared" si="94"/>
        <v>275.18739333988754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35.779570644040788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35.779570644040788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7.2909999999999968</v>
      </c>
      <c r="CT103" s="12">
        <f>IF('Données projet'!$A$140&gt;35,CT102+CS103-DB102,IF(A103&lt;'Données projet'!$A$140,$CQ$205^A103,IF(A103='Données projet'!$A$140,'Données projet'!$B$140,CT102+CS103-DB102)))</f>
        <v>315.83700000000005</v>
      </c>
      <c r="CU103" s="17">
        <f>CT103*VLOOKUP('Données projet'!$B$13,Paramètres!$A$1:$I$89,3,0)*VLOOKUP('Données projet'!$B$13,Paramètres!$A$1:$I$89,5,0)</f>
        <v>320.25871800000004</v>
      </c>
      <c r="CV103" s="13">
        <f t="shared" si="95"/>
        <v>75.407182441990599</v>
      </c>
      <c r="CW103" s="20">
        <f t="shared" si="67"/>
        <v>689.11810993646702</v>
      </c>
      <c r="CX103" s="59">
        <f t="shared" si="68"/>
        <v>982.45144326980039</v>
      </c>
      <c r="CY103" s="59">
        <f ca="1">AVERAGE(OFFSET($CX$3,0,0,'Données projet'!$E$13+1,1))-AVERAGE(OFFSET($H$3,0,0,'Données projet'!$E$13+1,1))</f>
        <v>402.54350692668021</v>
      </c>
      <c r="CZ103" s="59">
        <f t="shared" si="96"/>
        <v>163.60655196884522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84.420410260516974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84.420410260516974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400</v>
      </c>
      <c r="DM103" s="12">
        <f>VLOOKUP(A103,'Données projet'!$A$165:$I$185,9,0)</f>
        <v>7.2</v>
      </c>
      <c r="DN103" s="12">
        <f t="array" ref="DN103">INDEX(DM:DM,MIN(IF(ISNUMBER(DM103:DM299),ROW(DM103:DM299),"")))</f>
        <v>7.2</v>
      </c>
      <c r="DO103" s="12">
        <f>IF('Données projet'!$A$166&gt;35,DO102+DN103-DW102,IF(A103&lt;'Données projet'!$A$166,$DL$205^A103,IF(A103='Données projet'!$A$166,'Données projet'!$B$166,DO102+DN103-DW102)))</f>
        <v>399.99999999999989</v>
      </c>
      <c r="DP103" s="17">
        <f>DO103*VLOOKUP('Données projet'!$B$14,Paramètres!$A$1:$I$89,3,0)*VLOOKUP('Données projet'!$B$14,Paramètres!$A$1:$I$89,5,0)</f>
        <v>343.19999999999993</v>
      </c>
      <c r="DQ103" s="13">
        <f t="shared" si="97"/>
        <v>80.160725794932105</v>
      </c>
      <c r="DR103" s="20">
        <f t="shared" si="70"/>
        <v>737.35326409283982</v>
      </c>
      <c r="DS103" s="59">
        <f t="shared" si="71"/>
        <v>1030.6865974261732</v>
      </c>
      <c r="DT103" s="59">
        <f ca="1">AVERAGE(OFFSET($DS$3,0,0,'Données projet'!$E$14+1,1))-AVERAGE(OFFSET($H$3,0,0,'Données projet'!$E$14+1,1))</f>
        <v>352.76625414822473</v>
      </c>
      <c r="DU103" s="59">
        <f t="shared" si="98"/>
        <v>186.48649111821521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24</v>
      </c>
      <c r="DX103" s="16">
        <f>IF(ISNA(VLOOKUP(A103,'Données projet'!$A$165:$I$185,5,0)),0%,VLOOKUP(A103,'Données projet'!$A$165:$I$185,5,0)*VLOOKUP('Données projet'!$B$14,Paramètres!$A$1:$I$89,7,0))</f>
        <v>0.53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107.40148843786939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107.40148843786939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210.25641030000014</v>
      </c>
      <c r="EK103" s="17">
        <f>EJ103*VLOOKUP('Données projet'!$B$15,Paramètres!$A$1:$I$89,3,0)*VLOOKUP('Données projet'!$B$15,Paramètres!$A$1:$I$89,5,0)</f>
        <v>164.00000003400012</v>
      </c>
      <c r="EL103" s="13">
        <f t="shared" si="99"/>
        <v>41.743425916009095</v>
      </c>
      <c r="EM103" s="20">
        <f t="shared" si="73"/>
        <v>358.3364668629327</v>
      </c>
      <c r="EN103" s="59">
        <f t="shared" si="74"/>
        <v>651.66980019626601</v>
      </c>
      <c r="EO103" s="59">
        <f ca="1">AVERAGE(OFFSET($EN$3,0,0,'Données projet'!$E$15+1,1))-AVERAGE(OFFSET($H$3,0,0,'Données projet'!$E$15+1,1))</f>
        <v>130.66539383144681</v>
      </c>
      <c r="EP103" s="59">
        <f t="shared" si="100"/>
        <v>126.36398121441903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17.478682724565061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17.478682724565061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7.2909999999999968</v>
      </c>
      <c r="FE103" s="12">
        <f>IF('Données projet'!$A$218&gt;35,FE102+FD103-FM102,IF(A103&lt;'Données projet'!$A$218,$FB$205^A103,IF(A103='Données projet'!$A$218,'Données projet'!$B$218,FE102+FD103-FM102)))</f>
        <v>315.83700000000005</v>
      </c>
      <c r="FF103" s="17">
        <f>FE103*VLOOKUP('Données projet'!$B$16,Paramètres!$A$1:$I$89,3,0)*VLOOKUP('Données projet'!$B$16,Paramètres!$A$1:$I$89,5,0)</f>
        <v>305.47754640000005</v>
      </c>
      <c r="FG103" s="13">
        <f t="shared" si="101"/>
        <v>72.323555569347917</v>
      </c>
      <c r="FH103" s="20">
        <f t="shared" si="76"/>
        <v>658.00358592994769</v>
      </c>
      <c r="FI103" s="59">
        <f t="shared" si="77"/>
        <v>951.33691926328106</v>
      </c>
      <c r="FJ103" s="59">
        <f ca="1">AVERAGE(OFFSET($FI$3,0,0,'Données projet'!$E$16+1,1))-AVERAGE(OFFSET($H$3,0,0,'Données projet'!$E$16+1,1))</f>
        <v>380.43199889536805</v>
      </c>
      <c r="FK103" s="59">
        <f t="shared" si="102"/>
        <v>154.72646317672996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80.524083633108518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80.524083633108518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304</v>
      </c>
      <c r="O104" s="13">
        <f>N104*VLOOKUP('Données projet'!$B$9,Paramètres!$A$1:$I$89,3,0)*VLOOKUP('Données projet'!$B$9,Paramètres!$A$1:$I$89,5,0)</f>
        <v>189.696</v>
      </c>
      <c r="P104" s="13">
        <f t="shared" si="87"/>
        <v>47.472736505152469</v>
      </c>
      <c r="Q104" s="20">
        <f t="shared" si="107"/>
        <v>413.06888274647389</v>
      </c>
      <c r="R104" s="59">
        <f t="shared" si="55"/>
        <v>706.4022160798072</v>
      </c>
      <c r="S104" s="59">
        <f ca="1">AVERAGE(OFFSET($R$3,0,0,'Données projet'!$E$9+1,1))-AVERAGE(OFFSET($H$3,0,0,'Données projet'!$E$9+1,1))</f>
        <v>179.44051550872138</v>
      </c>
      <c r="T104" s="59">
        <f t="shared" si="88"/>
        <v>272.9500808380069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30.145028280756154</v>
      </c>
      <c r="AA104" s="21">
        <f>EXP(-LN(2)/25)*AA103+(1-EXP(-LN(2)/25))/(LN(2)/25)*Calculateur!V104*Calculateur!X104*VLOOKUP('Données projet'!$B$9,Paramètres!$A$1:$I$89,3,0)*0.475*44/12</f>
        <v>6.7581246127977375</v>
      </c>
      <c r="AB104" s="21">
        <f>EXP(-LN(2)/2)*AB103+(1-EXP(-LN(2)/2))/(LN(2)/2)*V104*Y104*VLOOKUP('Données projet'!$B$9,Paramètres!$A$1:$I$89,3,0)*0.475*44/12</f>
        <v>4.5436545454018307E-12</v>
      </c>
      <c r="AC104" s="22">
        <f t="shared" si="57"/>
        <v>36.903152893558435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4.9900000000000038</v>
      </c>
      <c r="AI104" s="13">
        <f>IF('Données projet'!$A$62&gt;35,AI103+AH104-AQ103,IF(A104&lt;'Données projet'!$A$62,$AF$205^A104,IF(A104='Données projet'!$A$62,'Données projet'!$B$62,AI103+AH104-AQ103)))</f>
        <v>247.95999999999984</v>
      </c>
      <c r="AJ104" s="13">
        <f>AI104*VLOOKUP('Données projet'!$B$10,Paramètres!$A$1:$I$89,3,0)*VLOOKUP('Données projet'!$B$10,Paramètres!$A$1:$I$89,5,0)</f>
        <v>119.26875999999993</v>
      </c>
      <c r="AK104" s="13">
        <f t="shared" si="89"/>
        <v>31.504388949144818</v>
      </c>
      <c r="AL104" s="20">
        <f t="shared" si="58"/>
        <v>262.59656775309378</v>
      </c>
      <c r="AM104" s="59">
        <f t="shared" si="59"/>
        <v>555.92990108642709</v>
      </c>
      <c r="AN104" s="59">
        <f ca="1">AVERAGE(OFFSET($AM$3,0,0,'Données projet'!$E$10+1,1))-AVERAGE(OFFSET($H$3,0,0,'Données projet'!$E$10+1,1))</f>
        <v>174.18188687702559</v>
      </c>
      <c r="AO104" s="59">
        <f t="shared" si="90"/>
        <v>32.17353897322738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162.09868510763704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162.09868510763704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0.8600000000003547</v>
      </c>
      <c r="BE104" s="13">
        <f>BD104*VLOOKUP('Données projet'!$B$11,Paramètres!$A$1:$I$89,3,0)*VLOOKUP('Données projet'!$B$11,Paramètres!$A$1:$I$89,5,0)</f>
        <v>0.48074000000019829</v>
      </c>
      <c r="BF104" s="13">
        <f t="shared" si="91"/>
        <v>0.24126147010950588</v>
      </c>
      <c r="BG104" s="20">
        <f t="shared" si="61"/>
        <v>1.2574858937744013</v>
      </c>
      <c r="BH104" s="59">
        <f t="shared" si="62"/>
        <v>294.59081922710772</v>
      </c>
      <c r="BI104" s="59">
        <f ca="1">AVERAGE(OFFSET($BH$3,0,0,'Données projet'!$E$11+1,1))-AVERAGE(OFFSET($H$3,0,0,'Données projet'!$E$11+1,1))</f>
        <v>350.01600895263641</v>
      </c>
      <c r="BJ104" s="59">
        <f t="shared" si="92"/>
        <v>464.08921044376882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149.50581626506255</v>
      </c>
      <c r="BQ104" s="21">
        <f>EXP(-LN(2)/25)*BQ103+(1-EXP(-LN(2)/25))/(LN(2)/25)*Calculateur!BL104*Calculateur!BN104*VLOOKUP('Données projet'!$B$11,Paramètres!$A$1:$I$89,3,0)*0.475*44/12</f>
        <v>7.062828905971207</v>
      </c>
      <c r="BR104" s="21">
        <f>EXP(-LN(2)/2)*BR103+(1-EXP(-LN(2)/2))/(LN(2)/2)*BL104*BO104*VLOOKUP('Données projet'!$B$11,Paramètres!$A$1:$I$89,3,0)*0.475*44/12</f>
        <v>1.5227206273686966E-11</v>
      </c>
      <c r="BS104" s="22">
        <f t="shared" si="63"/>
        <v>156.56864517104898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253.79640000000001</v>
      </c>
      <c r="CA104" s="13">
        <f t="shared" si="93"/>
        <v>61.39816832228076</v>
      </c>
      <c r="CB104" s="20">
        <f t="shared" si="64"/>
        <v>548.96387316130563</v>
      </c>
      <c r="CC104" s="59">
        <f t="shared" si="65"/>
        <v>842.29720649463889</v>
      </c>
      <c r="CD104" s="59">
        <f ca="1">AVERAGE(OFFSET($CC$3,0,0,'Données projet'!$E$12+1,1))-AVERAGE(OFFSET($H$3,0,0,'Données projet'!$E$12+1,1))</f>
        <v>279.49721661620544</v>
      </c>
      <c r="CE104" s="59">
        <f t="shared" si="94"/>
        <v>275.18739333988754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35.077955087094359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35.077955087094359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7.2909999999999968</v>
      </c>
      <c r="CT104" s="12">
        <f>IF('Données projet'!$A$140&gt;35,CT103+CS104-DB103,IF(A104&lt;'Données projet'!$A$140,$CQ$205^A104,IF(A104='Données projet'!$A$140,'Données projet'!$B$140,CT103+CS104-DB103)))</f>
        <v>323.12800000000004</v>
      </c>
      <c r="CU104" s="17">
        <f>CT104*VLOOKUP('Données projet'!$B$13,Paramètres!$A$1:$I$89,3,0)*VLOOKUP('Données projet'!$B$13,Paramètres!$A$1:$I$89,5,0)</f>
        <v>327.65179200000006</v>
      </c>
      <c r="CV104" s="13">
        <f t="shared" si="95"/>
        <v>76.94326158616461</v>
      </c>
      <c r="CW104" s="20">
        <f t="shared" si="67"/>
        <v>704.66971832923673</v>
      </c>
      <c r="CX104" s="59">
        <f t="shared" si="68"/>
        <v>998.00305166256999</v>
      </c>
      <c r="CY104" s="59">
        <f ca="1">AVERAGE(OFFSET($CX$3,0,0,'Données projet'!$E$13+1,1))-AVERAGE(OFFSET($H$3,0,0,'Données projet'!$E$13+1,1))</f>
        <v>402.54350692668021</v>
      </c>
      <c r="CZ104" s="59">
        <f t="shared" si="96"/>
        <v>163.60655196884522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82.764977506674143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82.764977506674143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6.6</v>
      </c>
      <c r="DO104" s="12">
        <f>IF('Données projet'!$A$166&gt;35,DO103+DN104-DW103,IF(A104&lt;'Données projet'!$A$166,$DL$205^A104,IF(A104='Données projet'!$A$166,'Données projet'!$B$166,DO103+DN104-DW103)))</f>
        <v>382.59999999999991</v>
      </c>
      <c r="DP104" s="17">
        <f>DO104*VLOOKUP('Données projet'!$B$14,Paramètres!$A$1:$I$89,3,0)*VLOOKUP('Données projet'!$B$14,Paramètres!$A$1:$I$89,5,0)</f>
        <v>328.27079999999995</v>
      </c>
      <c r="DQ104" s="13">
        <f t="shared" si="97"/>
        <v>77.071690347038668</v>
      </c>
      <c r="DR104" s="20">
        <f t="shared" si="70"/>
        <v>705.97150402109219</v>
      </c>
      <c r="DS104" s="59">
        <f t="shared" si="71"/>
        <v>999.30483735442544</v>
      </c>
      <c r="DT104" s="59">
        <f ca="1">AVERAGE(OFFSET($DS$3,0,0,'Données projet'!$E$14+1,1))-AVERAGE(OFFSET($H$3,0,0,'Données projet'!$E$14+1,1))</f>
        <v>352.76625414822473</v>
      </c>
      <c r="DU104" s="59">
        <f t="shared" si="98"/>
        <v>186.48649111821521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105.29541075804229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105.29541075804229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210.25641030000014</v>
      </c>
      <c r="EK104" s="17">
        <f>EJ104*VLOOKUP('Données projet'!$B$15,Paramètres!$A$1:$I$89,3,0)*VLOOKUP('Données projet'!$B$15,Paramètres!$A$1:$I$89,5,0)</f>
        <v>164.00000003400012</v>
      </c>
      <c r="EL104" s="13">
        <f t="shared" si="99"/>
        <v>41.743425916009095</v>
      </c>
      <c r="EM104" s="20">
        <f t="shared" si="73"/>
        <v>358.3364668629327</v>
      </c>
      <c r="EN104" s="59">
        <f t="shared" si="74"/>
        <v>651.66980019626601</v>
      </c>
      <c r="EO104" s="59">
        <f ca="1">AVERAGE(OFFSET($EN$3,0,0,'Données projet'!$E$15+1,1))-AVERAGE(OFFSET($H$3,0,0,'Données projet'!$E$15+1,1))</f>
        <v>130.66539383144681</v>
      </c>
      <c r="EP104" s="59">
        <f t="shared" si="100"/>
        <v>126.36398121441903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17.135936417280121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17.135936417280121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7.2909999999999968</v>
      </c>
      <c r="FE104" s="12">
        <f>IF('Données projet'!$A$218&gt;35,FE103+FD104-FM103,IF(A104&lt;'Données projet'!$A$218,$FB$205^A104,IF(A104='Données projet'!$A$218,'Données projet'!$B$218,FE103+FD104-FM103)))</f>
        <v>323.12800000000004</v>
      </c>
      <c r="FF104" s="17">
        <f>FE104*VLOOKUP('Données projet'!$B$16,Paramètres!$A$1:$I$89,3,0)*VLOOKUP('Données projet'!$B$16,Paramètres!$A$1:$I$89,5,0)</f>
        <v>312.52940160000003</v>
      </c>
      <c r="FG104" s="13">
        <f t="shared" si="101"/>
        <v>73.796819809502352</v>
      </c>
      <c r="FH104" s="20">
        <f t="shared" si="76"/>
        <v>672.85150228821669</v>
      </c>
      <c r="FI104" s="59">
        <f t="shared" si="77"/>
        <v>966.18483562155006</v>
      </c>
      <c r="FJ104" s="59">
        <f ca="1">AVERAGE(OFFSET($FI$3,0,0,'Données projet'!$E$16+1,1))-AVERAGE(OFFSET($H$3,0,0,'Données projet'!$E$16+1,1))</f>
        <v>380.43199889536805</v>
      </c>
      <c r="FK104" s="59">
        <f t="shared" si="102"/>
        <v>154.72646317672996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78.945055467904595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78.945055467904595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304</v>
      </c>
      <c r="O105" s="13">
        <f>N105*VLOOKUP('Données projet'!$B$9,Paramètres!$A$1:$I$89,3,0)*VLOOKUP('Données projet'!$B$9,Paramètres!$A$1:$I$89,5,0)</f>
        <v>189.696</v>
      </c>
      <c r="P105" s="13">
        <f t="shared" si="87"/>
        <v>47.472736505152469</v>
      </c>
      <c r="Q105" s="20">
        <f t="shared" si="107"/>
        <v>413.06888274647389</v>
      </c>
      <c r="R105" s="59">
        <f t="shared" si="55"/>
        <v>706.4022160798072</v>
      </c>
      <c r="S105" s="59">
        <f ca="1">AVERAGE(OFFSET($R$3,0,0,'Données projet'!$E$9+1,1))-AVERAGE(OFFSET($H$3,0,0,'Données projet'!$E$9+1,1))</f>
        <v>179.44051550872138</v>
      </c>
      <c r="T105" s="59">
        <f t="shared" si="88"/>
        <v>272.9500808380069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29.553902662822246</v>
      </c>
      <c r="AA105" s="21">
        <f>EXP(-LN(2)/25)*AA104+(1-EXP(-LN(2)/25))/(LN(2)/25)*Calculateur!V105*Calculateur!X105*VLOOKUP('Données projet'!$B$9,Paramètres!$A$1:$I$89,3,0)*0.475*44/12</f>
        <v>6.5733233398664561</v>
      </c>
      <c r="AB105" s="21">
        <f>EXP(-LN(2)/2)*AB104+(1-EXP(-LN(2)/2))/(LN(2)/2)*V105*Y105*VLOOKUP('Données projet'!$B$9,Paramètres!$A$1:$I$89,3,0)*0.475*44/12</f>
        <v>3.2128489404227144E-12</v>
      </c>
      <c r="AC105" s="22">
        <f t="shared" si="57"/>
        <v>36.127226002691913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4.9900000000000038</v>
      </c>
      <c r="AI105" s="13">
        <f>IF('Données projet'!$A$62&gt;35,AI104+AH105-AQ104,IF(A105&lt;'Données projet'!$A$62,$AF$205^A105,IF(A105='Données projet'!$A$62,'Données projet'!$B$62,AI104+AH105-AQ104)))</f>
        <v>252.94999999999985</v>
      </c>
      <c r="AJ105" s="13">
        <f>AI105*VLOOKUP('Données projet'!$B$10,Paramètres!$A$1:$I$89,3,0)*VLOOKUP('Données projet'!$B$10,Paramètres!$A$1:$I$89,5,0)</f>
        <v>121.66894999999992</v>
      </c>
      <c r="AK105" s="13">
        <f t="shared" si="89"/>
        <v>32.063941014173409</v>
      </c>
      <c r="AL105" s="20">
        <f t="shared" si="58"/>
        <v>267.75145184968522</v>
      </c>
      <c r="AM105" s="59">
        <f t="shared" si="59"/>
        <v>561.08478518301854</v>
      </c>
      <c r="AN105" s="59">
        <f ca="1">AVERAGE(OFFSET($AM$3,0,0,'Données projet'!$E$10+1,1))-AVERAGE(OFFSET($H$3,0,0,'Données projet'!$E$10+1,1))</f>
        <v>174.18188687702559</v>
      </c>
      <c r="AO105" s="59">
        <f t="shared" si="90"/>
        <v>32.17353897322738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158.92002876311156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158.92002876311156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0.8600000000003547</v>
      </c>
      <c r="BE105" s="13">
        <f>BD105*VLOOKUP('Données projet'!$B$11,Paramètres!$A$1:$I$89,3,0)*VLOOKUP('Données projet'!$B$11,Paramètres!$A$1:$I$89,5,0)</f>
        <v>0.48074000000019829</v>
      </c>
      <c r="BF105" s="13">
        <f t="shared" si="91"/>
        <v>0.24126147010950588</v>
      </c>
      <c r="BG105" s="20">
        <f t="shared" si="61"/>
        <v>1.2574858937744013</v>
      </c>
      <c r="BH105" s="59">
        <f t="shared" si="62"/>
        <v>294.59081922710772</v>
      </c>
      <c r="BI105" s="59">
        <f ca="1">AVERAGE(OFFSET($BH$3,0,0,'Données projet'!$E$11+1,1))-AVERAGE(OFFSET($H$3,0,0,'Données projet'!$E$11+1,1))</f>
        <v>350.01600895263641</v>
      </c>
      <c r="BJ105" s="59">
        <f t="shared" si="92"/>
        <v>464.08921044376882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146.57409839764838</v>
      </c>
      <c r="BQ105" s="21">
        <f>EXP(-LN(2)/25)*BQ104+(1-EXP(-LN(2)/25))/(LN(2)/25)*Calculateur!BL105*Calculateur!BN105*VLOOKUP('Données projet'!$B$11,Paramètres!$A$1:$I$89,3,0)*0.475*44/12</f>
        <v>6.8696954781193948</v>
      </c>
      <c r="BR105" s="21">
        <f>EXP(-LN(2)/2)*BR104+(1-EXP(-LN(2)/2))/(LN(2)/2)*BL105*BO105*VLOOKUP('Données projet'!$B$11,Paramètres!$A$1:$I$89,3,0)*0.475*44/12</f>
        <v>1.0767260814650394E-11</v>
      </c>
      <c r="BS105" s="22">
        <f t="shared" si="63"/>
        <v>153.44379387577854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253.79640000000001</v>
      </c>
      <c r="CA105" s="13">
        <f t="shared" si="93"/>
        <v>61.39816832228076</v>
      </c>
      <c r="CB105" s="20">
        <f t="shared" si="64"/>
        <v>548.96387316130563</v>
      </c>
      <c r="CC105" s="59">
        <f t="shared" si="65"/>
        <v>842.29720649463889</v>
      </c>
      <c r="CD105" s="59">
        <f ca="1">AVERAGE(OFFSET($CC$3,0,0,'Données projet'!$E$12+1,1))-AVERAGE(OFFSET($H$3,0,0,'Données projet'!$E$12+1,1))</f>
        <v>279.49721661620544</v>
      </c>
      <c r="CE105" s="59">
        <f t="shared" si="94"/>
        <v>275.18739333988754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34.390097783276417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34.390097783276417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7.2909999999999968</v>
      </c>
      <c r="CT105" s="12">
        <f>IF('Données projet'!$A$140&gt;35,CT104+CS105-DB104,IF(A105&lt;'Données projet'!$A$140,$CQ$205^A105,IF(A105='Données projet'!$A$140,'Données projet'!$B$140,CT104+CS105-DB104)))</f>
        <v>330.41900000000004</v>
      </c>
      <c r="CU105" s="17">
        <f>CT105*VLOOKUP('Données projet'!$B$13,Paramètres!$A$1:$I$89,3,0)*VLOOKUP('Données projet'!$B$13,Paramètres!$A$1:$I$89,5,0)</f>
        <v>335.04486600000007</v>
      </c>
      <c r="CV105" s="13">
        <f t="shared" si="95"/>
        <v>78.475311261201057</v>
      </c>
      <c r="CW105" s="20">
        <f t="shared" si="67"/>
        <v>720.21430872992516</v>
      </c>
      <c r="CX105" s="59">
        <f t="shared" si="68"/>
        <v>1013.5476420632585</v>
      </c>
      <c r="CY105" s="59">
        <f ca="1">AVERAGE(OFFSET($CX$3,0,0,'Données projet'!$E$13+1,1))-AVERAGE(OFFSET($H$3,0,0,'Données projet'!$E$13+1,1))</f>
        <v>402.54350692668021</v>
      </c>
      <c r="CZ105" s="59">
        <f t="shared" si="96"/>
        <v>163.60655196884522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81.142006779419887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81.142006779419887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6.6</v>
      </c>
      <c r="DO105" s="12">
        <f>IF('Données projet'!$A$166&gt;35,DO104+DN105-DW104,IF(A105&lt;'Données projet'!$A$166,$DL$205^A105,IF(A105='Données projet'!$A$166,'Données projet'!$B$166,DO104+DN105-DW104)))</f>
        <v>389.19999999999993</v>
      </c>
      <c r="DP105" s="17">
        <f>DO105*VLOOKUP('Données projet'!$B$14,Paramètres!$A$1:$I$89,3,0)*VLOOKUP('Données projet'!$B$14,Paramètres!$A$1:$I$89,5,0)</f>
        <v>333.93359999999996</v>
      </c>
      <c r="DQ105" s="13">
        <f t="shared" si="97"/>
        <v>78.245279532276854</v>
      </c>
      <c r="DR105" s="20">
        <f t="shared" si="70"/>
        <v>717.87821518538203</v>
      </c>
      <c r="DS105" s="59">
        <f t="shared" si="71"/>
        <v>1011.2115485187153</v>
      </c>
      <c r="DT105" s="59">
        <f ca="1">AVERAGE(OFFSET($DS$3,0,0,'Données projet'!$E$14+1,1))-AVERAGE(OFFSET($H$3,0,0,'Données projet'!$E$14+1,1))</f>
        <v>352.76625414822473</v>
      </c>
      <c r="DU105" s="59">
        <f t="shared" si="98"/>
        <v>186.48649111821521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103.23063197693607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103.23063197693607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210.25641030000014</v>
      </c>
      <c r="EK105" s="17">
        <f>EJ105*VLOOKUP('Données projet'!$B$15,Paramètres!$A$1:$I$89,3,0)*VLOOKUP('Données projet'!$B$15,Paramètres!$A$1:$I$89,5,0)</f>
        <v>164.00000003400012</v>
      </c>
      <c r="EL105" s="13">
        <f t="shared" si="99"/>
        <v>41.743425916009095</v>
      </c>
      <c r="EM105" s="20">
        <f t="shared" si="73"/>
        <v>358.3364668629327</v>
      </c>
      <c r="EN105" s="59">
        <f t="shared" si="74"/>
        <v>651.66980019626601</v>
      </c>
      <c r="EO105" s="59">
        <f ca="1">AVERAGE(OFFSET($EN$3,0,0,'Données projet'!$E$15+1,1))-AVERAGE(OFFSET($H$3,0,0,'Données projet'!$E$15+1,1))</f>
        <v>130.66539383144681</v>
      </c>
      <c r="EP105" s="59">
        <f t="shared" si="100"/>
        <v>126.36398121441903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16.799911156026432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16.799911156026432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7.2909999999999968</v>
      </c>
      <c r="FE105" s="12">
        <f>IF('Données projet'!$A$218&gt;35,FE104+FD105-FM104,IF(A105&lt;'Données projet'!$A$218,$FB$205^A105,IF(A105='Données projet'!$A$218,'Données projet'!$B$218,FE104+FD105-FM104)))</f>
        <v>330.41900000000004</v>
      </c>
      <c r="FF105" s="17">
        <f>FE105*VLOOKUP('Données projet'!$B$16,Paramètres!$A$1:$I$89,3,0)*VLOOKUP('Données projet'!$B$16,Paramètres!$A$1:$I$89,5,0)</f>
        <v>319.58125680000006</v>
      </c>
      <c r="FG105" s="13">
        <f t="shared" si="101"/>
        <v>75.266219357652062</v>
      </c>
      <c r="FH105" s="20">
        <f t="shared" si="76"/>
        <v>687.69268764124399</v>
      </c>
      <c r="FI105" s="59">
        <f t="shared" si="77"/>
        <v>981.02602097457725</v>
      </c>
      <c r="FJ105" s="59">
        <f ca="1">AVERAGE(OFFSET($FI$3,0,0,'Données projet'!$E$16+1,1))-AVERAGE(OFFSET($H$3,0,0,'Données projet'!$E$16+1,1))</f>
        <v>380.43199889536805</v>
      </c>
      <c r="FK105" s="59">
        <f t="shared" si="102"/>
        <v>154.72646317672996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77.39699108190824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77.39699108190824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304</v>
      </c>
      <c r="O106" s="13">
        <f>N106*VLOOKUP('Données projet'!$B$9,Paramètres!$A$1:$I$89,3,0)*VLOOKUP('Données projet'!$B$9,Paramètres!$A$1:$I$89,5,0)</f>
        <v>189.696</v>
      </c>
      <c r="P106" s="13">
        <f t="shared" si="87"/>
        <v>47.472736505152469</v>
      </c>
      <c r="Q106" s="20">
        <f t="shared" si="107"/>
        <v>413.06888274647389</v>
      </c>
      <c r="R106" s="59">
        <f t="shared" si="55"/>
        <v>706.4022160798072</v>
      </c>
      <c r="S106" s="59">
        <f ca="1">AVERAGE(OFFSET($R$3,0,0,'Données projet'!$E$9+1,1))-AVERAGE(OFFSET($H$3,0,0,'Données projet'!$E$9+1,1))</f>
        <v>179.44051550872138</v>
      </c>
      <c r="T106" s="59">
        <f t="shared" si="88"/>
        <v>272.9500808380069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28.974368657704996</v>
      </c>
      <c r="AA106" s="21">
        <f>EXP(-LN(2)/25)*AA105+(1-EXP(-LN(2)/25))/(LN(2)/25)*Calculateur!V106*Calculateur!X106*VLOOKUP('Données projet'!$B$9,Paramètres!$A$1:$I$89,3,0)*0.475*44/12</f>
        <v>6.3935754674617566</v>
      </c>
      <c r="AB106" s="21">
        <f>EXP(-LN(2)/2)*AB105+(1-EXP(-LN(2)/2))/(LN(2)/2)*V106*Y106*VLOOKUP('Données projet'!$B$9,Paramètres!$A$1:$I$89,3,0)*0.475*44/12</f>
        <v>2.2718272727009154E-12</v>
      </c>
      <c r="AC106" s="22">
        <f t="shared" si="57"/>
        <v>35.367944125169025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4.9900000000000038</v>
      </c>
      <c r="AI106" s="13">
        <f>IF('Données projet'!$A$62&gt;35,AI105+AH106-AQ105,IF(A106&lt;'Données projet'!$A$62,$AF$205^A106,IF(A106='Données projet'!$A$62,'Données projet'!$B$62,AI105+AH106-AQ105)))</f>
        <v>257.93999999999983</v>
      </c>
      <c r="AJ106" s="13">
        <f>AI106*VLOOKUP('Données projet'!$B$10,Paramètres!$A$1:$I$89,3,0)*VLOOKUP('Données projet'!$B$10,Paramètres!$A$1:$I$89,5,0)</f>
        <v>124.06913999999992</v>
      </c>
      <c r="AK106" s="13">
        <f t="shared" si="89"/>
        <v>32.622209594803117</v>
      </c>
      <c r="AL106" s="20">
        <f t="shared" si="58"/>
        <v>272.90410054428196</v>
      </c>
      <c r="AM106" s="59">
        <f t="shared" si="59"/>
        <v>566.23743387761533</v>
      </c>
      <c r="AN106" s="59">
        <f ca="1">AVERAGE(OFFSET($AM$3,0,0,'Données projet'!$E$10+1,1))-AVERAGE(OFFSET($H$3,0,0,'Données projet'!$E$10+1,1))</f>
        <v>174.18188687702559</v>
      </c>
      <c r="AO106" s="59">
        <f t="shared" si="90"/>
        <v>32.17353897322738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155.80370393071328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155.80370393071328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0.8600000000003547</v>
      </c>
      <c r="BE106" s="13">
        <f>BD106*VLOOKUP('Données projet'!$B$11,Paramètres!$A$1:$I$89,3,0)*VLOOKUP('Données projet'!$B$11,Paramètres!$A$1:$I$89,5,0)</f>
        <v>0.48074000000019829</v>
      </c>
      <c r="BF106" s="13">
        <f t="shared" si="91"/>
        <v>0.24126147010950588</v>
      </c>
      <c r="BG106" s="20">
        <f t="shared" si="61"/>
        <v>1.2574858937744013</v>
      </c>
      <c r="BH106" s="59">
        <f t="shared" si="62"/>
        <v>294.59081922710772</v>
      </c>
      <c r="BI106" s="59">
        <f ca="1">AVERAGE(OFFSET($BH$3,0,0,'Données projet'!$E$11+1,1))-AVERAGE(OFFSET($H$3,0,0,'Données projet'!$E$11+1,1))</f>
        <v>350.01600895263641</v>
      </c>
      <c r="BJ106" s="59">
        <f t="shared" si="92"/>
        <v>464.08921044376882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143.69986972944287</v>
      </c>
      <c r="BQ106" s="21">
        <f>EXP(-LN(2)/25)*BQ105+(1-EXP(-LN(2)/25))/(LN(2)/25)*Calculateur!BL106*Calculateur!BN106*VLOOKUP('Données projet'!$B$11,Paramètres!$A$1:$I$89,3,0)*0.475*44/12</f>
        <v>6.6818432940086359</v>
      </c>
      <c r="BR106" s="21">
        <f>EXP(-LN(2)/2)*BR105+(1-EXP(-LN(2)/2))/(LN(2)/2)*BL106*BO106*VLOOKUP('Données projet'!$B$11,Paramètres!$A$1:$I$89,3,0)*0.475*44/12</f>
        <v>7.6136031368434831E-12</v>
      </c>
      <c r="BS106" s="22">
        <f t="shared" si="63"/>
        <v>150.38171302345913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253.79640000000001</v>
      </c>
      <c r="CA106" s="13">
        <f t="shared" si="93"/>
        <v>61.39816832228076</v>
      </c>
      <c r="CB106" s="20">
        <f t="shared" si="64"/>
        <v>548.96387316130563</v>
      </c>
      <c r="CC106" s="59">
        <f t="shared" si="65"/>
        <v>842.29720649463889</v>
      </c>
      <c r="CD106" s="59">
        <f ca="1">AVERAGE(OFFSET($CC$3,0,0,'Données projet'!$E$12+1,1))-AVERAGE(OFFSET($H$3,0,0,'Données projet'!$E$12+1,1))</f>
        <v>279.49721661620544</v>
      </c>
      <c r="CE106" s="59">
        <f t="shared" si="94"/>
        <v>275.18739333988754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33.715728941634815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33.715728941634815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337.71</v>
      </c>
      <c r="CR106" s="12">
        <f>VLOOKUP(A106,'Données projet'!$A$139:$I$159,9,0)</f>
        <v>7.2909999999999968</v>
      </c>
      <c r="CS106" s="12">
        <f t="array" ref="CS106">INDEX(CR:CR,MIN(IF(ISNUMBER(CR106:CR302),ROW(CR106:CR302),"")))</f>
        <v>7.2909999999999968</v>
      </c>
      <c r="CT106" s="12">
        <f>IF('Données projet'!$A$140&gt;35,CT105+CS106-DB105,IF(A106&lt;'Données projet'!$A$140,$CQ$205^A106,IF(A106='Données projet'!$A$140,'Données projet'!$B$140,CT105+CS106-DB105)))</f>
        <v>337.71000000000004</v>
      </c>
      <c r="CU106" s="17">
        <f>CT106*VLOOKUP('Données projet'!$B$13,Paramètres!$A$1:$I$89,3,0)*VLOOKUP('Données projet'!$B$13,Paramètres!$A$1:$I$89,5,0)</f>
        <v>342.43794000000008</v>
      </c>
      <c r="CV106" s="13">
        <f t="shared" si="95"/>
        <v>80.003430619523741</v>
      </c>
      <c r="CW106" s="20">
        <f t="shared" si="67"/>
        <v>735.75205382900401</v>
      </c>
      <c r="CX106" s="59">
        <f t="shared" si="68"/>
        <v>1029.0853871623374</v>
      </c>
      <c r="CY106" s="59">
        <f ca="1">AVERAGE(OFFSET($CX$3,0,0,'Données projet'!$E$13+1,1))-AVERAGE(OFFSET($H$3,0,0,'Données projet'!$E$13+1,1))</f>
        <v>402.54350692668021</v>
      </c>
      <c r="CZ106" s="59">
        <f t="shared" si="96"/>
        <v>163.60655196884522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50.51</v>
      </c>
      <c r="DC106" s="16">
        <f>IF(ISNA(VLOOKUP(A106,'Données projet'!$A$139:$I$159,5,0)),0%,VLOOKUP(A106,'Données projet'!$A$139:$I$159,5,0)*VLOOKUP('Données projet'!$B$13,Paramètres!$A$1:$I$89,7,0))</f>
        <v>0.43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103.89704493180136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103.89704493180136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6.6</v>
      </c>
      <c r="DO106" s="12">
        <f>IF('Données projet'!$A$166&gt;35,DO105+DN106-DW105,IF(A106&lt;'Données projet'!$A$166,$DL$205^A106,IF(A106='Données projet'!$A$166,'Données projet'!$B$166,DO105+DN106-DW105)))</f>
        <v>395.79999999999995</v>
      </c>
      <c r="DP106" s="17">
        <f>DO106*VLOOKUP('Données projet'!$B$14,Paramètres!$A$1:$I$89,3,0)*VLOOKUP('Données projet'!$B$14,Paramètres!$A$1:$I$89,5,0)</f>
        <v>339.59640000000002</v>
      </c>
      <c r="DQ106" s="13">
        <f t="shared" si="97"/>
        <v>79.416554343021332</v>
      </c>
      <c r="DR106" s="20">
        <f t="shared" si="70"/>
        <v>729.7808954807623</v>
      </c>
      <c r="DS106" s="59">
        <f t="shared" si="71"/>
        <v>1023.1142288140957</v>
      </c>
      <c r="DT106" s="59">
        <f ca="1">AVERAGE(OFFSET($DS$3,0,0,'Données projet'!$E$14+1,1))-AVERAGE(OFFSET($H$3,0,0,'Données projet'!$E$14+1,1))</f>
        <v>352.76625414822473</v>
      </c>
      <c r="DU106" s="59">
        <f t="shared" si="98"/>
        <v>186.48649111821521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101.20634224833663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101.20634224833663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210.25641030000014</v>
      </c>
      <c r="EK106" s="17">
        <f>EJ106*VLOOKUP('Données projet'!$B$15,Paramètres!$A$1:$I$89,3,0)*VLOOKUP('Données projet'!$B$15,Paramètres!$A$1:$I$89,5,0)</f>
        <v>164.00000003400012</v>
      </c>
      <c r="EL106" s="13">
        <f t="shared" si="99"/>
        <v>41.743425916009095</v>
      </c>
      <c r="EM106" s="20">
        <f t="shared" si="73"/>
        <v>358.3364668629327</v>
      </c>
      <c r="EN106" s="59">
        <f t="shared" si="74"/>
        <v>651.66980019626601</v>
      </c>
      <c r="EO106" s="59">
        <f ca="1">AVERAGE(OFFSET($EN$3,0,0,'Données projet'!$E$15+1,1))-AVERAGE(OFFSET($H$3,0,0,'Données projet'!$E$15+1,1))</f>
        <v>130.66539383144681</v>
      </c>
      <c r="EP106" s="59">
        <f t="shared" si="100"/>
        <v>126.36398121441903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16.470475145190758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16.470475145190758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>
        <f>VLOOKUP(A106,'Données projet'!$A$217:$I$237,2,0)</f>
        <v>337.71</v>
      </c>
      <c r="FC106" s="12">
        <f>VLOOKUP(A106,'Données projet'!$A$217:$I$237,9,0)</f>
        <v>7.2909999999999968</v>
      </c>
      <c r="FD106" s="12">
        <f t="array" ref="FD106">INDEX(FC:FC,MIN(IF(ISNUMBER(FC106:FC302),ROW(FC106:FC302),"")))</f>
        <v>7.2909999999999968</v>
      </c>
      <c r="FE106" s="12">
        <f>IF('Données projet'!$A$218&gt;35,FE105+FD106-FM105,IF(A106&lt;'Données projet'!$A$218,$FB$205^A106,IF(A106='Données projet'!$A$218,'Données projet'!$B$218,FE105+FD106-FM105)))</f>
        <v>337.71000000000004</v>
      </c>
      <c r="FF106" s="17">
        <f>FE106*VLOOKUP('Données projet'!$B$16,Paramètres!$A$1:$I$89,3,0)*VLOOKUP('Données projet'!$B$16,Paramètres!$A$1:$I$89,5,0)</f>
        <v>326.63311200000004</v>
      </c>
      <c r="FG106" s="13">
        <f t="shared" si="101"/>
        <v>76.731849311579495</v>
      </c>
      <c r="FH106" s="20">
        <f t="shared" si="76"/>
        <v>702.52730761766759</v>
      </c>
      <c r="FI106" s="59">
        <f t="shared" si="77"/>
        <v>995.86064095100096</v>
      </c>
      <c r="FJ106" s="59">
        <f ca="1">AVERAGE(OFFSET($FI$3,0,0,'Données projet'!$E$16+1,1))-AVERAGE(OFFSET($H$3,0,0,'Données projet'!$E$16+1,1))</f>
        <v>380.43199889536805</v>
      </c>
      <c r="FK106" s="59">
        <f t="shared" si="102"/>
        <v>154.72646317672996</v>
      </c>
      <c r="FL106" s="15">
        <f>IF(ISNA(VLOOKUP(A106,'Données projet'!$A$217:$I$237,3,0)),0,VLOOKUP(A106,'Données projet'!$A$217:$I$237,3,0))</f>
        <v>8</v>
      </c>
      <c r="FM106" s="15">
        <f>IF(ISNA(VLOOKUP(A106,'Données projet'!$A$217:$I$237,4,0)),0,VLOOKUP(A106,'Données projet'!$A$217:$I$237,4,0))</f>
        <v>50.51</v>
      </c>
      <c r="FN106" s="16">
        <f>IF(ISNA(VLOOKUP(A106,'Données projet'!$A$217:$I$237,5,0)),0%,VLOOKUP(A106,'Données projet'!$A$217:$I$237,5,0)*VLOOKUP('Données projet'!$B$16,Paramètres!$A$1:$I$89,7,0))</f>
        <v>0.43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99.10179670417979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99.10179670417979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304</v>
      </c>
      <c r="O107" s="13">
        <f>N107*VLOOKUP('Données projet'!$B$9,Paramètres!$A$1:$I$89,3,0)*VLOOKUP('Données projet'!$B$9,Paramètres!$A$1:$I$89,5,0)</f>
        <v>189.696</v>
      </c>
      <c r="P107" s="13">
        <f t="shared" si="87"/>
        <v>47.472736505152469</v>
      </c>
      <c r="Q107" s="20">
        <f t="shared" si="107"/>
        <v>413.06888274647389</v>
      </c>
      <c r="R107" s="59">
        <f t="shared" si="55"/>
        <v>706.4022160798072</v>
      </c>
      <c r="S107" s="59">
        <f ca="1">AVERAGE(OFFSET($R$3,0,0,'Données projet'!$E$9+1,1))-AVERAGE(OFFSET($H$3,0,0,'Données projet'!$E$9+1,1))</f>
        <v>179.44051550872138</v>
      </c>
      <c r="T107" s="59">
        <f t="shared" si="88"/>
        <v>272.9500808380069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28.406198960947258</v>
      </c>
      <c r="AA107" s="21">
        <f>EXP(-LN(2)/25)*AA106+(1-EXP(-LN(2)/25))/(LN(2)/25)*Calculateur!V107*Calculateur!X107*VLOOKUP('Données projet'!$B$9,Paramètres!$A$1:$I$89,3,0)*0.475*44/12</f>
        <v>6.218742810080494</v>
      </c>
      <c r="AB107" s="21">
        <f>EXP(-LN(2)/2)*AB106+(1-EXP(-LN(2)/2))/(LN(2)/2)*V107*Y107*VLOOKUP('Données projet'!$B$9,Paramètres!$A$1:$I$89,3,0)*0.475*44/12</f>
        <v>1.6064244702113572E-12</v>
      </c>
      <c r="AC107" s="22">
        <f t="shared" si="57"/>
        <v>34.624941771029356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4.9900000000000038</v>
      </c>
      <c r="AI107" s="13">
        <f>IF('Données projet'!$A$62&gt;35,AI106+AH107-AQ106,IF(A107&lt;'Données projet'!$A$62,$AF$205^A107,IF(A107='Données projet'!$A$62,'Données projet'!$B$62,AI106+AH107-AQ106)))</f>
        <v>262.92999999999984</v>
      </c>
      <c r="AJ107" s="13">
        <f>AI107*VLOOKUP('Données projet'!$B$10,Paramètres!$A$1:$I$89,3,0)*VLOOKUP('Données projet'!$B$10,Paramètres!$A$1:$I$89,5,0)</f>
        <v>126.46932999999993</v>
      </c>
      <c r="AK107" s="13">
        <f t="shared" si="89"/>
        <v>33.179222383271274</v>
      </c>
      <c r="AL107" s="20">
        <f t="shared" si="58"/>
        <v>278.0545620675307</v>
      </c>
      <c r="AM107" s="59">
        <f t="shared" si="59"/>
        <v>571.38789540086395</v>
      </c>
      <c r="AN107" s="59">
        <f ca="1">AVERAGE(OFFSET($AM$3,0,0,'Données projet'!$E$10+1,1))-AVERAGE(OFFSET($H$3,0,0,'Données projet'!$E$10+1,1))</f>
        <v>174.18188687702559</v>
      </c>
      <c r="AO107" s="59">
        <f t="shared" si="90"/>
        <v>32.17353897322738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152.74848832750789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152.74848832750789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0.8600000000003547</v>
      </c>
      <c r="BE107" s="13">
        <f>BD107*VLOOKUP('Données projet'!$B$11,Paramètres!$A$1:$I$89,3,0)*VLOOKUP('Données projet'!$B$11,Paramètres!$A$1:$I$89,5,0)</f>
        <v>0.48074000000019829</v>
      </c>
      <c r="BF107" s="13">
        <f t="shared" si="91"/>
        <v>0.24126147010950588</v>
      </c>
      <c r="BG107" s="20">
        <f t="shared" si="61"/>
        <v>1.2574858937744013</v>
      </c>
      <c r="BH107" s="59">
        <f t="shared" si="62"/>
        <v>294.59081922710772</v>
      </c>
      <c r="BI107" s="59">
        <f ca="1">AVERAGE(OFFSET($BH$3,0,0,'Données projet'!$E$11+1,1))-AVERAGE(OFFSET($H$3,0,0,'Données projet'!$E$11+1,1))</f>
        <v>350.01600895263641</v>
      </c>
      <c r="BJ107" s="59">
        <f t="shared" si="92"/>
        <v>464.08921044376882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140.88200293231449</v>
      </c>
      <c r="BQ107" s="21">
        <f>EXP(-LN(2)/25)*BQ106+(1-EXP(-LN(2)/25))/(LN(2)/25)*Calculateur!BL107*Calculateur!BN107*VLOOKUP('Données projet'!$B$11,Paramètres!$A$1:$I$89,3,0)*0.475*44/12</f>
        <v>6.4991279377511022</v>
      </c>
      <c r="BR107" s="21">
        <f>EXP(-LN(2)/2)*BR106+(1-EXP(-LN(2)/2))/(LN(2)/2)*BL107*BO107*VLOOKUP('Données projet'!$B$11,Paramètres!$A$1:$I$89,3,0)*0.475*44/12</f>
        <v>5.3836304073251969E-12</v>
      </c>
      <c r="BS107" s="22">
        <f t="shared" si="63"/>
        <v>147.38113087007096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253.79640000000001</v>
      </c>
      <c r="CA107" s="13">
        <f t="shared" si="93"/>
        <v>61.39816832228076</v>
      </c>
      <c r="CB107" s="20">
        <f t="shared" si="64"/>
        <v>548.96387316130563</v>
      </c>
      <c r="CC107" s="59">
        <f t="shared" si="65"/>
        <v>842.29720649463889</v>
      </c>
      <c r="CD107" s="59">
        <f ca="1">AVERAGE(OFFSET($CC$3,0,0,'Données projet'!$E$12+1,1))-AVERAGE(OFFSET($H$3,0,0,'Données projet'!$E$12+1,1))</f>
        <v>279.49721661620544</v>
      </c>
      <c r="CE107" s="59">
        <f t="shared" si="94"/>
        <v>275.18739333988754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33.054584061653429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33.054584061653429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6.8850000000000025</v>
      </c>
      <c r="CT107" s="12">
        <f>IF('Données projet'!$A$140&gt;35,CT106+CS107-DB106,IF(A107&lt;'Données projet'!$A$140,$CQ$205^A107,IF(A107='Données projet'!$A$140,'Données projet'!$B$140,CT106+CS107-DB106)))</f>
        <v>294.08500000000004</v>
      </c>
      <c r="CU107" s="17">
        <f>CT107*VLOOKUP('Données projet'!$B$13,Paramètres!$A$1:$I$89,3,0)*VLOOKUP('Données projet'!$B$13,Paramètres!$A$1:$I$89,5,0)</f>
        <v>298.20219000000003</v>
      </c>
      <c r="CV107" s="13">
        <f t="shared" si="95"/>
        <v>70.799441701094068</v>
      </c>
      <c r="CW107" s="20">
        <f t="shared" si="67"/>
        <v>642.67784187940549</v>
      </c>
      <c r="CX107" s="59">
        <f t="shared" si="68"/>
        <v>936.01117521273886</v>
      </c>
      <c r="CY107" s="59">
        <f ca="1">AVERAGE(OFFSET($CX$3,0,0,'Données projet'!$E$13+1,1))-AVERAGE(OFFSET($H$3,0,0,'Données projet'!$E$13+1,1))</f>
        <v>402.54350692668021</v>
      </c>
      <c r="CZ107" s="59">
        <f t="shared" si="96"/>
        <v>163.60655196884522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101.85968725162878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101.85968725162878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6.6</v>
      </c>
      <c r="DO107" s="12">
        <f>IF('Données projet'!$A$166&gt;35,DO106+DN107-DW106,IF(A107&lt;'Données projet'!$A$166,$DL$205^A107,IF(A107='Données projet'!$A$166,'Données projet'!$B$166,DO106+DN107-DW106)))</f>
        <v>402.4</v>
      </c>
      <c r="DP107" s="17">
        <f>DO107*VLOOKUP('Données projet'!$B$14,Paramètres!$A$1:$I$89,3,0)*VLOOKUP('Données projet'!$B$14,Paramètres!$A$1:$I$89,5,0)</f>
        <v>345.25920000000002</v>
      </c>
      <c r="DQ107" s="13">
        <f t="shared" si="97"/>
        <v>80.585557826060622</v>
      </c>
      <c r="DR107" s="20">
        <f t="shared" si="70"/>
        <v>741.67961988038894</v>
      </c>
      <c r="DS107" s="59">
        <f t="shared" si="71"/>
        <v>1035.0129532137223</v>
      </c>
      <c r="DT107" s="59">
        <f ca="1">AVERAGE(OFFSET($DS$3,0,0,'Données projet'!$E$14+1,1))-AVERAGE(OFFSET($H$3,0,0,'Données projet'!$E$14+1,1))</f>
        <v>352.76625414822473</v>
      </c>
      <c r="DU107" s="59">
        <f t="shared" si="98"/>
        <v>186.48649111821521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99.221747606620212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99.221747606620212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210.25641030000014</v>
      </c>
      <c r="EK107" s="17">
        <f>EJ107*VLOOKUP('Données projet'!$B$15,Paramètres!$A$1:$I$89,3,0)*VLOOKUP('Données projet'!$B$15,Paramètres!$A$1:$I$89,5,0)</f>
        <v>164.00000003400012</v>
      </c>
      <c r="EL107" s="13">
        <f t="shared" si="99"/>
        <v>41.743425916009095</v>
      </c>
      <c r="EM107" s="20">
        <f t="shared" si="73"/>
        <v>358.3364668629327</v>
      </c>
      <c r="EN107" s="59">
        <f t="shared" si="74"/>
        <v>651.66980019626601</v>
      </c>
      <c r="EO107" s="59">
        <f ca="1">AVERAGE(OFFSET($EN$3,0,0,'Données projet'!$E$15+1,1))-AVERAGE(OFFSET($H$3,0,0,'Données projet'!$E$15+1,1))</f>
        <v>130.66539383144681</v>
      </c>
      <c r="EP107" s="59">
        <f t="shared" si="100"/>
        <v>126.36398121441903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16.147499173591445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16.147499173591445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6.8850000000000025</v>
      </c>
      <c r="FE107" s="12">
        <f>IF('Données projet'!$A$218&gt;35,FE106+FD107-FM106,IF(A107&lt;'Données projet'!$A$218,$FB$205^A107,IF(A107='Données projet'!$A$218,'Données projet'!$B$218,FE106+FD107-FM106)))</f>
        <v>294.08500000000004</v>
      </c>
      <c r="FF107" s="17">
        <f>FE107*VLOOKUP('Données projet'!$B$16,Paramètres!$A$1:$I$89,3,0)*VLOOKUP('Données projet'!$B$16,Paramètres!$A$1:$I$89,5,0)</f>
        <v>284.43901200000005</v>
      </c>
      <c r="FG107" s="13">
        <f t="shared" si="101"/>
        <v>67.904239229293225</v>
      </c>
      <c r="FH107" s="20">
        <f t="shared" si="76"/>
        <v>613.6644958910191</v>
      </c>
      <c r="FI107" s="59">
        <f t="shared" si="77"/>
        <v>906.99782922435247</v>
      </c>
      <c r="FJ107" s="59">
        <f ca="1">AVERAGE(OFFSET($FI$3,0,0,'Données projet'!$E$16+1,1))-AVERAGE(OFFSET($H$3,0,0,'Données projet'!$E$16+1,1))</f>
        <v>380.43199889536805</v>
      </c>
      <c r="FK107" s="59">
        <f t="shared" si="102"/>
        <v>154.72646317672996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97.158470916938256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97.158470916938256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304</v>
      </c>
      <c r="O108" s="13">
        <f>N108*VLOOKUP('Données projet'!$B$9,Paramètres!$A$1:$I$89,3,0)*VLOOKUP('Données projet'!$B$9,Paramètres!$A$1:$I$89,5,0)</f>
        <v>189.696</v>
      </c>
      <c r="P108" s="13">
        <f t="shared" si="87"/>
        <v>47.472736505152469</v>
      </c>
      <c r="Q108" s="20">
        <f t="shared" si="107"/>
        <v>413.06888274647389</v>
      </c>
      <c r="R108" s="59">
        <f t="shared" si="55"/>
        <v>706.4022160798072</v>
      </c>
      <c r="S108" s="59">
        <f ca="1">AVERAGE(OFFSET($R$3,0,0,'Données projet'!$E$9+1,1))-AVERAGE(OFFSET($H$3,0,0,'Données projet'!$E$9+1,1))</f>
        <v>179.44051550872138</v>
      </c>
      <c r="T108" s="59">
        <f t="shared" si="88"/>
        <v>272.9500808380069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27.849170725393641</v>
      </c>
      <c r="AA108" s="21">
        <f>EXP(-LN(2)/25)*AA107+(1-EXP(-LN(2)/25))/(LN(2)/25)*Calculateur!V108*Calculateur!X108*VLOOKUP('Données projet'!$B$9,Paramètres!$A$1:$I$89,3,0)*0.475*44/12</f>
        <v>6.0486909609093713</v>
      </c>
      <c r="AB108" s="21">
        <f>EXP(-LN(2)/2)*AB107+(1-EXP(-LN(2)/2))/(LN(2)/2)*V108*Y108*VLOOKUP('Données projet'!$B$9,Paramètres!$A$1:$I$89,3,0)*0.475*44/12</f>
        <v>1.1359136363504577E-12</v>
      </c>
      <c r="AC108" s="22">
        <f t="shared" si="57"/>
        <v>33.897861686304147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267.92</v>
      </c>
      <c r="AG108" s="12">
        <f>VLOOKUP(A108,'Données projet'!$A$61:$I$81,9,0)</f>
        <v>4.9900000000000038</v>
      </c>
      <c r="AH108" s="12">
        <f t="array" ref="AH108">INDEX(AG:AG,MIN(IF(ISNUMBER(AG108:AG304),ROW(AG108:AG304),"")))</f>
        <v>4.9900000000000038</v>
      </c>
      <c r="AI108" s="13">
        <f>IF('Données projet'!$A$62&gt;35,AI107+AH108-AQ107,IF(A108&lt;'Données projet'!$A$62,$AF$205^A108,IF(A108='Données projet'!$A$62,'Données projet'!$B$62,AI107+AH108-AQ107)))</f>
        <v>267.91999999999985</v>
      </c>
      <c r="AJ108" s="13">
        <f>AI108*VLOOKUP('Données projet'!$B$10,Paramètres!$A$1:$I$89,3,0)*VLOOKUP('Données projet'!$B$10,Paramètres!$A$1:$I$89,5,0)</f>
        <v>128.86951999999994</v>
      </c>
      <c r="AK108" s="13">
        <f t="shared" si="89"/>
        <v>33.735005960557707</v>
      </c>
      <c r="AL108" s="20">
        <f t="shared" si="58"/>
        <v>283.20288271463795</v>
      </c>
      <c r="AM108" s="59">
        <f t="shared" si="59"/>
        <v>576.53621604797127</v>
      </c>
      <c r="AN108" s="59">
        <f ca="1">AVERAGE(OFFSET($AM$3,0,0,'Données projet'!$E$10+1,1))-AVERAGE(OFFSET($H$3,0,0,'Données projet'!$E$10+1,1))</f>
        <v>174.18188687702559</v>
      </c>
      <c r="AO108" s="59">
        <f t="shared" si="90"/>
        <v>32.17353897322738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149.75318363878381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149.75318363878381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0.8600000000003547</v>
      </c>
      <c r="BE108" s="13">
        <f>BD108*VLOOKUP('Données projet'!$B$11,Paramètres!$A$1:$I$89,3,0)*VLOOKUP('Données projet'!$B$11,Paramètres!$A$1:$I$89,5,0)</f>
        <v>0.48074000000019829</v>
      </c>
      <c r="BF108" s="13">
        <f t="shared" si="91"/>
        <v>0.24126147010950588</v>
      </c>
      <c r="BG108" s="20">
        <f t="shared" si="61"/>
        <v>1.2574858937744013</v>
      </c>
      <c r="BH108" s="59">
        <f t="shared" si="62"/>
        <v>294.59081922710772</v>
      </c>
      <c r="BI108" s="59">
        <f ca="1">AVERAGE(OFFSET($BH$3,0,0,'Données projet'!$E$11+1,1))-AVERAGE(OFFSET($H$3,0,0,'Données projet'!$E$11+1,1))</f>
        <v>350.01600895263641</v>
      </c>
      <c r="BJ108" s="59">
        <f t="shared" si="92"/>
        <v>464.08921044376882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138.11939278434875</v>
      </c>
      <c r="BQ108" s="21">
        <f>EXP(-LN(2)/25)*BQ107+(1-EXP(-LN(2)/25))/(LN(2)/25)*Calculateur!BL108*Calculateur!BN108*VLOOKUP('Données projet'!$B$11,Paramètres!$A$1:$I$89,3,0)*0.475*44/12</f>
        <v>6.3214089425190139</v>
      </c>
      <c r="BR108" s="21">
        <f>EXP(-LN(2)/2)*BR107+(1-EXP(-LN(2)/2))/(LN(2)/2)*BL108*BO108*VLOOKUP('Données projet'!$B$11,Paramètres!$A$1:$I$89,3,0)*0.475*44/12</f>
        <v>3.8068015684217416E-12</v>
      </c>
      <c r="BS108" s="22">
        <f t="shared" si="63"/>
        <v>144.44080172687157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253.79640000000001</v>
      </c>
      <c r="CA108" s="13">
        <f t="shared" si="93"/>
        <v>61.39816832228076</v>
      </c>
      <c r="CB108" s="20">
        <f t="shared" si="64"/>
        <v>548.96387316130563</v>
      </c>
      <c r="CC108" s="59">
        <f t="shared" si="65"/>
        <v>842.29720649463889</v>
      </c>
      <c r="CD108" s="59">
        <f ca="1">AVERAGE(OFFSET($CC$3,0,0,'Données projet'!$E$12+1,1))-AVERAGE(OFFSET($H$3,0,0,'Données projet'!$E$12+1,1))</f>
        <v>279.49721661620544</v>
      </c>
      <c r="CE108" s="59">
        <f t="shared" si="94"/>
        <v>275.18739333988754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32.406403829509919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32.406403829509919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6.8850000000000025</v>
      </c>
      <c r="CT108" s="12">
        <f>IF('Données projet'!$A$140&gt;35,CT107+CS108-DB107,IF(A108&lt;'Données projet'!$A$140,$CQ$205^A108,IF(A108='Données projet'!$A$140,'Données projet'!$B$140,CT107+CS108-DB107)))</f>
        <v>300.97000000000003</v>
      </c>
      <c r="CU108" s="17">
        <f>CT108*VLOOKUP('Données projet'!$B$13,Paramètres!$A$1:$I$89,3,0)*VLOOKUP('Données projet'!$B$13,Paramètres!$A$1:$I$89,5,0)</f>
        <v>305.18358000000001</v>
      </c>
      <c r="CV108" s="13">
        <f t="shared" si="95"/>
        <v>72.262055131499707</v>
      </c>
      <c r="CW108" s="20">
        <f t="shared" si="67"/>
        <v>657.38448118736198</v>
      </c>
      <c r="CX108" s="59">
        <f t="shared" si="68"/>
        <v>950.71781452069536</v>
      </c>
      <c r="CY108" s="59">
        <f ca="1">AVERAGE(OFFSET($CX$3,0,0,'Données projet'!$E$13+1,1))-AVERAGE(OFFSET($H$3,0,0,'Données projet'!$E$13+1,1))</f>
        <v>402.54350692668021</v>
      </c>
      <c r="CZ108" s="59">
        <f t="shared" si="96"/>
        <v>163.60655196884522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99.86228091289891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99.86228091289891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409</v>
      </c>
      <c r="DM108" s="12">
        <f>VLOOKUP(A108,'Données projet'!$A$165:$I$185,9,0)</f>
        <v>6.6</v>
      </c>
      <c r="DN108" s="12">
        <f t="array" ref="DN108">INDEX(DM:DM,MIN(IF(ISNUMBER(DM108:DM304),ROW(DM108:DM304),"")))</f>
        <v>6.6</v>
      </c>
      <c r="DO108" s="12">
        <f>IF('Données projet'!$A$166&gt;35,DO107+DN108-DW107,IF(A108&lt;'Données projet'!$A$166,$DL$205^A108,IF(A108='Données projet'!$A$166,'Données projet'!$B$166,DO107+DN108-DW107)))</f>
        <v>409</v>
      </c>
      <c r="DP108" s="17">
        <f>DO108*VLOOKUP('Données projet'!$B$14,Paramètres!$A$1:$I$89,3,0)*VLOOKUP('Données projet'!$B$14,Paramètres!$A$1:$I$89,5,0)</f>
        <v>350.92200000000003</v>
      </c>
      <c r="DQ108" s="13">
        <f t="shared" si="97"/>
        <v>81.752331535154511</v>
      </c>
      <c r="DR108" s="20">
        <f t="shared" si="70"/>
        <v>753.57446075706082</v>
      </c>
      <c r="DS108" s="59">
        <f t="shared" si="71"/>
        <v>1046.9077940903942</v>
      </c>
      <c r="DT108" s="59">
        <f ca="1">AVERAGE(OFFSET($DS$3,0,0,'Données projet'!$E$14+1,1))-AVERAGE(OFFSET($H$3,0,0,'Données projet'!$E$14+1,1))</f>
        <v>352.76625414822473</v>
      </c>
      <c r="DU108" s="59">
        <f t="shared" si="98"/>
        <v>186.48649111821521</v>
      </c>
      <c r="DV108" s="15">
        <f>IF(ISNA(VLOOKUP(A108,'Données projet'!$A$165:$I$185,3,0)),0,VLOOKUP(A108,'Données projet'!$A$165:$I$185,3,0))</f>
        <v>17</v>
      </c>
      <c r="DW108" s="15">
        <f>IF(ISNA(VLOOKUP(A108,'Données projet'!$A$165:$I$185,4,0)),0,VLOOKUP(A108,'Données projet'!$A$165:$I$185,4,0))</f>
        <v>23</v>
      </c>
      <c r="DX108" s="16">
        <f>IF(ISNA(VLOOKUP(A108,'Données projet'!$A$165:$I$185,5,0)),0%,VLOOKUP(A108,'Données projet'!$A$165:$I$185,5,0)*VLOOKUP('Données projet'!$B$14,Paramètres!$A$1:$I$89,7,0))</f>
        <v>0.53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108.83820646428737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108.83820646428737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210.25641030000014</v>
      </c>
      <c r="EK108" s="17">
        <f>EJ108*VLOOKUP('Données projet'!$B$15,Paramètres!$A$1:$I$89,3,0)*VLOOKUP('Données projet'!$B$15,Paramètres!$A$1:$I$89,5,0)</f>
        <v>164.00000003400012</v>
      </c>
      <c r="EL108" s="13">
        <f t="shared" si="99"/>
        <v>41.743425916009095</v>
      </c>
      <c r="EM108" s="20">
        <f t="shared" si="73"/>
        <v>358.3364668629327</v>
      </c>
      <c r="EN108" s="59">
        <f t="shared" si="74"/>
        <v>651.66980019626601</v>
      </c>
      <c r="EO108" s="59">
        <f ca="1">AVERAGE(OFFSET($EN$3,0,0,'Données projet'!$E$15+1,1))-AVERAGE(OFFSET($H$3,0,0,'Données projet'!$E$15+1,1))</f>
        <v>130.66539383144681</v>
      </c>
      <c r="EP108" s="59">
        <f t="shared" si="100"/>
        <v>126.36398121441903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15.830856563799305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15.830856563799305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6.8850000000000025</v>
      </c>
      <c r="FE108" s="12">
        <f>IF('Données projet'!$A$218&gt;35,FE107+FD108-FM107,IF(A108&lt;'Données projet'!$A$218,$FB$205^A108,IF(A108='Données projet'!$A$218,'Données projet'!$B$218,FE107+FD108-FM107)))</f>
        <v>300.97000000000003</v>
      </c>
      <c r="FF108" s="17">
        <f>FE108*VLOOKUP('Données projet'!$B$16,Paramètres!$A$1:$I$89,3,0)*VLOOKUP('Données projet'!$B$16,Paramètres!$A$1:$I$89,5,0)</f>
        <v>291.098184</v>
      </c>
      <c r="FG108" s="13">
        <f t="shared" si="101"/>
        <v>69.307041990048646</v>
      </c>
      <c r="FH108" s="20">
        <f t="shared" si="76"/>
        <v>627.70576859933465</v>
      </c>
      <c r="FI108" s="59">
        <f t="shared" si="77"/>
        <v>921.03910193266802</v>
      </c>
      <c r="FJ108" s="59">
        <f ca="1">AVERAGE(OFFSET($FI$3,0,0,'Données projet'!$E$16+1,1))-AVERAGE(OFFSET($H$3,0,0,'Données projet'!$E$16+1,1))</f>
        <v>380.43199889536805</v>
      </c>
      <c r="FK108" s="59">
        <f t="shared" si="102"/>
        <v>154.72646317672996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95.253252563072834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95.253252563072834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304</v>
      </c>
      <c r="O109" s="13">
        <f>N109*VLOOKUP('Données projet'!$B$9,Paramètres!$A$1:$I$89,3,0)*VLOOKUP('Données projet'!$B$9,Paramètres!$A$1:$I$89,5,0)</f>
        <v>189.696</v>
      </c>
      <c r="P109" s="13">
        <f t="shared" si="87"/>
        <v>47.472736505152469</v>
      </c>
      <c r="Q109" s="20">
        <f t="shared" si="107"/>
        <v>413.06888274647389</v>
      </c>
      <c r="R109" s="59">
        <f t="shared" si="55"/>
        <v>706.4022160798072</v>
      </c>
      <c r="S109" s="59">
        <f ca="1">AVERAGE(OFFSET($R$3,0,0,'Données projet'!$E$9+1,1))-AVERAGE(OFFSET($H$3,0,0,'Données projet'!$E$9+1,1))</f>
        <v>179.44051550872138</v>
      </c>
      <c r="T109" s="59">
        <f t="shared" si="88"/>
        <v>272.9500808380069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27.303065473785555</v>
      </c>
      <c r="AA109" s="21">
        <f>EXP(-LN(2)/25)*AA108+(1-EXP(-LN(2)/25))/(LN(2)/25)*Calculateur!V109*Calculateur!X109*VLOOKUP('Données projet'!$B$9,Paramètres!$A$1:$I$89,3,0)*0.475*44/12</f>
        <v>5.8832891884964713</v>
      </c>
      <c r="AB109" s="21">
        <f>EXP(-LN(2)/2)*AB108+(1-EXP(-LN(2)/2))/(LN(2)/2)*V109*Y109*VLOOKUP('Données projet'!$B$9,Paramètres!$A$1:$I$89,3,0)*0.475*44/12</f>
        <v>8.0321223510567861E-13</v>
      </c>
      <c r="AC109" s="22">
        <f t="shared" si="57"/>
        <v>33.186354662282831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4.6639999999999988</v>
      </c>
      <c r="AI109" s="13">
        <f>IF('Données projet'!$A$62&gt;35,AI108+AH109-AQ108,IF(A109&lt;'Données projet'!$A$62,$AF$205^A109,IF(A109='Données projet'!$A$62,'Données projet'!$B$62,AI108+AH109-AQ108)))</f>
        <v>272.58399999999983</v>
      </c>
      <c r="AJ109" s="13">
        <f>AI109*VLOOKUP('Données projet'!$B$10,Paramètres!$A$1:$I$89,3,0)*VLOOKUP('Données projet'!$B$10,Paramètres!$A$1:$I$89,5,0)</f>
        <v>131.11290399999993</v>
      </c>
      <c r="AK109" s="13">
        <f t="shared" si="89"/>
        <v>34.253391050677592</v>
      </c>
      <c r="AL109" s="20">
        <f t="shared" si="58"/>
        <v>288.01296387993006</v>
      </c>
      <c r="AM109" s="59">
        <f t="shared" si="59"/>
        <v>581.34629721326337</v>
      </c>
      <c r="AN109" s="59">
        <f ca="1">AVERAGE(OFFSET($AM$3,0,0,'Données projet'!$E$10+1,1))-AVERAGE(OFFSET($H$3,0,0,'Données projet'!$E$10+1,1))</f>
        <v>174.18188687702559</v>
      </c>
      <c r="AO109" s="59">
        <f t="shared" si="90"/>
        <v>32.17353897322738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146.81661504805015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146.81661504805015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0.8600000000003547</v>
      </c>
      <c r="BE109" s="13">
        <f>BD109*VLOOKUP('Données projet'!$B$11,Paramètres!$A$1:$I$89,3,0)*VLOOKUP('Données projet'!$B$11,Paramètres!$A$1:$I$89,5,0)</f>
        <v>0.48074000000019829</v>
      </c>
      <c r="BF109" s="13">
        <f t="shared" si="91"/>
        <v>0.24126147010950588</v>
      </c>
      <c r="BG109" s="20">
        <f t="shared" si="61"/>
        <v>1.2574858937744013</v>
      </c>
      <c r="BH109" s="59">
        <f t="shared" si="62"/>
        <v>294.59081922710772</v>
      </c>
      <c r="BI109" s="59">
        <f ca="1">AVERAGE(OFFSET($BH$3,0,0,'Données projet'!$E$11+1,1))-AVERAGE(OFFSET($H$3,0,0,'Données projet'!$E$11+1,1))</f>
        <v>350.01600895263641</v>
      </c>
      <c r="BJ109" s="59">
        <f t="shared" si="92"/>
        <v>464.08921044376882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135.4109557363588</v>
      </c>
      <c r="BQ109" s="21">
        <f>EXP(-LN(2)/25)*BQ108+(1-EXP(-LN(2)/25))/(LN(2)/25)*Calculateur!BL109*Calculateur!BN109*VLOOKUP('Données projet'!$B$11,Paramètres!$A$1:$I$89,3,0)*0.475*44/12</f>
        <v>6.1485496825573831</v>
      </c>
      <c r="BR109" s="21">
        <f>EXP(-LN(2)/2)*BR108+(1-EXP(-LN(2)/2))/(LN(2)/2)*BL109*BO109*VLOOKUP('Données projet'!$B$11,Paramètres!$A$1:$I$89,3,0)*0.475*44/12</f>
        <v>2.6918152036625984E-12</v>
      </c>
      <c r="BS109" s="22">
        <f t="shared" si="63"/>
        <v>141.55950541891889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253.79640000000001</v>
      </c>
      <c r="CA109" s="13">
        <f t="shared" si="93"/>
        <v>61.39816832228076</v>
      </c>
      <c r="CB109" s="20">
        <f t="shared" si="64"/>
        <v>548.96387316130563</v>
      </c>
      <c r="CC109" s="59">
        <f t="shared" si="65"/>
        <v>842.29720649463889</v>
      </c>
      <c r="CD109" s="59">
        <f ca="1">AVERAGE(OFFSET($CC$3,0,0,'Données projet'!$E$12+1,1))-AVERAGE(OFFSET($H$3,0,0,'Données projet'!$E$12+1,1))</f>
        <v>279.49721661620544</v>
      </c>
      <c r="CE109" s="59">
        <f t="shared" si="94"/>
        <v>275.18739333988754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31.770934016367839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31.770934016367839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6.8850000000000025</v>
      </c>
      <c r="CT109" s="12">
        <f>IF('Données projet'!$A$140&gt;35,CT108+CS109-DB108,IF(A109&lt;'Données projet'!$A$140,$CQ$205^A109,IF(A109='Données projet'!$A$140,'Données projet'!$B$140,CT108+CS109-DB108)))</f>
        <v>307.85500000000002</v>
      </c>
      <c r="CU109" s="17">
        <f>CT109*VLOOKUP('Données projet'!$B$13,Paramètres!$A$1:$I$89,3,0)*VLOOKUP('Données projet'!$B$13,Paramètres!$A$1:$I$89,5,0)</f>
        <v>312.16497000000004</v>
      </c>
      <c r="CV109" s="13">
        <f t="shared" si="95"/>
        <v>73.720778780235008</v>
      </c>
      <c r="CW109" s="20">
        <f t="shared" si="67"/>
        <v>672.08434579224274</v>
      </c>
      <c r="CX109" s="59">
        <f t="shared" si="68"/>
        <v>965.41767912557611</v>
      </c>
      <c r="CY109" s="59">
        <f ca="1">AVERAGE(OFFSET($CX$3,0,0,'Données projet'!$E$13+1,1))-AVERAGE(OFFSET($H$3,0,0,'Données projet'!$E$13+1,1))</f>
        <v>402.54350692668021</v>
      </c>
      <c r="CZ109" s="59">
        <f t="shared" si="96"/>
        <v>163.60655196884522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97.904042494173964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97.904042494173964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6.8</v>
      </c>
      <c r="DO109" s="12">
        <f>IF('Données projet'!$A$166&gt;35,DO108+DN109-DW108,IF(A109&lt;'Données projet'!$A$166,$DL$205^A109,IF(A109='Données projet'!$A$166,'Données projet'!$B$166,DO108+DN109-DW108)))</f>
        <v>392.8</v>
      </c>
      <c r="DP109" s="17">
        <f>DO109*VLOOKUP('Données projet'!$B$14,Paramètres!$A$1:$I$89,3,0)*VLOOKUP('Données projet'!$B$14,Paramètres!$A$1:$I$89,5,0)</f>
        <v>337.02240000000006</v>
      </c>
      <c r="DQ109" s="13">
        <f t="shared" si="97"/>
        <v>78.884440823098231</v>
      </c>
      <c r="DR109" s="20">
        <f t="shared" si="70"/>
        <v>724.37108110022939</v>
      </c>
      <c r="DS109" s="59">
        <f t="shared" si="71"/>
        <v>1017.7044144335628</v>
      </c>
      <c r="DT109" s="59">
        <f ca="1">AVERAGE(OFFSET($DS$3,0,0,'Données projet'!$E$14+1,1))-AVERAGE(OFFSET($H$3,0,0,'Données projet'!$E$14+1,1))</f>
        <v>352.76625414822473</v>
      </c>
      <c r="DU109" s="59">
        <f t="shared" si="98"/>
        <v>186.48649111821521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106.70395562027369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106.70395562027369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210.25641030000014</v>
      </c>
      <c r="EK109" s="17">
        <f>EJ109*VLOOKUP('Données projet'!$B$15,Paramètres!$A$1:$I$89,3,0)*VLOOKUP('Données projet'!$B$15,Paramètres!$A$1:$I$89,5,0)</f>
        <v>164.00000003400012</v>
      </c>
      <c r="EL109" s="13">
        <f t="shared" si="99"/>
        <v>41.743425916009095</v>
      </c>
      <c r="EM109" s="20">
        <f t="shared" si="73"/>
        <v>358.3364668629327</v>
      </c>
      <c r="EN109" s="59">
        <f t="shared" si="74"/>
        <v>651.66980019626601</v>
      </c>
      <c r="EO109" s="59">
        <f ca="1">AVERAGE(OFFSET($EN$3,0,0,'Données projet'!$E$15+1,1))-AVERAGE(OFFSET($H$3,0,0,'Données projet'!$E$15+1,1))</f>
        <v>130.66539383144681</v>
      </c>
      <c r="EP109" s="59">
        <f t="shared" si="100"/>
        <v>126.36398121441903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15.520423122452266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15.520423122452266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6.8850000000000025</v>
      </c>
      <c r="FE109" s="12">
        <f>IF('Données projet'!$A$218&gt;35,FE108+FD109-FM108,IF(A109&lt;'Données projet'!$A$218,$FB$205^A109,IF(A109='Données projet'!$A$218,'Données projet'!$B$218,FE108+FD109-FM108)))</f>
        <v>307.85500000000002</v>
      </c>
      <c r="FF109" s="17">
        <f>FE109*VLOOKUP('Données projet'!$B$16,Paramètres!$A$1:$I$89,3,0)*VLOOKUP('Données projet'!$B$16,Paramètres!$A$1:$I$89,5,0)</f>
        <v>297.75735600000002</v>
      </c>
      <c r="FG109" s="13">
        <f t="shared" si="101"/>
        <v>70.706114034025276</v>
      </c>
      <c r="FH109" s="20">
        <f t="shared" si="76"/>
        <v>641.74054364259405</v>
      </c>
      <c r="FI109" s="59">
        <f t="shared" si="77"/>
        <v>935.07387697592731</v>
      </c>
      <c r="FJ109" s="59">
        <f ca="1">AVERAGE(OFFSET($FI$3,0,0,'Données projet'!$E$16+1,1))-AVERAGE(OFFSET($H$3,0,0,'Données projet'!$E$16+1,1))</f>
        <v>380.43199889536805</v>
      </c>
      <c r="FK109" s="59">
        <f t="shared" si="102"/>
        <v>154.72646317672996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93.385394379058269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93.385394379058269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304</v>
      </c>
      <c r="O110" s="13">
        <f>N110*VLOOKUP('Données projet'!$B$9,Paramètres!$A$1:$I$89,3,0)*VLOOKUP('Données projet'!$B$9,Paramètres!$A$1:$I$89,5,0)</f>
        <v>189.696</v>
      </c>
      <c r="P110" s="13">
        <f t="shared" si="87"/>
        <v>47.472736505152469</v>
      </c>
      <c r="Q110" s="20">
        <f t="shared" si="107"/>
        <v>413.06888274647389</v>
      </c>
      <c r="R110" s="59">
        <f t="shared" si="55"/>
        <v>706.4022160798072</v>
      </c>
      <c r="S110" s="59">
        <f ca="1">AVERAGE(OFFSET($R$3,0,0,'Données projet'!$E$9+1,1))-AVERAGE(OFFSET($H$3,0,0,'Données projet'!$E$9+1,1))</f>
        <v>179.44051550872138</v>
      </c>
      <c r="T110" s="59">
        <f t="shared" si="88"/>
        <v>272.9500808380069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26.76766901307019</v>
      </c>
      <c r="AA110" s="21">
        <f>EXP(-LN(2)/25)*AA109+(1-EXP(-LN(2)/25))/(LN(2)/25)*Calculateur!V110*Calculateur!X110*VLOOKUP('Données projet'!$B$9,Paramètres!$A$1:$I$89,3,0)*0.475*44/12</f>
        <v>5.722410336248303</v>
      </c>
      <c r="AB110" s="21">
        <f>EXP(-LN(2)/2)*AB109+(1-EXP(-LN(2)/2))/(LN(2)/2)*V110*Y110*VLOOKUP('Données projet'!$B$9,Paramètres!$A$1:$I$89,3,0)*0.475*44/12</f>
        <v>5.6795681817522884E-13</v>
      </c>
      <c r="AC110" s="22">
        <f t="shared" si="57"/>
        <v>32.49007934931906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4.6639999999999988</v>
      </c>
      <c r="AI110" s="13">
        <f>IF('Données projet'!$A$62&gt;35,AI109+AH110-AQ109,IF(A110&lt;'Données projet'!$A$62,$AF$205^A110,IF(A110='Données projet'!$A$62,'Données projet'!$B$62,AI109+AH110-AQ109)))</f>
        <v>277.24799999999982</v>
      </c>
      <c r="AJ110" s="13">
        <f>AI110*VLOOKUP('Données projet'!$B$10,Paramètres!$A$1:$I$89,3,0)*VLOOKUP('Données projet'!$B$10,Paramètres!$A$1:$I$89,5,0)</f>
        <v>133.35628799999992</v>
      </c>
      <c r="AK110" s="13">
        <f t="shared" si="89"/>
        <v>34.770744677782858</v>
      </c>
      <c r="AL110" s="20">
        <f t="shared" si="58"/>
        <v>292.8212485804716</v>
      </c>
      <c r="AM110" s="59">
        <f t="shared" si="59"/>
        <v>586.15458191380492</v>
      </c>
      <c r="AN110" s="59">
        <f ca="1">AVERAGE(OFFSET($AM$3,0,0,'Données projet'!$E$10+1,1))-AVERAGE(OFFSET($H$3,0,0,'Données projet'!$E$10+1,1))</f>
        <v>174.18188687702559</v>
      </c>
      <c r="AO110" s="59">
        <f t="shared" si="90"/>
        <v>32.17353897322738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143.93763077625081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143.93763077625081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0.8600000000003547</v>
      </c>
      <c r="BE110" s="13">
        <f>BD110*VLOOKUP('Données projet'!$B$11,Paramètres!$A$1:$I$89,3,0)*VLOOKUP('Données projet'!$B$11,Paramètres!$A$1:$I$89,5,0)</f>
        <v>0.48074000000019829</v>
      </c>
      <c r="BF110" s="13">
        <f t="shared" si="91"/>
        <v>0.24126147010950588</v>
      </c>
      <c r="BG110" s="20">
        <f t="shared" si="61"/>
        <v>1.2574858937744013</v>
      </c>
      <c r="BH110" s="59">
        <f t="shared" si="62"/>
        <v>294.59081922710772</v>
      </c>
      <c r="BI110" s="59">
        <f ca="1">AVERAGE(OFFSET($BH$3,0,0,'Données projet'!$E$11+1,1))-AVERAGE(OFFSET($H$3,0,0,'Données projet'!$E$11+1,1))</f>
        <v>350.01600895263641</v>
      </c>
      <c r="BJ110" s="59">
        <f t="shared" si="92"/>
        <v>464.08921044376882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132.75562948689648</v>
      </c>
      <c r="BQ110" s="21">
        <f>EXP(-LN(2)/25)*BQ109+(1-EXP(-LN(2)/25))/(LN(2)/25)*Calculateur!BL110*Calculateur!BN110*VLOOKUP('Données projet'!$B$11,Paramètres!$A$1:$I$89,3,0)*0.475*44/12</f>
        <v>5.9804172681496768</v>
      </c>
      <c r="BR110" s="21">
        <f>EXP(-LN(2)/2)*BR109+(1-EXP(-LN(2)/2))/(LN(2)/2)*BL110*BO110*VLOOKUP('Données projet'!$B$11,Paramètres!$A$1:$I$89,3,0)*0.475*44/12</f>
        <v>1.9034007842108708E-12</v>
      </c>
      <c r="BS110" s="22">
        <f t="shared" si="63"/>
        <v>138.73604675504805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253.79640000000001</v>
      </c>
      <c r="CA110" s="13">
        <f t="shared" si="93"/>
        <v>61.39816832228076</v>
      </c>
      <c r="CB110" s="20">
        <f t="shared" si="64"/>
        <v>548.96387316130563</v>
      </c>
      <c r="CC110" s="59">
        <f t="shared" si="65"/>
        <v>842.29720649463889</v>
      </c>
      <c r="CD110" s="59">
        <f ca="1">AVERAGE(OFFSET($CC$3,0,0,'Données projet'!$E$12+1,1))-AVERAGE(OFFSET($H$3,0,0,'Données projet'!$E$12+1,1))</f>
        <v>279.49721661620544</v>
      </c>
      <c r="CE110" s="59">
        <f t="shared" si="94"/>
        <v>275.18739333988754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31.14792537866316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31.14792537866316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6.8850000000000025</v>
      </c>
      <c r="CT110" s="12">
        <f>IF('Données projet'!$A$140&gt;35,CT109+CS110-DB109,IF(A110&lt;'Données projet'!$A$140,$CQ$205^A110,IF(A110='Données projet'!$A$140,'Données projet'!$B$140,CT109+CS110-DB109)))</f>
        <v>314.74</v>
      </c>
      <c r="CU110" s="17">
        <f>CT110*VLOOKUP('Données projet'!$B$13,Paramètres!$A$1:$I$89,3,0)*VLOOKUP('Données projet'!$B$13,Paramètres!$A$1:$I$89,5,0)</f>
        <v>319.14636000000002</v>
      </c>
      <c r="CV110" s="13">
        <f t="shared" si="95"/>
        <v>75.175709656021809</v>
      </c>
      <c r="CW110" s="20">
        <f t="shared" si="67"/>
        <v>686.77760465090466</v>
      </c>
      <c r="CX110" s="59">
        <f t="shared" si="68"/>
        <v>980.11093798423803</v>
      </c>
      <c r="CY110" s="59">
        <f ca="1">AVERAGE(OFFSET($CX$3,0,0,'Données projet'!$E$13+1,1))-AVERAGE(OFFSET($H$3,0,0,'Données projet'!$E$13+1,1))</f>
        <v>402.54350692668021</v>
      </c>
      <c r="CZ110" s="59">
        <f t="shared" si="96"/>
        <v>163.60655196884522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95.984203936432706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95.984203936432706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6.8</v>
      </c>
      <c r="DO110" s="12">
        <f>IF('Données projet'!$A$166&gt;35,DO109+DN110-DW109,IF(A110&lt;'Données projet'!$A$166,$DL$205^A110,IF(A110='Données projet'!$A$166,'Données projet'!$B$166,DO109+DN110-DW109)))</f>
        <v>399.6</v>
      </c>
      <c r="DP110" s="17">
        <f>DO110*VLOOKUP('Données projet'!$B$14,Paramètres!$A$1:$I$89,3,0)*VLOOKUP('Données projet'!$B$14,Paramètres!$A$1:$I$89,5,0)</f>
        <v>342.85680000000008</v>
      </c>
      <c r="DQ110" s="13">
        <f t="shared" si="97"/>
        <v>80.089891653777826</v>
      </c>
      <c r="DR110" s="20">
        <f t="shared" si="70"/>
        <v>736.63215463032975</v>
      </c>
      <c r="DS110" s="59">
        <f t="shared" si="71"/>
        <v>1029.965487963663</v>
      </c>
      <c r="DT110" s="59">
        <f ca="1">AVERAGE(OFFSET($DS$3,0,0,'Données projet'!$E$14+1,1))-AVERAGE(OFFSET($H$3,0,0,'Données projet'!$E$14+1,1))</f>
        <v>352.76625414822473</v>
      </c>
      <c r="DU110" s="59">
        <f t="shared" si="98"/>
        <v>186.48649111821521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104.61155613354664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104.61155613354664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210.25641030000014</v>
      </c>
      <c r="EK110" s="17">
        <f>EJ110*VLOOKUP('Données projet'!$B$15,Paramètres!$A$1:$I$89,3,0)*VLOOKUP('Données projet'!$B$15,Paramètres!$A$1:$I$89,5,0)</f>
        <v>164.00000003400012</v>
      </c>
      <c r="EL110" s="13">
        <f t="shared" si="99"/>
        <v>41.743425916009095</v>
      </c>
      <c r="EM110" s="20">
        <f t="shared" si="73"/>
        <v>358.3364668629327</v>
      </c>
      <c r="EN110" s="59">
        <f t="shared" si="74"/>
        <v>651.66980019626601</v>
      </c>
      <c r="EO110" s="59">
        <f ca="1">AVERAGE(OFFSET($EN$3,0,0,'Données projet'!$E$15+1,1))-AVERAGE(OFFSET($H$3,0,0,'Données projet'!$E$15+1,1))</f>
        <v>130.66539383144681</v>
      </c>
      <c r="EP110" s="59">
        <f t="shared" si="100"/>
        <v>126.36398121441903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15.21607709154434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15.21607709154434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6.8850000000000025</v>
      </c>
      <c r="FE110" s="12">
        <f>IF('Données projet'!$A$218&gt;35,FE109+FD110-FM109,IF(A110&lt;'Données projet'!$A$218,$FB$205^A110,IF(A110='Données projet'!$A$218,'Données projet'!$B$218,FE109+FD110-FM109)))</f>
        <v>314.74</v>
      </c>
      <c r="FF110" s="17">
        <f>FE110*VLOOKUP('Données projet'!$B$16,Paramètres!$A$1:$I$89,3,0)*VLOOKUP('Données projet'!$B$16,Paramètres!$A$1:$I$89,5,0)</f>
        <v>304.41652800000003</v>
      </c>
      <c r="FG110" s="13">
        <f t="shared" si="101"/>
        <v>72.101548402965861</v>
      </c>
      <c r="FH110" s="20">
        <f t="shared" si="76"/>
        <v>655.76898306849887</v>
      </c>
      <c r="FI110" s="59">
        <f t="shared" si="77"/>
        <v>949.10231640183224</v>
      </c>
      <c r="FJ110" s="59">
        <f ca="1">AVERAGE(OFFSET($FI$3,0,0,'Données projet'!$E$16+1,1))-AVERAGE(OFFSET($H$3,0,0,'Données projet'!$E$16+1,1))</f>
        <v>380.43199889536805</v>
      </c>
      <c r="FK110" s="59">
        <f t="shared" si="102"/>
        <v>154.72646317672996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91.554163754751229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91.554163754751229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304</v>
      </c>
      <c r="O111" s="13">
        <f>N111*VLOOKUP('Données projet'!$B$9,Paramètres!$A$1:$I$89,3,0)*VLOOKUP('Données projet'!$B$9,Paramètres!$A$1:$I$89,5,0)</f>
        <v>189.696</v>
      </c>
      <c r="P111" s="13">
        <f t="shared" si="87"/>
        <v>47.472736505152469</v>
      </c>
      <c r="Q111" s="20">
        <f t="shared" si="107"/>
        <v>413.06888274647389</v>
      </c>
      <c r="R111" s="59">
        <f t="shared" si="55"/>
        <v>706.4022160798072</v>
      </c>
      <c r="S111" s="59">
        <f ca="1">AVERAGE(OFFSET($R$3,0,0,'Données projet'!$E$9+1,1))-AVERAGE(OFFSET($H$3,0,0,'Données projet'!$E$9+1,1))</f>
        <v>179.44051550872138</v>
      </c>
      <c r="T111" s="59">
        <f t="shared" si="88"/>
        <v>272.9500808380069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26.242771350389859</v>
      </c>
      <c r="AA111" s="21">
        <f>EXP(-LN(2)/25)*AA110+(1-EXP(-LN(2)/25))/(LN(2)/25)*Calculateur!V111*Calculateur!X111*VLOOKUP('Données projet'!$B$9,Paramètres!$A$1:$I$89,3,0)*0.475*44/12</f>
        <v>5.5659307246751126</v>
      </c>
      <c r="AB111" s="21">
        <f>EXP(-LN(2)/2)*AB110+(1-EXP(-LN(2)/2))/(LN(2)/2)*V111*Y111*VLOOKUP('Données projet'!$B$9,Paramètres!$A$1:$I$89,3,0)*0.475*44/12</f>
        <v>4.016061175528393E-13</v>
      </c>
      <c r="AC111" s="22">
        <f t="shared" si="57"/>
        <v>31.808702075065373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4.6639999999999988</v>
      </c>
      <c r="AI111" s="13">
        <f>IF('Données projet'!$A$62&gt;35,AI110+AH111-AQ110,IF(A111&lt;'Données projet'!$A$62,$AF$205^A111,IF(A111='Données projet'!$A$62,'Données projet'!$B$62,AI110+AH111-AQ110)))</f>
        <v>281.91199999999981</v>
      </c>
      <c r="AJ111" s="13">
        <f>AI111*VLOOKUP('Données projet'!$B$10,Paramètres!$A$1:$I$89,3,0)*VLOOKUP('Données projet'!$B$10,Paramètres!$A$1:$I$89,5,0)</f>
        <v>135.59967199999991</v>
      </c>
      <c r="AK111" s="13">
        <f t="shared" si="89"/>
        <v>35.287086196275439</v>
      </c>
      <c r="AL111" s="20">
        <f t="shared" si="58"/>
        <v>297.62777052517959</v>
      </c>
      <c r="AM111" s="59">
        <f t="shared" si="59"/>
        <v>590.96110385851284</v>
      </c>
      <c r="AN111" s="59">
        <f ca="1">AVERAGE(OFFSET($AM$3,0,0,'Données projet'!$E$10+1,1))-AVERAGE(OFFSET($H$3,0,0,'Données projet'!$E$10+1,1))</f>
        <v>174.18188687702559</v>
      </c>
      <c r="AO111" s="59">
        <f t="shared" si="90"/>
        <v>32.17353897322738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141.11510163001444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141.11510163001444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0.8600000000003547</v>
      </c>
      <c r="BE111" s="13">
        <f>BD111*VLOOKUP('Données projet'!$B$11,Paramètres!$A$1:$I$89,3,0)*VLOOKUP('Données projet'!$B$11,Paramètres!$A$1:$I$89,5,0)</f>
        <v>0.48074000000019829</v>
      </c>
      <c r="BF111" s="13">
        <f t="shared" si="91"/>
        <v>0.24126147010950588</v>
      </c>
      <c r="BG111" s="20">
        <f t="shared" si="61"/>
        <v>1.2574858937744013</v>
      </c>
      <c r="BH111" s="59">
        <f t="shared" si="62"/>
        <v>294.59081922710772</v>
      </c>
      <c r="BI111" s="59">
        <f ca="1">AVERAGE(OFFSET($BH$3,0,0,'Données projet'!$E$11+1,1))-AVERAGE(OFFSET($H$3,0,0,'Données projet'!$E$11+1,1))</f>
        <v>350.01600895263641</v>
      </c>
      <c r="BJ111" s="59">
        <f t="shared" si="92"/>
        <v>464.08921044376882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130.15237256559701</v>
      </c>
      <c r="BQ111" s="21">
        <f>EXP(-LN(2)/25)*BQ110+(1-EXP(-LN(2)/25))/(LN(2)/25)*Calculateur!BL111*Calculateur!BN111*VLOOKUP('Données projet'!$B$11,Paramètres!$A$1:$I$89,3,0)*0.475*44/12</f>
        <v>5.8168824434556479</v>
      </c>
      <c r="BR111" s="21">
        <f>EXP(-LN(2)/2)*BR110+(1-EXP(-LN(2)/2))/(LN(2)/2)*BL111*BO111*VLOOKUP('Données projet'!$B$11,Paramètres!$A$1:$I$89,3,0)*0.475*44/12</f>
        <v>1.3459076018312992E-12</v>
      </c>
      <c r="BS111" s="22">
        <f t="shared" si="63"/>
        <v>135.969255009054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253.79640000000001</v>
      </c>
      <c r="CA111" s="13">
        <f t="shared" si="93"/>
        <v>61.39816832228076</v>
      </c>
      <c r="CB111" s="20">
        <f t="shared" si="64"/>
        <v>548.96387316130563</v>
      </c>
      <c r="CC111" s="59">
        <f t="shared" si="65"/>
        <v>842.29720649463889</v>
      </c>
      <c r="CD111" s="59">
        <f ca="1">AVERAGE(OFFSET($CC$3,0,0,'Données projet'!$E$12+1,1))-AVERAGE(OFFSET($H$3,0,0,'Données projet'!$E$12+1,1))</f>
        <v>279.49721661620544</v>
      </c>
      <c r="CE111" s="59">
        <f t="shared" si="94"/>
        <v>275.18739333988754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30.537133560346124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30.537133560346124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6.8850000000000025</v>
      </c>
      <c r="CT111" s="12">
        <f>IF('Données projet'!$A$140&gt;35,CT110+CS111-DB110,IF(A111&lt;'Données projet'!$A$140,$CQ$205^A111,IF(A111='Données projet'!$A$140,'Données projet'!$B$140,CT110+CS111-DB110)))</f>
        <v>321.625</v>
      </c>
      <c r="CU111" s="17">
        <f>CT111*VLOOKUP('Données projet'!$B$13,Paramètres!$A$1:$I$89,3,0)*VLOOKUP('Données projet'!$B$13,Paramètres!$A$1:$I$89,5,0)</f>
        <v>326.12774999999999</v>
      </c>
      <c r="CV111" s="13">
        <f t="shared" si="95"/>
        <v>76.626940281038671</v>
      </c>
      <c r="CW111" s="20">
        <f t="shared" si="67"/>
        <v>701.46441890614233</v>
      </c>
      <c r="CX111" s="59">
        <f t="shared" si="68"/>
        <v>994.79775223947559</v>
      </c>
      <c r="CY111" s="59">
        <f ca="1">AVERAGE(OFFSET($CX$3,0,0,'Données projet'!$E$13+1,1))-AVERAGE(OFFSET($H$3,0,0,'Données projet'!$E$13+1,1))</f>
        <v>402.54350692668021</v>
      </c>
      <c r="CZ111" s="59">
        <f t="shared" si="96"/>
        <v>163.60655196884522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94.102012241822862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94.102012241822862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</v>
      </c>
      <c r="DO111" s="12">
        <f>IF('Données projet'!$A$166&gt;35,DO110+DN111-DW110,IF(A111&lt;'Données projet'!$A$166,$DL$205^A111,IF(A111='Données projet'!$A$166,'Données projet'!$B$166,DO110+DN111-DW110)))</f>
        <v>406.40000000000003</v>
      </c>
      <c r="DP111" s="17">
        <f>DO111*VLOOKUP('Données projet'!$B$14,Paramètres!$A$1:$I$89,3,0)*VLOOKUP('Données projet'!$B$14,Paramètres!$A$1:$I$89,5,0)</f>
        <v>348.69120000000009</v>
      </c>
      <c r="DQ111" s="13">
        <f t="shared" si="97"/>
        <v>81.292956992128126</v>
      </c>
      <c r="DR111" s="20">
        <f t="shared" si="70"/>
        <v>748.88907342795665</v>
      </c>
      <c r="DS111" s="59">
        <f t="shared" si="71"/>
        <v>1042.2224067612899</v>
      </c>
      <c r="DT111" s="59">
        <f ca="1">AVERAGE(OFFSET($DS$3,0,0,'Données projet'!$E$14+1,1))-AVERAGE(OFFSET($H$3,0,0,'Données projet'!$E$14+1,1))</f>
        <v>352.76625414822473</v>
      </c>
      <c r="DU111" s="59">
        <f t="shared" si="98"/>
        <v>186.48649111821521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102.56018732451665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102.56018732451665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210.25641030000014</v>
      </c>
      <c r="EK111" s="17">
        <f>EJ111*VLOOKUP('Données projet'!$B$15,Paramètres!$A$1:$I$89,3,0)*VLOOKUP('Données projet'!$B$15,Paramètres!$A$1:$I$89,5,0)</f>
        <v>164.00000003400012</v>
      </c>
      <c r="EL111" s="13">
        <f t="shared" si="99"/>
        <v>41.743425916009095</v>
      </c>
      <c r="EM111" s="20">
        <f t="shared" si="73"/>
        <v>358.3364668629327</v>
      </c>
      <c r="EN111" s="59">
        <f t="shared" si="74"/>
        <v>651.66980019626601</v>
      </c>
      <c r="EO111" s="59">
        <f ca="1">AVERAGE(OFFSET($EN$3,0,0,'Données projet'!$E$15+1,1))-AVERAGE(OFFSET($H$3,0,0,'Données projet'!$E$15+1,1))</f>
        <v>130.66539383144681</v>
      </c>
      <c r="EP111" s="59">
        <f t="shared" si="100"/>
        <v>126.36398121441903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14.91769910066977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14.91769910066977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6.8850000000000025</v>
      </c>
      <c r="FE111" s="12">
        <f>IF('Données projet'!$A$218&gt;35,FE110+FD111-FM110,IF(A111&lt;'Données projet'!$A$218,$FB$205^A111,IF(A111='Données projet'!$A$218,'Données projet'!$B$218,FE110+FD111-FM110)))</f>
        <v>321.625</v>
      </c>
      <c r="FF111" s="17">
        <f>FE111*VLOOKUP('Données projet'!$B$16,Paramètres!$A$1:$I$89,3,0)*VLOOKUP('Données projet'!$B$16,Paramètres!$A$1:$I$89,5,0)</f>
        <v>311.07569999999998</v>
      </c>
      <c r="FG111" s="13">
        <f t="shared" si="101"/>
        <v>73.493433835538397</v>
      </c>
      <c r="FH111" s="20">
        <f t="shared" si="76"/>
        <v>669.79124143022921</v>
      </c>
      <c r="FI111" s="59">
        <f t="shared" si="77"/>
        <v>963.12457476356258</v>
      </c>
      <c r="FJ111" s="59">
        <f ca="1">AVERAGE(OFFSET($FI$3,0,0,'Données projet'!$E$16+1,1))-AVERAGE(OFFSET($H$3,0,0,'Données projet'!$E$16+1,1))</f>
        <v>380.43199889536805</v>
      </c>
      <c r="FK111" s="59">
        <f t="shared" si="102"/>
        <v>154.72646317672996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89.758842446046458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89.758842446046458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304</v>
      </c>
      <c r="O112" s="13">
        <f>N112*VLOOKUP('Données projet'!$B$9,Paramètres!$A$1:$I$89,3,0)*VLOOKUP('Données projet'!$B$9,Paramètres!$A$1:$I$89,5,0)</f>
        <v>189.696</v>
      </c>
      <c r="P112" s="13">
        <f t="shared" si="87"/>
        <v>47.472736505152469</v>
      </c>
      <c r="Q112" s="20">
        <f t="shared" si="107"/>
        <v>413.06888274647389</v>
      </c>
      <c r="R112" s="59">
        <f t="shared" si="55"/>
        <v>706.4022160798072</v>
      </c>
      <c r="S112" s="59">
        <f ca="1">AVERAGE(OFFSET($R$3,0,0,'Données projet'!$E$9+1,1))-AVERAGE(OFFSET($H$3,0,0,'Données projet'!$E$9+1,1))</f>
        <v>179.44051550872138</v>
      </c>
      <c r="T112" s="59">
        <f t="shared" si="88"/>
        <v>272.9500808380069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25.728166610718727</v>
      </c>
      <c r="AA112" s="21">
        <f>EXP(-LN(2)/25)*AA111+(1-EXP(-LN(2)/25))/(LN(2)/25)*Calculateur!V112*Calculateur!X112*VLOOKUP('Données projet'!$B$9,Paramètres!$A$1:$I$89,3,0)*0.475*44/12</f>
        <v>5.413730056309296</v>
      </c>
      <c r="AB112" s="21">
        <f>EXP(-LN(2)/2)*AB111+(1-EXP(-LN(2)/2))/(LN(2)/2)*V112*Y112*VLOOKUP('Données projet'!$B$9,Paramètres!$A$1:$I$89,3,0)*0.475*44/12</f>
        <v>2.8397840908761442E-13</v>
      </c>
      <c r="AC112" s="22">
        <f t="shared" si="57"/>
        <v>31.141896667028306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4.6639999999999988</v>
      </c>
      <c r="AI112" s="13">
        <f>IF('Données projet'!$A$62&gt;35,AI111+AH112-AQ111,IF(A112&lt;'Données projet'!$A$62,$AF$205^A112,IF(A112='Données projet'!$A$62,'Données projet'!$B$62,AI111+AH112-AQ111)))</f>
        <v>286.57599999999979</v>
      </c>
      <c r="AJ112" s="13">
        <f>AI112*VLOOKUP('Données projet'!$B$10,Paramètres!$A$1:$I$89,3,0)*VLOOKUP('Données projet'!$B$10,Paramètres!$A$1:$I$89,5,0)</f>
        <v>137.8430559999999</v>
      </c>
      <c r="AK112" s="13">
        <f t="shared" si="89"/>
        <v>35.802434283440441</v>
      </c>
      <c r="AL112" s="20">
        <f t="shared" si="58"/>
        <v>302.43256224365859</v>
      </c>
      <c r="AM112" s="59">
        <f t="shared" si="59"/>
        <v>595.76589557699185</v>
      </c>
      <c r="AN112" s="59">
        <f ca="1">AVERAGE(OFFSET($AM$3,0,0,'Données projet'!$E$10+1,1))-AVERAGE(OFFSET($H$3,0,0,'Données projet'!$E$10+1,1))</f>
        <v>174.18188687702559</v>
      </c>
      <c r="AO112" s="59">
        <f t="shared" si="90"/>
        <v>32.17353897322738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138.34792055876298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138.34792055876298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0.8600000000003547</v>
      </c>
      <c r="BE112" s="13">
        <f>BD112*VLOOKUP('Données projet'!$B$11,Paramètres!$A$1:$I$89,3,0)*VLOOKUP('Données projet'!$B$11,Paramètres!$A$1:$I$89,5,0)</f>
        <v>0.48074000000019829</v>
      </c>
      <c r="BF112" s="13">
        <f t="shared" si="91"/>
        <v>0.24126147010950588</v>
      </c>
      <c r="BG112" s="20">
        <f t="shared" si="61"/>
        <v>1.2574858937744013</v>
      </c>
      <c r="BH112" s="59">
        <f t="shared" si="62"/>
        <v>294.59081922710772</v>
      </c>
      <c r="BI112" s="59">
        <f ca="1">AVERAGE(OFFSET($BH$3,0,0,'Données projet'!$E$11+1,1))-AVERAGE(OFFSET($H$3,0,0,'Données projet'!$E$11+1,1))</f>
        <v>350.01600895263641</v>
      </c>
      <c r="BJ112" s="59">
        <f t="shared" si="92"/>
        <v>464.08921044376882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127.60016392469429</v>
      </c>
      <c r="BQ112" s="21">
        <f>EXP(-LN(2)/25)*BQ111+(1-EXP(-LN(2)/25))/(LN(2)/25)*Calculateur!BL112*Calculateur!BN112*VLOOKUP('Données projet'!$B$11,Paramètres!$A$1:$I$89,3,0)*0.475*44/12</f>
        <v>5.6578194871427998</v>
      </c>
      <c r="BR112" s="21">
        <f>EXP(-LN(2)/2)*BR111+(1-EXP(-LN(2)/2))/(LN(2)/2)*BL112*BO112*VLOOKUP('Données projet'!$B$11,Paramètres!$A$1:$I$89,3,0)*0.475*44/12</f>
        <v>9.5170039210543539E-13</v>
      </c>
      <c r="BS112" s="22">
        <f t="shared" si="63"/>
        <v>133.25798341183801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253.79640000000001</v>
      </c>
      <c r="CA112" s="13">
        <f t="shared" si="93"/>
        <v>61.39816832228076</v>
      </c>
      <c r="CB112" s="20">
        <f t="shared" si="64"/>
        <v>548.96387316130563</v>
      </c>
      <c r="CC112" s="59">
        <f t="shared" si="65"/>
        <v>842.29720649463889</v>
      </c>
      <c r="CD112" s="59">
        <f ca="1">AVERAGE(OFFSET($CC$3,0,0,'Données projet'!$E$12+1,1))-AVERAGE(OFFSET($H$3,0,0,'Données projet'!$E$12+1,1))</f>
        <v>279.49721661620544</v>
      </c>
      <c r="CE112" s="59">
        <f t="shared" si="94"/>
        <v>275.18739333988754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29.938318997040064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29.938318997040064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6.8850000000000025</v>
      </c>
      <c r="CT112" s="12">
        <f>IF('Données projet'!$A$140&gt;35,CT111+CS112-DB111,IF(A112&lt;'Données projet'!$A$140,$CQ$205^A112,IF(A112='Données projet'!$A$140,'Données projet'!$B$140,CT111+CS112-DB111)))</f>
        <v>328.51</v>
      </c>
      <c r="CU112" s="17">
        <f>CT112*VLOOKUP('Données projet'!$B$13,Paramètres!$A$1:$I$89,3,0)*VLOOKUP('Données projet'!$B$13,Paramètres!$A$1:$I$89,5,0)</f>
        <v>333.10914000000002</v>
      </c>
      <c r="CV112" s="13">
        <f t="shared" si="95"/>
        <v>78.074558989948784</v>
      </c>
      <c r="CW112" s="20">
        <f t="shared" si="67"/>
        <v>716.14494240749411</v>
      </c>
      <c r="CX112" s="59">
        <f t="shared" si="68"/>
        <v>1009.4782757408275</v>
      </c>
      <c r="CY112" s="59">
        <f ca="1">AVERAGE(OFFSET($CX$3,0,0,'Données projet'!$E$13+1,1))-AVERAGE(OFFSET($H$3,0,0,'Données projet'!$E$13+1,1))</f>
        <v>402.54350692668021</v>
      </c>
      <c r="CZ112" s="59">
        <f t="shared" si="96"/>
        <v>163.60655196884522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92.256729178320739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92.256729178320739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</v>
      </c>
      <c r="DO112" s="12">
        <f>IF('Données projet'!$A$166&gt;35,DO111+DN112-DW111,IF(A112&lt;'Données projet'!$A$166,$DL$205^A112,IF(A112='Données projet'!$A$166,'Données projet'!$B$166,DO111+DN112-DW111)))</f>
        <v>413.20000000000005</v>
      </c>
      <c r="DP112" s="17">
        <f>DO112*VLOOKUP('Données projet'!$B$14,Paramètres!$A$1:$I$89,3,0)*VLOOKUP('Données projet'!$B$14,Paramètres!$A$1:$I$89,5,0)</f>
        <v>354.52560000000011</v>
      </c>
      <c r="DQ112" s="13">
        <f t="shared" si="97"/>
        <v>82.493681359778094</v>
      </c>
      <c r="DR112" s="20">
        <f t="shared" si="70"/>
        <v>761.14191503494703</v>
      </c>
      <c r="DS112" s="59">
        <f t="shared" si="71"/>
        <v>1054.4752483682803</v>
      </c>
      <c r="DT112" s="59">
        <f ca="1">AVERAGE(OFFSET($DS$3,0,0,'Données projet'!$E$14+1,1))-AVERAGE(OFFSET($H$3,0,0,'Données projet'!$E$14+1,1))</f>
        <v>352.76625414822473</v>
      </c>
      <c r="DU112" s="59">
        <f t="shared" si="98"/>
        <v>186.48649111821521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100.5490446066203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100.5490446066203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210.25641030000014</v>
      </c>
      <c r="EK112" s="17">
        <f>EJ112*VLOOKUP('Données projet'!$B$15,Paramètres!$A$1:$I$89,3,0)*VLOOKUP('Données projet'!$B$15,Paramètres!$A$1:$I$89,5,0)</f>
        <v>164.00000003400012</v>
      </c>
      <c r="EL112" s="13">
        <f t="shared" si="99"/>
        <v>41.743425916009095</v>
      </c>
      <c r="EM112" s="20">
        <f t="shared" si="73"/>
        <v>358.3364668629327</v>
      </c>
      <c r="EN112" s="59">
        <f t="shared" si="74"/>
        <v>651.66980019626601</v>
      </c>
      <c r="EO112" s="59">
        <f ca="1">AVERAGE(OFFSET($EN$3,0,0,'Données projet'!$E$15+1,1))-AVERAGE(OFFSET($H$3,0,0,'Données projet'!$E$15+1,1))</f>
        <v>130.66539383144681</v>
      </c>
      <c r="EP112" s="59">
        <f t="shared" si="100"/>
        <v>126.36398121441903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14.625172120203645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14.625172120203645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6.8850000000000025</v>
      </c>
      <c r="FE112" s="12">
        <f>IF('Données projet'!$A$218&gt;35,FE111+FD112-FM111,IF(A112&lt;'Données projet'!$A$218,$FB$205^A112,IF(A112='Données projet'!$A$218,'Données projet'!$B$218,FE111+FD112-FM111)))</f>
        <v>328.51</v>
      </c>
      <c r="FF112" s="17">
        <f>FE112*VLOOKUP('Données projet'!$B$16,Paramètres!$A$1:$I$89,3,0)*VLOOKUP('Données projet'!$B$16,Paramètres!$A$1:$I$89,5,0)</f>
        <v>317.734872</v>
      </c>
      <c r="FG112" s="13">
        <f t="shared" si="101"/>
        <v>74.881855054135585</v>
      </c>
      <c r="FH112" s="20">
        <f t="shared" si="76"/>
        <v>683.80746628595273</v>
      </c>
      <c r="FI112" s="59">
        <f t="shared" si="77"/>
        <v>977.1407996192861</v>
      </c>
      <c r="FJ112" s="59">
        <f ca="1">AVERAGE(OFFSET($FI$3,0,0,'Données projet'!$E$16+1,1))-AVERAGE(OFFSET($H$3,0,0,'Données projet'!$E$16+1,1))</f>
        <v>380.43199889536805</v>
      </c>
      <c r="FK112" s="59">
        <f t="shared" si="102"/>
        <v>154.72646317672996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87.998726293167508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87.998726293167508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304</v>
      </c>
      <c r="O113" s="13">
        <f>N113*VLOOKUP('Données projet'!$B$9,Paramètres!$A$1:$I$89,3,0)*VLOOKUP('Données projet'!$B$9,Paramètres!$A$1:$I$89,5,0)</f>
        <v>189.696</v>
      </c>
      <c r="P113" s="13">
        <f t="shared" si="87"/>
        <v>47.472736505152469</v>
      </c>
      <c r="Q113" s="20">
        <f t="shared" si="107"/>
        <v>413.06888274647389</v>
      </c>
      <c r="R113" s="59">
        <f t="shared" si="55"/>
        <v>706.4022160798072</v>
      </c>
      <c r="S113" s="59">
        <f ca="1">AVERAGE(OFFSET($R$3,0,0,'Données projet'!$E$9+1,1))-AVERAGE(OFFSET($H$3,0,0,'Données projet'!$E$9+1,1))</f>
        <v>179.44051550872138</v>
      </c>
      <c r="T113" s="59">
        <f t="shared" si="88"/>
        <v>272.9500808380069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25.223652956114648</v>
      </c>
      <c r="AA113" s="21">
        <f>EXP(-LN(2)/25)*AA112+(1-EXP(-LN(2)/25))/(LN(2)/25)*Calculateur!V113*Calculateur!X113*VLOOKUP('Données projet'!$B$9,Paramètres!$A$1:$I$89,3,0)*0.475*44/12</f>
        <v>5.2656913232238276</v>
      </c>
      <c r="AB113" s="21">
        <f>EXP(-LN(2)/2)*AB112+(1-EXP(-LN(2)/2))/(LN(2)/2)*V113*Y113*VLOOKUP('Données projet'!$B$9,Paramètres!$A$1:$I$89,3,0)*0.475*44/12</f>
        <v>2.0080305877641965E-13</v>
      </c>
      <c r="AC113" s="22">
        <f t="shared" si="57"/>
        <v>30.489344279338678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291.24</v>
      </c>
      <c r="AG113" s="12">
        <f>VLOOKUP(A113,'Données projet'!$A$61:$I$81,9,0)</f>
        <v>4.6639999999999988</v>
      </c>
      <c r="AH113" s="12">
        <f t="array" ref="AH113">INDEX(AG:AG,MIN(IF(ISNUMBER(AG113:AG309),ROW(AG113:AG309),"")))</f>
        <v>4.6639999999999988</v>
      </c>
      <c r="AI113" s="13">
        <f>IF('Données projet'!$A$62&gt;35,AI112+AH113-AQ112,IF(A113&lt;'Données projet'!$A$62,$AF$205^A113,IF(A113='Données projet'!$A$62,'Données projet'!$B$62,AI112+AH113-AQ112)))</f>
        <v>291.23999999999978</v>
      </c>
      <c r="AJ113" s="13">
        <f>AI113*VLOOKUP('Données projet'!$B$10,Paramètres!$A$1:$I$89,3,0)*VLOOKUP('Données projet'!$B$10,Paramètres!$A$1:$I$89,5,0)</f>
        <v>140.0864399999999</v>
      </c>
      <c r="AK113" s="13">
        <f t="shared" si="89"/>
        <v>36.316806973762354</v>
      </c>
      <c r="AL113" s="20">
        <f t="shared" si="58"/>
        <v>307.23565514596925</v>
      </c>
      <c r="AM113" s="59">
        <f t="shared" si="59"/>
        <v>600.56898847930256</v>
      </c>
      <c r="AN113" s="59">
        <f ca="1">AVERAGE(OFFSET($AM$3,0,0,'Données projet'!$E$10+1,1))-AVERAGE(OFFSET($H$3,0,0,'Données projet'!$E$10+1,1))</f>
        <v>174.18188687702559</v>
      </c>
      <c r="AO113" s="59">
        <f t="shared" si="90"/>
        <v>32.17353897322738</v>
      </c>
      <c r="AP113" s="15">
        <f>IF(ISNA(VLOOKUP(A113,'Données projet'!$A$61:$I$81,3,0)),0,VLOOKUP(A113,'Données projet'!$A$61:$I$81,3,0))</f>
        <v>7</v>
      </c>
      <c r="AQ113" s="15">
        <f>IF(ISNA(VLOOKUP(A113,'Données projet'!$A$61:$I$81,4,0)),0,VLOOKUP(A113,'Données projet'!$A$61:$I$81,4,0))</f>
        <v>139.02000000000001</v>
      </c>
      <c r="AR113" s="16">
        <f>IF(ISNA(VLOOKUP(A113,'Données projet'!$A$61:$I$81,5,0)),0%,VLOOKUP(A113,'Données projet'!$A$61:$I$81,5,0)*VLOOKUP('Données projet'!$B$10,Paramètres!$A$1:$I$89,7,0))</f>
        <v>0.55000000000000004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184.42304618246641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184.42304618246641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0.8600000000003547</v>
      </c>
      <c r="BE113" s="13">
        <f>BD113*VLOOKUP('Données projet'!$B$11,Paramètres!$A$1:$I$89,3,0)*VLOOKUP('Données projet'!$B$11,Paramètres!$A$1:$I$89,5,0)</f>
        <v>0.48074000000019829</v>
      </c>
      <c r="BF113" s="13">
        <f t="shared" si="91"/>
        <v>0.24126147010950588</v>
      </c>
      <c r="BG113" s="20">
        <f t="shared" si="61"/>
        <v>1.2574858937744013</v>
      </c>
      <c r="BH113" s="59">
        <f t="shared" si="62"/>
        <v>294.59081922710772</v>
      </c>
      <c r="BI113" s="59">
        <f ca="1">AVERAGE(OFFSET($BH$3,0,0,'Données projet'!$E$11+1,1))-AVERAGE(OFFSET($H$3,0,0,'Données projet'!$E$11+1,1))</f>
        <v>350.01600895263641</v>
      </c>
      <c r="BJ113" s="59">
        <f t="shared" si="92"/>
        <v>464.08921044376882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125.09800253854611</v>
      </c>
      <c r="BQ113" s="21">
        <f>EXP(-LN(2)/25)*BQ112+(1-EXP(-LN(2)/25))/(LN(2)/25)*Calculateur!BL113*Calculateur!BN113*VLOOKUP('Données projet'!$B$11,Paramètres!$A$1:$I$89,3,0)*0.475*44/12</f>
        <v>5.5031061157350845</v>
      </c>
      <c r="BR113" s="21">
        <f>EXP(-LN(2)/2)*BR112+(1-EXP(-LN(2)/2))/(LN(2)/2)*BL113*BO113*VLOOKUP('Données projet'!$B$11,Paramètres!$A$1:$I$89,3,0)*0.475*44/12</f>
        <v>6.7295380091564961E-13</v>
      </c>
      <c r="BS113" s="22">
        <f t="shared" si="63"/>
        <v>130.60110865428189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253.79640000000001</v>
      </c>
      <c r="CA113" s="13">
        <f t="shared" si="93"/>
        <v>61.39816832228076</v>
      </c>
      <c r="CB113" s="20">
        <f t="shared" si="64"/>
        <v>548.96387316130563</v>
      </c>
      <c r="CC113" s="59">
        <f t="shared" si="65"/>
        <v>842.29720649463889</v>
      </c>
      <c r="CD113" s="59">
        <f ca="1">AVERAGE(OFFSET($CC$3,0,0,'Données projet'!$E$12+1,1))-AVERAGE(OFFSET($H$3,0,0,'Données projet'!$E$12+1,1))</f>
        <v>279.49721661620544</v>
      </c>
      <c r="CE113" s="59">
        <f t="shared" si="94"/>
        <v>275.18739333988754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29.351246822079613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29.351246822079613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6.8850000000000025</v>
      </c>
      <c r="CT113" s="12">
        <f>IF('Données projet'!$A$140&gt;35,CT112+CS113-DB112,IF(A113&lt;'Données projet'!$A$140,$CQ$205^A113,IF(A113='Données projet'!$A$140,'Données projet'!$B$140,CT112+CS113-DB112)))</f>
        <v>335.39499999999998</v>
      </c>
      <c r="CU113" s="17">
        <f>CT113*VLOOKUP('Données projet'!$B$13,Paramètres!$A$1:$I$89,3,0)*VLOOKUP('Données projet'!$B$13,Paramètres!$A$1:$I$89,5,0)</f>
        <v>340.09053</v>
      </c>
      <c r="CV113" s="13">
        <f t="shared" si="95"/>
        <v>79.518650203151438</v>
      </c>
      <c r="CW113" s="20">
        <f t="shared" si="67"/>
        <v>730.81932218715531</v>
      </c>
      <c r="CX113" s="59">
        <f t="shared" si="68"/>
        <v>1024.1526555204887</v>
      </c>
      <c r="CY113" s="59">
        <f ca="1">AVERAGE(OFFSET($CX$3,0,0,'Données projet'!$E$13+1,1))-AVERAGE(OFFSET($H$3,0,0,'Données projet'!$E$13+1,1))</f>
        <v>402.54350692668021</v>
      </c>
      <c r="CZ113" s="59">
        <f t="shared" si="96"/>
        <v>163.60655196884522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90.447630990182361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90.447630990182361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420</v>
      </c>
      <c r="DM113" s="12">
        <f>VLOOKUP(A113,'Données projet'!$A$165:$I$185,9,0)</f>
        <v>6.8</v>
      </c>
      <c r="DN113" s="12">
        <f t="array" ref="DN113">INDEX(DM:DM,MIN(IF(ISNUMBER(DM113:DM309),ROW(DM113:DM309),"")))</f>
        <v>6.8</v>
      </c>
      <c r="DO113" s="12">
        <f>IF('Données projet'!$A$166&gt;35,DO112+DN113-DW112,IF(A113&lt;'Données projet'!$A$166,$DL$205^A113,IF(A113='Données projet'!$A$166,'Données projet'!$B$166,DO112+DN113-DW112)))</f>
        <v>420.00000000000006</v>
      </c>
      <c r="DP113" s="17">
        <f>DO113*VLOOKUP('Données projet'!$B$14,Paramètres!$A$1:$I$89,3,0)*VLOOKUP('Données projet'!$B$14,Paramètres!$A$1:$I$89,5,0)</f>
        <v>360.36000000000013</v>
      </c>
      <c r="DQ113" s="13">
        <f t="shared" si="97"/>
        <v>83.692107728969603</v>
      </c>
      <c r="DR113" s="20">
        <f t="shared" si="70"/>
        <v>773.3907542946223</v>
      </c>
      <c r="DS113" s="59">
        <f t="shared" si="71"/>
        <v>1066.7240876279557</v>
      </c>
      <c r="DT113" s="59">
        <f ca="1">AVERAGE(OFFSET($DS$3,0,0,'Données projet'!$E$14+1,1))-AVERAGE(OFFSET($H$3,0,0,'Données projet'!$E$14+1,1))</f>
        <v>352.76625414822473</v>
      </c>
      <c r="DU113" s="59">
        <f t="shared" si="98"/>
        <v>186.48649111821521</v>
      </c>
      <c r="DV113" s="15">
        <f>IF(ISNA(VLOOKUP(A113,'Données projet'!$A$165:$I$185,3,0)),0,VLOOKUP(A113,'Données projet'!$A$165:$I$185,3,0))</f>
        <v>18</v>
      </c>
      <c r="DW113" s="15">
        <f>IF(ISNA(VLOOKUP(A113,'Données projet'!$A$165:$I$185,4,0)),0,VLOOKUP(A113,'Données projet'!$A$165:$I$185,4,0))</f>
        <v>22</v>
      </c>
      <c r="DX113" s="16">
        <f>IF(ISNA(VLOOKUP(A113,'Données projet'!$A$165:$I$185,5,0)),0%,VLOOKUP(A113,'Données projet'!$A$165:$I$185,5,0)*VLOOKUP('Données projet'!$B$14,Paramètres!$A$1:$I$89,7,0))</f>
        <v>0.53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109.63677437929987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109.63677437929987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210.25641030000014</v>
      </c>
      <c r="EK113" s="17">
        <f>EJ113*VLOOKUP('Données projet'!$B$15,Paramètres!$A$1:$I$89,3,0)*VLOOKUP('Données projet'!$B$15,Paramètres!$A$1:$I$89,5,0)</f>
        <v>164.00000003400012</v>
      </c>
      <c r="EL113" s="13">
        <f t="shared" si="99"/>
        <v>41.743425916009095</v>
      </c>
      <c r="EM113" s="20">
        <f t="shared" si="73"/>
        <v>358.3364668629327</v>
      </c>
      <c r="EN113" s="59">
        <f t="shared" si="74"/>
        <v>651.66980019626601</v>
      </c>
      <c r="EO113" s="59">
        <f ca="1">AVERAGE(OFFSET($EN$3,0,0,'Données projet'!$E$15+1,1))-AVERAGE(OFFSET($H$3,0,0,'Données projet'!$E$15+1,1))</f>
        <v>130.66539383144681</v>
      </c>
      <c r="EP113" s="59">
        <f t="shared" si="100"/>
        <v>126.36398121441903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14.338381415400621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14.338381415400621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6.8850000000000025</v>
      </c>
      <c r="FE113" s="12">
        <f>IF('Données projet'!$A$218&gt;35,FE112+FD113-FM112,IF(A113&lt;'Données projet'!$A$218,$FB$205^A113,IF(A113='Données projet'!$A$218,'Données projet'!$B$218,FE112+FD113-FM112)))</f>
        <v>335.39499999999998</v>
      </c>
      <c r="FF113" s="17">
        <f>FE113*VLOOKUP('Données projet'!$B$16,Paramètres!$A$1:$I$89,3,0)*VLOOKUP('Données projet'!$B$16,Paramètres!$A$1:$I$89,5,0)</f>
        <v>324.39404400000001</v>
      </c>
      <c r="FG113" s="13">
        <f t="shared" si="101"/>
        <v>76.266893026952218</v>
      </c>
      <c r="FH113" s="20">
        <f t="shared" si="76"/>
        <v>697.81779865527506</v>
      </c>
      <c r="FI113" s="59">
        <f t="shared" si="77"/>
        <v>991.15113198860831</v>
      </c>
      <c r="FJ113" s="59">
        <f ca="1">AVERAGE(OFFSET($FI$3,0,0,'Données projet'!$E$16+1,1))-AVERAGE(OFFSET($H$3,0,0,'Données projet'!$E$16+1,1))</f>
        <v>380.43199889536805</v>
      </c>
      <c r="FK113" s="59">
        <f t="shared" si="102"/>
        <v>154.72646317672996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86.273124944481665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86.273124944481665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304</v>
      </c>
      <c r="O114" s="13">
        <f>N114*VLOOKUP('Données projet'!$B$9,Paramètres!$A$1:$I$89,3,0)*VLOOKUP('Données projet'!$B$9,Paramètres!$A$1:$I$89,5,0)</f>
        <v>189.696</v>
      </c>
      <c r="P114" s="13">
        <f t="shared" si="87"/>
        <v>47.472736505152469</v>
      </c>
      <c r="Q114" s="20">
        <f t="shared" si="107"/>
        <v>413.06888274647389</v>
      </c>
      <c r="R114" s="59">
        <f t="shared" si="55"/>
        <v>706.4022160798072</v>
      </c>
      <c r="S114" s="59">
        <f ca="1">AVERAGE(OFFSET($R$3,0,0,'Données projet'!$E$9+1,1))-AVERAGE(OFFSET($H$3,0,0,'Données projet'!$E$9+1,1))</f>
        <v>179.44051550872138</v>
      </c>
      <c r="T114" s="59">
        <f t="shared" si="88"/>
        <v>272.9500808380069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24.729032506554411</v>
      </c>
      <c r="AA114" s="21">
        <f>EXP(-LN(2)/25)*AA113+(1-EXP(-LN(2)/25))/(LN(2)/25)*Calculateur!V114*Calculateur!X114*VLOOKUP('Données projet'!$B$9,Paramètres!$A$1:$I$89,3,0)*0.475*44/12</f>
        <v>5.1217007170795998</v>
      </c>
      <c r="AB114" s="21">
        <f>EXP(-LN(2)/2)*AB113+(1-EXP(-LN(2)/2))/(LN(2)/2)*V114*Y114*VLOOKUP('Données projet'!$B$9,Paramètres!$A$1:$I$89,3,0)*0.475*44/12</f>
        <v>1.4198920454380721E-13</v>
      </c>
      <c r="AC114" s="22">
        <f t="shared" si="57"/>
        <v>29.850733223634151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2.9819999999999993</v>
      </c>
      <c r="AI114" s="13">
        <f>IF('Données projet'!$A$62&gt;35,AI113+AH114-AQ113,IF(A114&lt;'Données projet'!$A$62,$AF$205^A114,IF(A114='Données projet'!$A$62,'Données projet'!$B$62,AI113+AH114-AQ113)))</f>
        <v>155.20199999999974</v>
      </c>
      <c r="AJ114" s="13">
        <f>AI114*VLOOKUP('Données projet'!$B$10,Paramètres!$A$1:$I$89,3,0)*VLOOKUP('Données projet'!$B$10,Paramètres!$A$1:$I$89,5,0)</f>
        <v>74.652161999999876</v>
      </c>
      <c r="AK114" s="13">
        <f t="shared" si="89"/>
        <v>20.824391528121208</v>
      </c>
      <c r="AL114" s="20">
        <f t="shared" si="58"/>
        <v>166.28833072814422</v>
      </c>
      <c r="AM114" s="59">
        <f t="shared" si="59"/>
        <v>459.62166406147753</v>
      </c>
      <c r="AN114" s="59">
        <f ca="1">AVERAGE(OFFSET($AM$3,0,0,'Données projet'!$E$10+1,1))-AVERAGE(OFFSET($H$3,0,0,'Données projet'!$E$10+1,1))</f>
        <v>174.18188687702559</v>
      </c>
      <c r="AO114" s="59">
        <f t="shared" si="90"/>
        <v>32.17353897322738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180.80662273377925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180.80662273377925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0.8600000000003547</v>
      </c>
      <c r="BE114" s="13">
        <f>BD114*VLOOKUP('Données projet'!$B$11,Paramètres!$A$1:$I$89,3,0)*VLOOKUP('Données projet'!$B$11,Paramètres!$A$1:$I$89,5,0)</f>
        <v>0.48074000000019829</v>
      </c>
      <c r="BF114" s="13">
        <f t="shared" si="91"/>
        <v>0.24126147010950588</v>
      </c>
      <c r="BG114" s="20">
        <f t="shared" si="61"/>
        <v>1.2574858937744013</v>
      </c>
      <c r="BH114" s="59">
        <f t="shared" si="62"/>
        <v>294.59081922710772</v>
      </c>
      <c r="BI114" s="59">
        <f ca="1">AVERAGE(OFFSET($BH$3,0,0,'Données projet'!$E$11+1,1))-AVERAGE(OFFSET($H$3,0,0,'Données projet'!$E$11+1,1))</f>
        <v>350.01600895263641</v>
      </c>
      <c r="BJ114" s="59">
        <f t="shared" si="92"/>
        <v>464.08921044376882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122.64490701101255</v>
      </c>
      <c r="BQ114" s="21">
        <f>EXP(-LN(2)/25)*BQ113+(1-EXP(-LN(2)/25))/(LN(2)/25)*Calculateur!BL114*Calculateur!BN114*VLOOKUP('Données projet'!$B$11,Paramètres!$A$1:$I$89,3,0)*0.475*44/12</f>
        <v>5.3526233896045357</v>
      </c>
      <c r="BR114" s="21">
        <f>EXP(-LN(2)/2)*BR113+(1-EXP(-LN(2)/2))/(LN(2)/2)*BL114*BO114*VLOOKUP('Données projet'!$B$11,Paramètres!$A$1:$I$89,3,0)*0.475*44/12</f>
        <v>4.758501960527177E-13</v>
      </c>
      <c r="BS114" s="22">
        <f t="shared" si="63"/>
        <v>127.99753040061755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253.79640000000001</v>
      </c>
      <c r="CA114" s="13">
        <f t="shared" si="93"/>
        <v>61.39816832228076</v>
      </c>
      <c r="CB114" s="20">
        <f t="shared" si="64"/>
        <v>548.96387316130563</v>
      </c>
      <c r="CC114" s="59">
        <f t="shared" si="65"/>
        <v>842.29720649463889</v>
      </c>
      <c r="CD114" s="59">
        <f ca="1">AVERAGE(OFFSET($CC$3,0,0,'Données projet'!$E$12+1,1))-AVERAGE(OFFSET($H$3,0,0,'Données projet'!$E$12+1,1))</f>
        <v>279.49721661620544</v>
      </c>
      <c r="CE114" s="59">
        <f t="shared" si="94"/>
        <v>275.18739333988754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28.77568677439147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28.77568677439147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6.8850000000000025</v>
      </c>
      <c r="CT114" s="12">
        <f>IF('Données projet'!$A$140&gt;35,CT113+CS114-DB113,IF(A114&lt;'Données projet'!$A$140,$CQ$205^A114,IF(A114='Données projet'!$A$140,'Données projet'!$B$140,CT113+CS114-DB113)))</f>
        <v>342.28</v>
      </c>
      <c r="CU114" s="17">
        <f>CT114*VLOOKUP('Données projet'!$B$13,Paramètres!$A$1:$I$89,3,0)*VLOOKUP('Données projet'!$B$13,Paramètres!$A$1:$I$89,5,0)</f>
        <v>347.07192000000003</v>
      </c>
      <c r="CV114" s="13">
        <f t="shared" si="95"/>
        <v>80.959294676962998</v>
      </c>
      <c r="CW114" s="20">
        <f t="shared" si="67"/>
        <v>745.48769889571065</v>
      </c>
      <c r="CX114" s="59">
        <f t="shared" si="68"/>
        <v>1038.821032229044</v>
      </c>
      <c r="CY114" s="59">
        <f ca="1">AVERAGE(OFFSET($CX$3,0,0,'Données projet'!$E$13+1,1))-AVERAGE(OFFSET($H$3,0,0,'Données projet'!$E$13+1,1))</f>
        <v>402.54350692668021</v>
      </c>
      <c r="CZ114" s="59">
        <f t="shared" si="96"/>
        <v>163.60655196884522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88.674008114072436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88.674008114072436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5.6</v>
      </c>
      <c r="DO114" s="12">
        <f>IF('Données projet'!$A$166&gt;35,DO113+DN114-DW113,IF(A114&lt;'Données projet'!$A$166,$DL$205^A114,IF(A114='Données projet'!$A$166,'Données projet'!$B$166,DO113+DN114-DW113)))</f>
        <v>403.60000000000008</v>
      </c>
      <c r="DP114" s="17">
        <f>DO114*VLOOKUP('Données projet'!$B$14,Paramètres!$A$1:$I$89,3,0)*VLOOKUP('Données projet'!$B$14,Paramètres!$A$1:$I$89,5,0)</f>
        <v>346.28880000000015</v>
      </c>
      <c r="DQ114" s="13">
        <f t="shared" si="97"/>
        <v>80.797863156901414</v>
      </c>
      <c r="DR114" s="20">
        <f t="shared" si="70"/>
        <v>743.8426049982703</v>
      </c>
      <c r="DS114" s="59">
        <f t="shared" si="71"/>
        <v>1037.1759383316037</v>
      </c>
      <c r="DT114" s="59">
        <f ca="1">AVERAGE(OFFSET($DS$3,0,0,'Données projet'!$E$14+1,1))-AVERAGE(OFFSET($H$3,0,0,'Données projet'!$E$14+1,1))</f>
        <v>352.76625414822473</v>
      </c>
      <c r="DU114" s="59">
        <f t="shared" si="98"/>
        <v>186.48649111821521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107.48686410555112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107.48686410555112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210.25641030000014</v>
      </c>
      <c r="EK114" s="17">
        <f>EJ114*VLOOKUP('Données projet'!$B$15,Paramètres!$A$1:$I$89,3,0)*VLOOKUP('Données projet'!$B$15,Paramètres!$A$1:$I$89,5,0)</f>
        <v>164.00000003400012</v>
      </c>
      <c r="EL114" s="13">
        <f t="shared" si="99"/>
        <v>41.743425916009095</v>
      </c>
      <c r="EM114" s="20">
        <f t="shared" si="73"/>
        <v>358.3364668629327</v>
      </c>
      <c r="EN114" s="59">
        <f t="shared" si="74"/>
        <v>651.66980019626601</v>
      </c>
      <c r="EO114" s="59">
        <f ca="1">AVERAGE(OFFSET($EN$3,0,0,'Données projet'!$E$15+1,1))-AVERAGE(OFFSET($H$3,0,0,'Données projet'!$E$15+1,1))</f>
        <v>130.66539383144681</v>
      </c>
      <c r="EP114" s="59">
        <f t="shared" si="100"/>
        <v>126.36398121441903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14.057214501393727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14.057214501393727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6.8850000000000025</v>
      </c>
      <c r="FE114" s="12">
        <f>IF('Données projet'!$A$218&gt;35,FE113+FD114-FM113,IF(A114&lt;'Données projet'!$A$218,$FB$205^A114,IF(A114='Données projet'!$A$218,'Données projet'!$B$218,FE113+FD114-FM113)))</f>
        <v>342.28</v>
      </c>
      <c r="FF114" s="17">
        <f>FE114*VLOOKUP('Données projet'!$B$16,Paramètres!$A$1:$I$89,3,0)*VLOOKUP('Données projet'!$B$16,Paramètres!$A$1:$I$89,5,0)</f>
        <v>331.05321599999996</v>
      </c>
      <c r="FG114" s="13">
        <f t="shared" si="101"/>
        <v>77.648625207935623</v>
      </c>
      <c r="FH114" s="20">
        <f t="shared" si="76"/>
        <v>711.8223734371544</v>
      </c>
      <c r="FI114" s="59">
        <f t="shared" si="77"/>
        <v>1005.1557067704878</v>
      </c>
      <c r="FJ114" s="59">
        <f ca="1">AVERAGE(OFFSET($FI$3,0,0,'Données projet'!$E$16+1,1))-AVERAGE(OFFSET($H$3,0,0,'Données projet'!$E$16+1,1))</f>
        <v>380.43199889536805</v>
      </c>
      <c r="FK114" s="59">
        <f t="shared" si="102"/>
        <v>154.72646317672996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84.581361585730662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84.581361585730662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304</v>
      </c>
      <c r="O115" s="13">
        <f>N115*VLOOKUP('Données projet'!$B$9,Paramètres!$A$1:$I$89,3,0)*VLOOKUP('Données projet'!$B$9,Paramètres!$A$1:$I$89,5,0)</f>
        <v>189.696</v>
      </c>
      <c r="P115" s="13">
        <f t="shared" si="87"/>
        <v>47.472736505152469</v>
      </c>
      <c r="Q115" s="20">
        <f t="shared" si="107"/>
        <v>413.06888274647389</v>
      </c>
      <c r="R115" s="59">
        <f t="shared" si="55"/>
        <v>706.4022160798072</v>
      </c>
      <c r="S115" s="59">
        <f ca="1">AVERAGE(OFFSET($R$3,0,0,'Données projet'!$E$9+1,1))-AVERAGE(OFFSET($H$3,0,0,'Données projet'!$E$9+1,1))</f>
        <v>179.44051550872138</v>
      </c>
      <c r="T115" s="59">
        <f t="shared" si="88"/>
        <v>272.9500808380069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24.244111262321365</v>
      </c>
      <c r="AA115" s="21">
        <f>EXP(-LN(2)/25)*AA114+(1-EXP(-LN(2)/25))/(LN(2)/25)*Calculateur!V115*Calculateur!X115*VLOOKUP('Données projet'!$B$9,Paramètres!$A$1:$I$89,3,0)*0.475*44/12</f>
        <v>4.9816475416325234</v>
      </c>
      <c r="AB115" s="21">
        <f>EXP(-LN(2)/2)*AB114+(1-EXP(-LN(2)/2))/(LN(2)/2)*V115*Y115*VLOOKUP('Données projet'!$B$9,Paramètres!$A$1:$I$89,3,0)*0.475*44/12</f>
        <v>1.0040152938820983E-13</v>
      </c>
      <c r="AC115" s="22">
        <f t="shared" si="57"/>
        <v>29.225758803953987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2.9819999999999993</v>
      </c>
      <c r="AI115" s="13">
        <f>IF('Données projet'!$A$62&gt;35,AI114+AH115-AQ114,IF(A115&lt;'Données projet'!$A$62,$AF$205^A115,IF(A115='Données projet'!$A$62,'Données projet'!$B$62,AI114+AH115-AQ114)))</f>
        <v>158.18399999999974</v>
      </c>
      <c r="AJ115" s="13">
        <f>AI115*VLOOKUP('Données projet'!$B$10,Paramètres!$A$1:$I$89,3,0)*VLOOKUP('Données projet'!$B$10,Paramètres!$A$1:$I$89,5,0)</f>
        <v>76.086503999999877</v>
      </c>
      <c r="AK115" s="13">
        <f t="shared" si="89"/>
        <v>21.177538819373076</v>
      </c>
      <c r="AL115" s="20">
        <f t="shared" si="58"/>
        <v>169.40154124374121</v>
      </c>
      <c r="AM115" s="59">
        <f t="shared" si="59"/>
        <v>462.73487457707449</v>
      </c>
      <c r="AN115" s="59">
        <f ca="1">AVERAGE(OFFSET($AM$3,0,0,'Données projet'!$E$10+1,1))-AVERAGE(OFFSET($H$3,0,0,'Données projet'!$E$10+1,1))</f>
        <v>174.18188687702559</v>
      </c>
      <c r="AO115" s="59">
        <f t="shared" si="90"/>
        <v>32.17353897322738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177.26111514312035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177.26111514312035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0.8600000000003547</v>
      </c>
      <c r="BE115" s="13">
        <f>BD115*VLOOKUP('Données projet'!$B$11,Paramètres!$A$1:$I$89,3,0)*VLOOKUP('Données projet'!$B$11,Paramètres!$A$1:$I$89,5,0)</f>
        <v>0.48074000000019829</v>
      </c>
      <c r="BF115" s="13">
        <f t="shared" si="91"/>
        <v>0.24126147010950588</v>
      </c>
      <c r="BG115" s="20">
        <f t="shared" si="61"/>
        <v>1.2574858937744013</v>
      </c>
      <c r="BH115" s="59">
        <f t="shared" si="62"/>
        <v>294.59081922710772</v>
      </c>
      <c r="BI115" s="59">
        <f ca="1">AVERAGE(OFFSET($BH$3,0,0,'Données projet'!$E$11+1,1))-AVERAGE(OFFSET($H$3,0,0,'Données projet'!$E$11+1,1))</f>
        <v>350.01600895263641</v>
      </c>
      <c r="BJ115" s="59">
        <f t="shared" si="92"/>
        <v>464.08921044376882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120.2399151905334</v>
      </c>
      <c r="BQ115" s="21">
        <f>EXP(-LN(2)/25)*BQ114+(1-EXP(-LN(2)/25))/(LN(2)/25)*Calculateur!BL115*Calculateur!BN115*VLOOKUP('Données projet'!$B$11,Paramètres!$A$1:$I$89,3,0)*0.475*44/12</f>
        <v>5.2062556215335691</v>
      </c>
      <c r="BR115" s="21">
        <f>EXP(-LN(2)/2)*BR114+(1-EXP(-LN(2)/2))/(LN(2)/2)*BL115*BO115*VLOOKUP('Données projet'!$B$11,Paramètres!$A$1:$I$89,3,0)*0.475*44/12</f>
        <v>3.364769004578248E-13</v>
      </c>
      <c r="BS115" s="22">
        <f t="shared" si="63"/>
        <v>125.44617081206731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253.79640000000001</v>
      </c>
      <c r="CA115" s="13">
        <f t="shared" si="93"/>
        <v>61.39816832228076</v>
      </c>
      <c r="CB115" s="20">
        <f t="shared" si="64"/>
        <v>548.96387316130563</v>
      </c>
      <c r="CC115" s="59">
        <f t="shared" si="65"/>
        <v>842.29720649463889</v>
      </c>
      <c r="CD115" s="59">
        <f ca="1">AVERAGE(OFFSET($CC$3,0,0,'Données projet'!$E$12+1,1))-AVERAGE(OFFSET($H$3,0,0,'Données projet'!$E$12+1,1))</f>
        <v>279.49721661620544</v>
      </c>
      <c r="CE115" s="59">
        <f t="shared" si="94"/>
        <v>275.18739333988754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28.211413108181524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28.211413108181524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6.8850000000000025</v>
      </c>
      <c r="CT115" s="12">
        <f>IF('Données projet'!$A$140&gt;35,CT114+CS115-DB114,IF(A115&lt;'Données projet'!$A$140,$CQ$205^A115,IF(A115='Données projet'!$A$140,'Données projet'!$B$140,CT114+CS115-DB114)))</f>
        <v>349.16499999999996</v>
      </c>
      <c r="CU115" s="17">
        <f>CT115*VLOOKUP('Données projet'!$B$13,Paramètres!$A$1:$I$89,3,0)*VLOOKUP('Données projet'!$B$13,Paramètres!$A$1:$I$89,5,0)</f>
        <v>354.05331000000001</v>
      </c>
      <c r="CV115" s="13">
        <f t="shared" si="95"/>
        <v>82.396569733099469</v>
      </c>
      <c r="CW115" s="20">
        <f t="shared" si="67"/>
        <v>760.15020720181485</v>
      </c>
      <c r="CX115" s="59">
        <f t="shared" si="68"/>
        <v>1053.4835405351482</v>
      </c>
      <c r="CY115" s="59">
        <f ca="1">AVERAGE(OFFSET($CX$3,0,0,'Données projet'!$E$13+1,1))-AVERAGE(OFFSET($H$3,0,0,'Données projet'!$E$13+1,1))</f>
        <v>402.54350692668021</v>
      </c>
      <c r="CZ115" s="59">
        <f t="shared" si="96"/>
        <v>163.60655196884522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86.935164900759901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86.935164900759901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5.6</v>
      </c>
      <c r="DO115" s="12">
        <f>IF('Données projet'!$A$166&gt;35,DO114+DN115-DW114,IF(A115&lt;'Données projet'!$A$166,$DL$205^A115,IF(A115='Données projet'!$A$166,'Données projet'!$B$166,DO114+DN115-DW114)))</f>
        <v>409.2000000000001</v>
      </c>
      <c r="DP115" s="17">
        <f>DO115*VLOOKUP('Données projet'!$B$14,Paramètres!$A$1:$I$89,3,0)*VLOOKUP('Données projet'!$B$14,Paramètres!$A$1:$I$89,5,0)</f>
        <v>351.09360000000015</v>
      </c>
      <c r="DQ115" s="13">
        <f t="shared" si="97"/>
        <v>81.787653933539119</v>
      </c>
      <c r="DR115" s="20">
        <f t="shared" si="70"/>
        <v>753.93485060091416</v>
      </c>
      <c r="DS115" s="59">
        <f t="shared" si="71"/>
        <v>1047.2681839342474</v>
      </c>
      <c r="DT115" s="59">
        <f ca="1">AVERAGE(OFFSET($DS$3,0,0,'Données projet'!$E$14+1,1))-AVERAGE(OFFSET($H$3,0,0,'Données projet'!$E$14+1,1))</f>
        <v>352.76625414822473</v>
      </c>
      <c r="DU115" s="59">
        <f t="shared" si="98"/>
        <v>186.48649111821521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105.3791122609548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105.3791122609548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210.25641030000014</v>
      </c>
      <c r="EK115" s="17">
        <f>EJ115*VLOOKUP('Données projet'!$B$15,Paramètres!$A$1:$I$89,3,0)*VLOOKUP('Données projet'!$B$15,Paramètres!$A$1:$I$89,5,0)</f>
        <v>164.00000003400012</v>
      </c>
      <c r="EL115" s="13">
        <f t="shared" si="99"/>
        <v>41.743425916009095</v>
      </c>
      <c r="EM115" s="20">
        <f t="shared" si="73"/>
        <v>358.3364668629327</v>
      </c>
      <c r="EN115" s="59">
        <f t="shared" si="74"/>
        <v>651.66980019626601</v>
      </c>
      <c r="EO115" s="59">
        <f ca="1">AVERAGE(OFFSET($EN$3,0,0,'Données projet'!$E$15+1,1))-AVERAGE(OFFSET($H$3,0,0,'Données projet'!$E$15+1,1))</f>
        <v>130.66539383144681</v>
      </c>
      <c r="EP115" s="59">
        <f t="shared" si="100"/>
        <v>126.36398121441903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13.781561099075624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13.781561099075624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6.8850000000000025</v>
      </c>
      <c r="FE115" s="12">
        <f>IF('Données projet'!$A$218&gt;35,FE114+FD115-FM114,IF(A115&lt;'Données projet'!$A$218,$FB$205^A115,IF(A115='Données projet'!$A$218,'Données projet'!$B$218,FE114+FD115-FM114)))</f>
        <v>349.16499999999996</v>
      </c>
      <c r="FF115" s="17">
        <f>FE115*VLOOKUP('Données projet'!$B$16,Paramètres!$A$1:$I$89,3,0)*VLOOKUP('Données projet'!$B$16,Paramètres!$A$1:$I$89,5,0)</f>
        <v>337.71238799999998</v>
      </c>
      <c r="FG115" s="13">
        <f t="shared" si="101"/>
        <v>79.027125756883791</v>
      </c>
      <c r="FH115" s="20">
        <f t="shared" si="76"/>
        <v>725.82131979323913</v>
      </c>
      <c r="FI115" s="59">
        <f t="shared" si="77"/>
        <v>1019.1546531265724</v>
      </c>
      <c r="FJ115" s="59">
        <f ca="1">AVERAGE(OFFSET($FI$3,0,0,'Données projet'!$E$16+1,1))-AVERAGE(OFFSET($H$3,0,0,'Données projet'!$E$16+1,1))</f>
        <v>380.43199889536805</v>
      </c>
      <c r="FK115" s="59">
        <f t="shared" si="102"/>
        <v>154.72646317672996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82.922772674571007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82.922772674571007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304</v>
      </c>
      <c r="O116" s="13">
        <f>N116*VLOOKUP('Données projet'!$B$9,Paramètres!$A$1:$I$89,3,0)*VLOOKUP('Données projet'!$B$9,Paramètres!$A$1:$I$89,5,0)</f>
        <v>189.696</v>
      </c>
      <c r="P116" s="13">
        <f t="shared" si="87"/>
        <v>47.472736505152469</v>
      </c>
      <c r="Q116" s="20">
        <f t="shared" si="107"/>
        <v>413.06888274647389</v>
      </c>
      <c r="R116" s="59">
        <f t="shared" si="55"/>
        <v>706.4022160798072</v>
      </c>
      <c r="S116" s="59">
        <f ca="1">AVERAGE(OFFSET($R$3,0,0,'Données projet'!$E$9+1,1))-AVERAGE(OFFSET($H$3,0,0,'Données projet'!$E$9+1,1))</f>
        <v>179.44051550872138</v>
      </c>
      <c r="T116" s="59">
        <f t="shared" si="88"/>
        <v>272.9500808380069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23.768699027914973</v>
      </c>
      <c r="AA116" s="21">
        <f>EXP(-LN(2)/25)*AA115+(1-EXP(-LN(2)/25))/(LN(2)/25)*Calculateur!V116*Calculateur!X116*VLOOKUP('Données projet'!$B$9,Paramètres!$A$1:$I$89,3,0)*0.475*44/12</f>
        <v>4.8454241276331231</v>
      </c>
      <c r="AB116" s="21">
        <f>EXP(-LN(2)/2)*AB115+(1-EXP(-LN(2)/2))/(LN(2)/2)*V116*Y116*VLOOKUP('Données projet'!$B$9,Paramètres!$A$1:$I$89,3,0)*0.475*44/12</f>
        <v>7.0994602271903605E-14</v>
      </c>
      <c r="AC116" s="22">
        <f t="shared" si="57"/>
        <v>28.614123155548167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2.9819999999999993</v>
      </c>
      <c r="AI116" s="13">
        <f>IF('Données projet'!$A$62&gt;35,AI115+AH116-AQ115,IF(A116&lt;'Données projet'!$A$62,$AF$205^A116,IF(A116='Données projet'!$A$62,'Données projet'!$B$62,AI115+AH116-AQ115)))</f>
        <v>161.16599999999974</v>
      </c>
      <c r="AJ116" s="13">
        <f>AI116*VLOOKUP('Données projet'!$B$10,Paramètres!$A$1:$I$89,3,0)*VLOOKUP('Données projet'!$B$10,Paramètres!$A$1:$I$89,5,0)</f>
        <v>77.520845999999878</v>
      </c>
      <c r="AK116" s="13">
        <f t="shared" si="89"/>
        <v>21.52991199695315</v>
      </c>
      <c r="AL116" s="20">
        <f t="shared" si="58"/>
        <v>172.51340351135983</v>
      </c>
      <c r="AM116" s="59">
        <f t="shared" si="59"/>
        <v>465.84673684469317</v>
      </c>
      <c r="AN116" s="59">
        <f ca="1">AVERAGE(OFFSET($AM$3,0,0,'Données projet'!$E$10+1,1))-AVERAGE(OFFSET($H$3,0,0,'Données projet'!$E$10+1,1))</f>
        <v>174.18188687702559</v>
      </c>
      <c r="AO116" s="59">
        <f t="shared" si="90"/>
        <v>32.17353897322738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173.78513279376818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173.78513279376818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0.8600000000003547</v>
      </c>
      <c r="BE116" s="13">
        <f>BD116*VLOOKUP('Données projet'!$B$11,Paramètres!$A$1:$I$89,3,0)*VLOOKUP('Données projet'!$B$11,Paramètres!$A$1:$I$89,5,0)</f>
        <v>0.48074000000019829</v>
      </c>
      <c r="BF116" s="13">
        <f t="shared" si="91"/>
        <v>0.24126147010950588</v>
      </c>
      <c r="BG116" s="20">
        <f t="shared" si="61"/>
        <v>1.2574858937744013</v>
      </c>
      <c r="BH116" s="59">
        <f t="shared" si="62"/>
        <v>294.59081922710772</v>
      </c>
      <c r="BI116" s="59">
        <f ca="1">AVERAGE(OFFSET($BH$3,0,0,'Données projet'!$E$11+1,1))-AVERAGE(OFFSET($H$3,0,0,'Données projet'!$E$11+1,1))</f>
        <v>350.01600895263641</v>
      </c>
      <c r="BJ116" s="59">
        <f t="shared" si="92"/>
        <v>464.08921044376882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117.88208379275366</v>
      </c>
      <c r="BQ116" s="21">
        <f>EXP(-LN(2)/25)*BQ115+(1-EXP(-LN(2)/25))/(LN(2)/25)*Calculateur!BL116*Calculateur!BN116*VLOOKUP('Données projet'!$B$11,Paramètres!$A$1:$I$89,3,0)*0.475*44/12</f>
        <v>5.0638902877776495</v>
      </c>
      <c r="BR116" s="21">
        <f>EXP(-LN(2)/2)*BR115+(1-EXP(-LN(2)/2))/(LN(2)/2)*BL116*BO116*VLOOKUP('Données projet'!$B$11,Paramètres!$A$1:$I$89,3,0)*0.475*44/12</f>
        <v>2.3792509802635885E-13</v>
      </c>
      <c r="BS116" s="22">
        <f t="shared" si="63"/>
        <v>122.94597408053156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253.79640000000001</v>
      </c>
      <c r="CA116" s="13">
        <f t="shared" si="93"/>
        <v>61.39816832228076</v>
      </c>
      <c r="CB116" s="20">
        <f t="shared" si="64"/>
        <v>548.96387316130563</v>
      </c>
      <c r="CC116" s="59">
        <f t="shared" si="65"/>
        <v>842.29720649463889</v>
      </c>
      <c r="CD116" s="59">
        <f ca="1">AVERAGE(OFFSET($CC$3,0,0,'Données projet'!$E$12+1,1))-AVERAGE(OFFSET($H$3,0,0,'Données projet'!$E$12+1,1))</f>
        <v>279.49721661620544</v>
      </c>
      <c r="CE116" s="59">
        <f t="shared" si="94"/>
        <v>275.18739333988754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27.658204504393005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27.658204504393005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356.05</v>
      </c>
      <c r="CR116" s="12">
        <f>VLOOKUP(A116,'Données projet'!$A$139:$I$159,9,0)</f>
        <v>6.8850000000000025</v>
      </c>
      <c r="CS116" s="12">
        <f t="array" ref="CS116">INDEX(CR:CR,MIN(IF(ISNUMBER(CR116:CR312),ROW(CR116:CR312),"")))</f>
        <v>6.8850000000000025</v>
      </c>
      <c r="CT116" s="12">
        <f>IF('Données projet'!$A$140&gt;35,CT115+CS116-DB115,IF(A116&lt;'Données projet'!$A$140,$CQ$205^A116,IF(A116='Données projet'!$A$140,'Données projet'!$B$140,CT115+CS116-DB115)))</f>
        <v>356.04999999999995</v>
      </c>
      <c r="CU116" s="17">
        <f>CT116*VLOOKUP('Données projet'!$B$13,Paramètres!$A$1:$I$89,3,0)*VLOOKUP('Données projet'!$B$13,Paramètres!$A$1:$I$89,5,0)</f>
        <v>361.03469999999999</v>
      </c>
      <c r="CV116" s="13">
        <f t="shared" si="95"/>
        <v>83.83054946954735</v>
      </c>
      <c r="CW116" s="20">
        <f t="shared" si="67"/>
        <v>774.80697615946156</v>
      </c>
      <c r="CX116" s="59">
        <f t="shared" si="68"/>
        <v>1068.1403094927948</v>
      </c>
      <c r="CY116" s="59">
        <f ca="1">AVERAGE(OFFSET($CX$3,0,0,'Données projet'!$E$13+1,1))-AVERAGE(OFFSET($H$3,0,0,'Données projet'!$E$13+1,1))</f>
        <v>402.54350692668021</v>
      </c>
      <c r="CZ116" s="59">
        <f t="shared" si="96"/>
        <v>163.60655196884522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40.479999999999997</v>
      </c>
      <c r="DC116" s="16">
        <f>IF(ISNA(VLOOKUP(A116,'Données projet'!$A$139:$I$159,5,0)),0%,VLOOKUP(A116,'Données projet'!$A$139:$I$159,5,0)*VLOOKUP('Données projet'!$B$13,Paramètres!$A$1:$I$89,7,0))</f>
        <v>0.43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104.74207059117336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104.74207059117336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5.6</v>
      </c>
      <c r="DO116" s="12">
        <f>IF('Données projet'!$A$166&gt;35,DO115+DN116-DW115,IF(A116&lt;'Données projet'!$A$166,$DL$205^A116,IF(A116='Données projet'!$A$166,'Données projet'!$B$166,DO115+DN116-DW115)))</f>
        <v>414.80000000000013</v>
      </c>
      <c r="DP116" s="17">
        <f>DO116*VLOOKUP('Données projet'!$B$14,Paramètres!$A$1:$I$89,3,0)*VLOOKUP('Données projet'!$B$14,Paramètres!$A$1:$I$89,5,0)</f>
        <v>355.89840000000015</v>
      </c>
      <c r="DQ116" s="13">
        <f t="shared" si="97"/>
        <v>82.775869214346599</v>
      </c>
      <c r="DR116" s="20">
        <f t="shared" si="70"/>
        <v>764.02435221498718</v>
      </c>
      <c r="DS116" s="59">
        <f t="shared" si="71"/>
        <v>1057.3576855483204</v>
      </c>
      <c r="DT116" s="59">
        <f ca="1">AVERAGE(OFFSET($DS$3,0,0,'Données projet'!$E$14+1,1))-AVERAGE(OFFSET($H$3,0,0,'Données projet'!$E$14+1,1))</f>
        <v>352.76625414822473</v>
      </c>
      <c r="DU116" s="59">
        <f t="shared" si="98"/>
        <v>186.48649111821521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103.31269214442933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103.31269214442933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210.25641030000014</v>
      </c>
      <c r="EK116" s="17">
        <f>EJ116*VLOOKUP('Données projet'!$B$15,Paramètres!$A$1:$I$89,3,0)*VLOOKUP('Données projet'!$B$15,Paramètres!$A$1:$I$89,5,0)</f>
        <v>164.00000003400012</v>
      </c>
      <c r="EL116" s="13">
        <f t="shared" si="99"/>
        <v>41.743425916009095</v>
      </c>
      <c r="EM116" s="20">
        <f t="shared" si="73"/>
        <v>358.3364668629327</v>
      </c>
      <c r="EN116" s="59">
        <f t="shared" si="74"/>
        <v>651.66980019626601</v>
      </c>
      <c r="EO116" s="59">
        <f ca="1">AVERAGE(OFFSET($EN$3,0,0,'Données projet'!$E$15+1,1))-AVERAGE(OFFSET($H$3,0,0,'Données projet'!$E$15+1,1))</f>
        <v>130.66539383144681</v>
      </c>
      <c r="EP116" s="59">
        <f t="shared" si="100"/>
        <v>126.36398121441903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13.511313091845006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13.511313091845006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projet'!$A$217:$I$237,2,0)</f>
        <v>356.05</v>
      </c>
      <c r="FC116" s="12">
        <f>VLOOKUP(A116,'Données projet'!$A$217:$I$237,9,0)</f>
        <v>6.8850000000000025</v>
      </c>
      <c r="FD116" s="12">
        <f t="array" ref="FD116">INDEX(FC:FC,MIN(IF(ISNUMBER(FC116:FC312),ROW(FC116:FC312),"")))</f>
        <v>6.8850000000000025</v>
      </c>
      <c r="FE116" s="12">
        <f>IF('Données projet'!$A$218&gt;35,FE115+FD116-FM115,IF(A116&lt;'Données projet'!$A$218,$FB$205^A116,IF(A116='Données projet'!$A$218,'Données projet'!$B$218,FE115+FD116-FM115)))</f>
        <v>356.04999999999995</v>
      </c>
      <c r="FF116" s="17">
        <f>FE116*VLOOKUP('Données projet'!$B$16,Paramètres!$A$1:$I$89,3,0)*VLOOKUP('Données projet'!$B$16,Paramètres!$A$1:$I$89,5,0)</f>
        <v>344.37155999999999</v>
      </c>
      <c r="FG116" s="13">
        <f t="shared" si="101"/>
        <v>80.402465741693533</v>
      </c>
      <c r="FH116" s="20">
        <f t="shared" si="76"/>
        <v>739.81476150011622</v>
      </c>
      <c r="FI116" s="59">
        <f t="shared" si="77"/>
        <v>1033.1480948334495</v>
      </c>
      <c r="FJ116" s="59">
        <f ca="1">AVERAGE(OFFSET($FI$3,0,0,'Données projet'!$E$16+1,1))-AVERAGE(OFFSET($H$3,0,0,'Données projet'!$E$16+1,1))</f>
        <v>380.43199889536805</v>
      </c>
      <c r="FK116" s="59">
        <f t="shared" si="102"/>
        <v>154.72646317672996</v>
      </c>
      <c r="FL116" s="15">
        <f>IF(ISNA(VLOOKUP(A116,'Données projet'!$A$217:$I$237,3,0)),0,VLOOKUP(A116,'Données projet'!$A$217:$I$237,3,0))</f>
        <v>9</v>
      </c>
      <c r="FM116" s="15">
        <f>IF(ISNA(VLOOKUP(A116,'Données projet'!$A$217:$I$237,4,0)),0,VLOOKUP(A116,'Données projet'!$A$217:$I$237,4,0))</f>
        <v>40.479999999999997</v>
      </c>
      <c r="FN116" s="16">
        <f>IF(ISNA(VLOOKUP(A116,'Données projet'!$A$217:$I$237,5,0)),0%,VLOOKUP(A116,'Données projet'!$A$217:$I$237,5,0)*VLOOKUP('Données projet'!$B$16,Paramètres!$A$1:$I$89,7,0))</f>
        <v>0.43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99.907821179273085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99.907821179273085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304</v>
      </c>
      <c r="O117" s="13">
        <f>N117*VLOOKUP('Données projet'!$B$9,Paramètres!$A$1:$I$89,3,0)*VLOOKUP('Données projet'!$B$9,Paramètres!$A$1:$I$89,5,0)</f>
        <v>189.696</v>
      </c>
      <c r="P117" s="13">
        <f t="shared" si="87"/>
        <v>47.472736505152469</v>
      </c>
      <c r="Q117" s="20">
        <f t="shared" si="107"/>
        <v>413.06888274647389</v>
      </c>
      <c r="R117" s="59">
        <f t="shared" si="55"/>
        <v>706.4022160798072</v>
      </c>
      <c r="S117" s="59">
        <f ca="1">AVERAGE(OFFSET($R$3,0,0,'Données projet'!$E$9+1,1))-AVERAGE(OFFSET($H$3,0,0,'Données projet'!$E$9+1,1))</f>
        <v>179.44051550872138</v>
      </c>
      <c r="T117" s="59">
        <f t="shared" si="88"/>
        <v>272.9500808380069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23.302609337452459</v>
      </c>
      <c r="AA117" s="21">
        <f>EXP(-LN(2)/25)*AA116+(1-EXP(-LN(2)/25))/(LN(2)/25)*Calculateur!V117*Calculateur!X117*VLOOKUP('Données projet'!$B$9,Paramètres!$A$1:$I$89,3,0)*0.475*44/12</f>
        <v>4.7129257500532145</v>
      </c>
      <c r="AB117" s="21">
        <f>EXP(-LN(2)/2)*AB116+(1-EXP(-LN(2)/2))/(LN(2)/2)*V117*Y117*VLOOKUP('Données projet'!$B$9,Paramètres!$A$1:$I$89,3,0)*0.475*44/12</f>
        <v>5.0200764694104913E-14</v>
      </c>
      <c r="AC117" s="22">
        <f t="shared" si="57"/>
        <v>28.015535087505725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2.9819999999999993</v>
      </c>
      <c r="AI117" s="13">
        <f>IF('Données projet'!$A$62&gt;35,AI116+AH117-AQ116,IF(A117&lt;'Données projet'!$A$62,$AF$205^A117,IF(A117='Données projet'!$A$62,'Données projet'!$B$62,AI116+AH117-AQ116)))</f>
        <v>164.14799999999974</v>
      </c>
      <c r="AJ117" s="13">
        <f>AI117*VLOOKUP('Données projet'!$B$10,Paramètres!$A$1:$I$89,3,0)*VLOOKUP('Données projet'!$B$10,Paramètres!$A$1:$I$89,5,0)</f>
        <v>78.955187999999879</v>
      </c>
      <c r="AK117" s="13">
        <f t="shared" si="89"/>
        <v>21.881527035872551</v>
      </c>
      <c r="AL117" s="20">
        <f t="shared" si="58"/>
        <v>175.62394535414447</v>
      </c>
      <c r="AM117" s="59">
        <f t="shared" si="59"/>
        <v>468.95727868747781</v>
      </c>
      <c r="AN117" s="59">
        <f ca="1">AVERAGE(OFFSET($AM$3,0,0,'Données projet'!$E$10+1,1))-AVERAGE(OFFSET($H$3,0,0,'Données projet'!$E$10+1,1))</f>
        <v>174.18188687702559</v>
      </c>
      <c r="AO117" s="59">
        <f t="shared" si="90"/>
        <v>32.17353897322738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170.37731233814691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170.37731233814691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0.8600000000003547</v>
      </c>
      <c r="BE117" s="13">
        <f>BD117*VLOOKUP('Données projet'!$B$11,Paramètres!$A$1:$I$89,3,0)*VLOOKUP('Données projet'!$B$11,Paramètres!$A$1:$I$89,5,0)</f>
        <v>0.48074000000019829</v>
      </c>
      <c r="BF117" s="13">
        <f t="shared" si="91"/>
        <v>0.24126147010950588</v>
      </c>
      <c r="BG117" s="20">
        <f t="shared" si="61"/>
        <v>1.2574858937744013</v>
      </c>
      <c r="BH117" s="59">
        <f t="shared" si="62"/>
        <v>294.59081922710772</v>
      </c>
      <c r="BI117" s="59">
        <f ca="1">AVERAGE(OFFSET($BH$3,0,0,'Données projet'!$E$11+1,1))-AVERAGE(OFFSET($H$3,0,0,'Données projet'!$E$11+1,1))</f>
        <v>350.01600895263641</v>
      </c>
      <c r="BJ117" s="59">
        <f t="shared" si="92"/>
        <v>464.08921044376882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115.57048803054924</v>
      </c>
      <c r="BQ117" s="21">
        <f>EXP(-LN(2)/25)*BQ116+(1-EXP(-LN(2)/25))/(LN(2)/25)*Calculateur!BL117*Calculateur!BN117*VLOOKUP('Données projet'!$B$11,Paramètres!$A$1:$I$89,3,0)*0.475*44/12</f>
        <v>4.9254179415599531</v>
      </c>
      <c r="BR117" s="21">
        <f>EXP(-LN(2)/2)*BR116+(1-EXP(-LN(2)/2))/(LN(2)/2)*BL117*BO117*VLOOKUP('Données projet'!$B$11,Paramètres!$A$1:$I$89,3,0)*0.475*44/12</f>
        <v>1.682384502289124E-13</v>
      </c>
      <c r="BS117" s="22">
        <f t="shared" si="63"/>
        <v>120.49590597210937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253.79640000000001</v>
      </c>
      <c r="CA117" s="13">
        <f t="shared" si="93"/>
        <v>61.39816832228076</v>
      </c>
      <c r="CB117" s="20">
        <f t="shared" si="64"/>
        <v>548.96387316130563</v>
      </c>
      <c r="CC117" s="59">
        <f t="shared" si="65"/>
        <v>842.29720649463889</v>
      </c>
      <c r="CD117" s="59">
        <f ca="1">AVERAGE(OFFSET($CC$3,0,0,'Données projet'!$E$12+1,1))-AVERAGE(OFFSET($H$3,0,0,'Données projet'!$E$12+1,1))</f>
        <v>279.49721661620544</v>
      </c>
      <c r="CE117" s="59">
        <f t="shared" si="94"/>
        <v>275.18739333988754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27.115843983900849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27.115843983900849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7.4200000000000017</v>
      </c>
      <c r="CT117" s="12">
        <f>IF('Données projet'!$A$140&gt;35,CT116+CS117-DB116,IF(A117&lt;'Données projet'!$A$140,$CQ$205^A117,IF(A117='Données projet'!$A$140,'Données projet'!$B$140,CT116+CS117-DB116)))</f>
        <v>322.98999999999995</v>
      </c>
      <c r="CU117" s="17">
        <f>CT117*VLOOKUP('Données projet'!$B$13,Paramètres!$A$1:$I$89,3,0)*VLOOKUP('Données projet'!$B$13,Paramètres!$A$1:$I$89,5,0)</f>
        <v>327.51185999999996</v>
      </c>
      <c r="CV117" s="13">
        <f t="shared" si="95"/>
        <v>76.914225265143912</v>
      </c>
      <c r="CW117" s="20">
        <f t="shared" si="67"/>
        <v>704.37543183679225</v>
      </c>
      <c r="CX117" s="59">
        <f t="shared" si="68"/>
        <v>997.70876517012562</v>
      </c>
      <c r="CY117" s="59">
        <f ca="1">AVERAGE(OFFSET($CX$3,0,0,'Données projet'!$E$13+1,1))-AVERAGE(OFFSET($H$3,0,0,'Données projet'!$E$13+1,1))</f>
        <v>402.54350692668021</v>
      </c>
      <c r="CZ117" s="59">
        <f t="shared" si="96"/>
        <v>163.60655196884522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102.68814247323526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102.68814247323526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5.6</v>
      </c>
      <c r="DO117" s="12">
        <f>IF('Données projet'!$A$166&gt;35,DO116+DN117-DW116,IF(A117&lt;'Données projet'!$A$166,$DL$205^A117,IF(A117='Données projet'!$A$166,'Données projet'!$B$166,DO116+DN117-DW116)))</f>
        <v>420.40000000000015</v>
      </c>
      <c r="DP117" s="17">
        <f>DO117*VLOOKUP('Données projet'!$B$14,Paramètres!$A$1:$I$89,3,0)*VLOOKUP('Données projet'!$B$14,Paramètres!$A$1:$I$89,5,0)</f>
        <v>360.70320000000021</v>
      </c>
      <c r="DQ117" s="13">
        <f t="shared" si="97"/>
        <v>83.762532727902268</v>
      </c>
      <c r="DR117" s="20">
        <f t="shared" si="70"/>
        <v>774.11115116776352</v>
      </c>
      <c r="DS117" s="59">
        <f t="shared" si="71"/>
        <v>1067.4444845010969</v>
      </c>
      <c r="DT117" s="59">
        <f ca="1">AVERAGE(OFFSET($DS$3,0,0,'Données projet'!$E$14+1,1))-AVERAGE(OFFSET($H$3,0,0,'Données projet'!$E$14+1,1))</f>
        <v>352.76625414822473</v>
      </c>
      <c r="DU117" s="59">
        <f t="shared" si="98"/>
        <v>186.48649111821521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101.28679326599712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101.28679326599712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210.25641030000014</v>
      </c>
      <c r="EK117" s="17">
        <f>EJ117*VLOOKUP('Données projet'!$B$15,Paramètres!$A$1:$I$89,3,0)*VLOOKUP('Données projet'!$B$15,Paramètres!$A$1:$I$89,5,0)</f>
        <v>164.00000003400012</v>
      </c>
      <c r="EL117" s="13">
        <f t="shared" si="99"/>
        <v>41.743425916009095</v>
      </c>
      <c r="EM117" s="20">
        <f t="shared" si="73"/>
        <v>358.3364668629327</v>
      </c>
      <c r="EN117" s="59">
        <f t="shared" si="74"/>
        <v>651.66980019626601</v>
      </c>
      <c r="EO117" s="59">
        <f ca="1">AVERAGE(OFFSET($EN$3,0,0,'Données projet'!$E$15+1,1))-AVERAGE(OFFSET($H$3,0,0,'Données projet'!$E$15+1,1))</f>
        <v>130.66539383144681</v>
      </c>
      <c r="EP117" s="59">
        <f t="shared" si="100"/>
        <v>126.36398121441903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13.246364483201171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13.246364483201171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7.4200000000000017</v>
      </c>
      <c r="FE117" s="12">
        <f>IF('Données projet'!$A$218&gt;35,FE116+FD117-FM116,IF(A117&lt;'Données projet'!$A$218,$FB$205^A117,IF(A117='Données projet'!$A$218,'Données projet'!$B$218,FE116+FD117-FM116)))</f>
        <v>322.98999999999995</v>
      </c>
      <c r="FF117" s="17">
        <f>FE117*VLOOKUP('Données projet'!$B$16,Paramètres!$A$1:$I$89,3,0)*VLOOKUP('Données projet'!$B$16,Paramètres!$A$1:$I$89,5,0)</f>
        <v>312.39592799999997</v>
      </c>
      <c r="FG117" s="13">
        <f t="shared" si="101"/>
        <v>73.768970871127209</v>
      </c>
      <c r="FH117" s="20">
        <f t="shared" si="76"/>
        <v>672.57053220054661</v>
      </c>
      <c r="FI117" s="59">
        <f t="shared" si="77"/>
        <v>965.90386553387998</v>
      </c>
      <c r="FJ117" s="59">
        <f ca="1">AVERAGE(OFFSET($FI$3,0,0,'Données projet'!$E$16+1,1))-AVERAGE(OFFSET($H$3,0,0,'Données projet'!$E$16+1,1))</f>
        <v>380.43199889536805</v>
      </c>
      <c r="FK117" s="59">
        <f t="shared" si="102"/>
        <v>154.72646317672996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97.948689743701351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97.948689743701351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304</v>
      </c>
      <c r="O118" s="13">
        <f>N118*VLOOKUP('Données projet'!$B$9,Paramètres!$A$1:$I$89,3,0)*VLOOKUP('Données projet'!$B$9,Paramètres!$A$1:$I$89,5,0)</f>
        <v>189.696</v>
      </c>
      <c r="P118" s="13">
        <f t="shared" si="87"/>
        <v>47.472736505152469</v>
      </c>
      <c r="Q118" s="20">
        <f t="shared" si="107"/>
        <v>413.06888274647389</v>
      </c>
      <c r="R118" s="59">
        <f t="shared" si="55"/>
        <v>706.4022160798072</v>
      </c>
      <c r="S118" s="59">
        <f ca="1">AVERAGE(OFFSET($R$3,0,0,'Données projet'!$E$9+1,1))-AVERAGE(OFFSET($H$3,0,0,'Données projet'!$E$9+1,1))</f>
        <v>179.44051550872138</v>
      </c>
      <c r="T118" s="59">
        <f t="shared" si="88"/>
        <v>272.9500808380069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22.845659381533277</v>
      </c>
      <c r="AA118" s="21">
        <f>EXP(-LN(2)/25)*AA117+(1-EXP(-LN(2)/25))/(LN(2)/25)*Calculateur!V118*Calculateur!X118*VLOOKUP('Données projet'!$B$9,Paramètres!$A$1:$I$89,3,0)*0.475*44/12</f>
        <v>4.584050547576016</v>
      </c>
      <c r="AB118" s="21">
        <f>EXP(-LN(2)/2)*AB117+(1-EXP(-LN(2)/2))/(LN(2)/2)*V118*Y118*VLOOKUP('Données projet'!$B$9,Paramètres!$A$1:$I$89,3,0)*0.475*44/12</f>
        <v>3.5497301135951803E-14</v>
      </c>
      <c r="AC118" s="22">
        <f t="shared" si="57"/>
        <v>27.429709929109329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167.13</v>
      </c>
      <c r="AG118" s="12">
        <f>VLOOKUP(A118,'Données projet'!$A$61:$I$81,9,0)</f>
        <v>2.9819999999999993</v>
      </c>
      <c r="AH118" s="12">
        <f t="array" ref="AH118">INDEX(AG:AG,MIN(IF(ISNUMBER(AG118:AG314),ROW(AG118:AG314),"")))</f>
        <v>2.9819999999999993</v>
      </c>
      <c r="AI118" s="13">
        <f>IF('Données projet'!$A$62&gt;35,AI117+AH118-AQ117,IF(A118&lt;'Données projet'!$A$62,$AF$205^A118,IF(A118='Données projet'!$A$62,'Données projet'!$B$62,AI117+AH118-AQ117)))</f>
        <v>167.12999999999974</v>
      </c>
      <c r="AJ118" s="13">
        <f>AI118*VLOOKUP('Données projet'!$B$10,Paramètres!$A$1:$I$89,3,0)*VLOOKUP('Données projet'!$B$10,Paramètres!$A$1:$I$89,5,0)</f>
        <v>80.38952999999988</v>
      </c>
      <c r="AK118" s="13">
        <f t="shared" si="89"/>
        <v>22.232399297488609</v>
      </c>
      <c r="AL118" s="20">
        <f t="shared" si="58"/>
        <v>178.7331935264591</v>
      </c>
      <c r="AM118" s="59">
        <f t="shared" si="59"/>
        <v>472.06652685979242</v>
      </c>
      <c r="AN118" s="59">
        <f ca="1">AVERAGE(OFFSET($AM$3,0,0,'Données projet'!$E$10+1,1))-AVERAGE(OFFSET($H$3,0,0,'Données projet'!$E$10+1,1))</f>
        <v>174.18188687702559</v>
      </c>
      <c r="AO118" s="59">
        <f t="shared" si="90"/>
        <v>32.17353897322738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167.03631716309513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167.03631716309513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0.8600000000003547</v>
      </c>
      <c r="BE118" s="13">
        <f>BD118*VLOOKUP('Données projet'!$B$11,Paramètres!$A$1:$I$89,3,0)*VLOOKUP('Données projet'!$B$11,Paramètres!$A$1:$I$89,5,0)</f>
        <v>0.48074000000019829</v>
      </c>
      <c r="BF118" s="13">
        <f t="shared" si="91"/>
        <v>0.24126147010950588</v>
      </c>
      <c r="BG118" s="20">
        <f t="shared" si="61"/>
        <v>1.2574858937744013</v>
      </c>
      <c r="BH118" s="59">
        <f t="shared" si="62"/>
        <v>294.59081922710772</v>
      </c>
      <c r="BI118" s="59">
        <f ca="1">AVERAGE(OFFSET($BH$3,0,0,'Données projet'!$E$11+1,1))-AVERAGE(OFFSET($H$3,0,0,'Données projet'!$E$11+1,1))</f>
        <v>350.01600895263641</v>
      </c>
      <c r="BJ118" s="59">
        <f t="shared" si="92"/>
        <v>464.08921044376882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113.30422125130745</v>
      </c>
      <c r="BQ118" s="21">
        <f>EXP(-LN(2)/25)*BQ117+(1-EXP(-LN(2)/25))/(LN(2)/25)*Calculateur!BL118*Calculateur!BN118*VLOOKUP('Données projet'!$B$11,Paramètres!$A$1:$I$89,3,0)*0.475*44/12</f>
        <v>4.7907321289315234</v>
      </c>
      <c r="BR118" s="21">
        <f>EXP(-LN(2)/2)*BR117+(1-EXP(-LN(2)/2))/(LN(2)/2)*BL118*BO118*VLOOKUP('Données projet'!$B$11,Paramètres!$A$1:$I$89,3,0)*0.475*44/12</f>
        <v>1.1896254901317942E-13</v>
      </c>
      <c r="BS118" s="22">
        <f t="shared" si="63"/>
        <v>118.09495338023909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253.79640000000001</v>
      </c>
      <c r="CA118" s="13">
        <f t="shared" si="93"/>
        <v>61.39816832228076</v>
      </c>
      <c r="CB118" s="20">
        <f t="shared" si="64"/>
        <v>548.96387316130563</v>
      </c>
      <c r="CC118" s="59">
        <f t="shared" si="65"/>
        <v>842.29720649463889</v>
      </c>
      <c r="CD118" s="59">
        <f ca="1">AVERAGE(OFFSET($CC$3,0,0,'Données projet'!$E$12+1,1))-AVERAGE(OFFSET($H$3,0,0,'Données projet'!$E$12+1,1))</f>
        <v>279.49721661620544</v>
      </c>
      <c r="CE118" s="59">
        <f t="shared" si="94"/>
        <v>275.18739333988754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26.584118822408289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26.584118822408289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7.4200000000000017</v>
      </c>
      <c r="CT118" s="12">
        <f>IF('Données projet'!$A$140&gt;35,CT117+CS118-DB117,IF(A118&lt;'Données projet'!$A$140,$CQ$205^A118,IF(A118='Données projet'!$A$140,'Données projet'!$B$140,CT117+CS118-DB117)))</f>
        <v>330.40999999999997</v>
      </c>
      <c r="CU118" s="17">
        <f>CT118*VLOOKUP('Données projet'!$B$13,Paramètres!$A$1:$I$89,3,0)*VLOOKUP('Données projet'!$B$13,Paramètres!$A$1:$I$89,5,0)</f>
        <v>335.03573999999998</v>
      </c>
      <c r="CV118" s="13">
        <f t="shared" si="95"/>
        <v>78.47342254398265</v>
      </c>
      <c r="CW118" s="20">
        <f t="shared" si="67"/>
        <v>720.19512476410307</v>
      </c>
      <c r="CX118" s="59">
        <f t="shared" si="68"/>
        <v>1013.5284580974364</v>
      </c>
      <c r="CY118" s="59">
        <f ca="1">AVERAGE(OFFSET($CX$3,0,0,'Données projet'!$E$13+1,1))-AVERAGE(OFFSET($H$3,0,0,'Données projet'!$E$13+1,1))</f>
        <v>402.54350692668021</v>
      </c>
      <c r="CZ118" s="59">
        <f t="shared" si="96"/>
        <v>163.60655196884522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100.67449063291747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100.67449063291747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426</v>
      </c>
      <c r="DM118" s="12">
        <f>VLOOKUP(A118,'Données projet'!$A$165:$I$185,9,0)</f>
        <v>5.6</v>
      </c>
      <c r="DN118" s="12">
        <f t="array" ref="DN118">INDEX(DM:DM,MIN(IF(ISNUMBER(DM118:DM314),ROW(DM118:DM314),"")))</f>
        <v>5.6</v>
      </c>
      <c r="DO118" s="12">
        <f>IF('Données projet'!$A$166&gt;35,DO117+DN118-DW117,IF(A118&lt;'Données projet'!$A$166,$DL$205^A118,IF(A118='Données projet'!$A$166,'Données projet'!$B$166,DO117+DN118-DW117)))</f>
        <v>426.00000000000017</v>
      </c>
      <c r="DP118" s="17">
        <f>DO118*VLOOKUP('Données projet'!$B$14,Paramètres!$A$1:$I$89,3,0)*VLOOKUP('Données projet'!$B$14,Paramètres!$A$1:$I$89,5,0)</f>
        <v>365.50800000000021</v>
      </c>
      <c r="DQ118" s="13">
        <f t="shared" si="97"/>
        <v>84.747667534292177</v>
      </c>
      <c r="DR118" s="20">
        <f t="shared" si="70"/>
        <v>784.19528762222581</v>
      </c>
      <c r="DS118" s="59">
        <f t="shared" si="71"/>
        <v>1077.5286209555591</v>
      </c>
      <c r="DT118" s="59">
        <f ca="1">AVERAGE(OFFSET($DS$3,0,0,'Données projet'!$E$14+1,1))-AVERAGE(OFFSET($H$3,0,0,'Données projet'!$E$14+1,1))</f>
        <v>352.76625414822473</v>
      </c>
      <c r="DU118" s="59">
        <f t="shared" si="98"/>
        <v>186.48649111821521</v>
      </c>
      <c r="DV118" s="15">
        <f>IF(ISNA(VLOOKUP(A118,'Données projet'!$A$165:$I$185,3,0)),0,VLOOKUP(A118,'Données projet'!$A$165:$I$185,3,0))</f>
        <v>19</v>
      </c>
      <c r="DW118" s="15">
        <f>IF(ISNA(VLOOKUP(A118,'Données projet'!$A$165:$I$185,4,0)),0,VLOOKUP(A118,'Données projet'!$A$165:$I$185,4,0))</f>
        <v>22</v>
      </c>
      <c r="DX118" s="16">
        <f>IF(ISNA(VLOOKUP(A118,'Données projet'!$A$165:$I$185,5,0)),0%,VLOOKUP(A118,'Données projet'!$A$165:$I$185,5,0)*VLOOKUP('Données projet'!$B$14,Paramètres!$A$1:$I$89,7,0))</f>
        <v>0.53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110.36005623744856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110.36005623744856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210.25641030000014</v>
      </c>
      <c r="EK118" s="17">
        <f>EJ118*VLOOKUP('Données projet'!$B$15,Paramètres!$A$1:$I$89,3,0)*VLOOKUP('Données projet'!$B$15,Paramètres!$A$1:$I$89,5,0)</f>
        <v>164.00000003400012</v>
      </c>
      <c r="EL118" s="13">
        <f t="shared" si="99"/>
        <v>41.743425916009095</v>
      </c>
      <c r="EM118" s="20">
        <f t="shared" si="73"/>
        <v>358.3364668629327</v>
      </c>
      <c r="EN118" s="59">
        <f t="shared" si="74"/>
        <v>651.66980019626601</v>
      </c>
      <c r="EO118" s="59">
        <f ca="1">AVERAGE(OFFSET($EN$3,0,0,'Données projet'!$E$15+1,1))-AVERAGE(OFFSET($H$3,0,0,'Données projet'!$E$15+1,1))</f>
        <v>130.66539383144681</v>
      </c>
      <c r="EP118" s="59">
        <f t="shared" si="100"/>
        <v>126.36398121441903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12.986611355170147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12.986611355170147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7.4200000000000017</v>
      </c>
      <c r="FE118" s="12">
        <f>IF('Données projet'!$A$218&gt;35,FE117+FD118-FM117,IF(A118&lt;'Données projet'!$A$218,$FB$205^A118,IF(A118='Données projet'!$A$218,'Données projet'!$B$218,FE117+FD118-FM117)))</f>
        <v>330.40999999999997</v>
      </c>
      <c r="FF118" s="17">
        <f>FE118*VLOOKUP('Données projet'!$B$16,Paramètres!$A$1:$I$89,3,0)*VLOOKUP('Données projet'!$B$16,Paramètres!$A$1:$I$89,5,0)</f>
        <v>319.57255199999997</v>
      </c>
      <c r="FG118" s="13">
        <f t="shared" si="101"/>
        <v>75.264407875770942</v>
      </c>
      <c r="FH118" s="20">
        <f t="shared" si="76"/>
        <v>687.67437178363434</v>
      </c>
      <c r="FI118" s="59">
        <f t="shared" si="77"/>
        <v>981.0077051169676</v>
      </c>
      <c r="FJ118" s="59">
        <f ca="1">AVERAGE(OFFSET($FI$3,0,0,'Données projet'!$E$16+1,1))-AVERAGE(OFFSET($H$3,0,0,'Données projet'!$E$16+1,1))</f>
        <v>380.43199889536805</v>
      </c>
      <c r="FK118" s="59">
        <f t="shared" si="102"/>
        <v>154.72646317672996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96.027975680628998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96.027975680628998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304</v>
      </c>
      <c r="O119" s="13">
        <f>N119*VLOOKUP('Données projet'!$B$9,Paramètres!$A$1:$I$89,3,0)*VLOOKUP('Données projet'!$B$9,Paramètres!$A$1:$I$89,5,0)</f>
        <v>189.696</v>
      </c>
      <c r="P119" s="13">
        <f t="shared" si="87"/>
        <v>47.472736505152469</v>
      </c>
      <c r="Q119" s="20">
        <f t="shared" si="107"/>
        <v>413.06888274647389</v>
      </c>
      <c r="R119" s="59">
        <f t="shared" si="55"/>
        <v>706.4022160798072</v>
      </c>
      <c r="S119" s="59">
        <f ca="1">AVERAGE(OFFSET($R$3,0,0,'Données projet'!$E$9+1,1))-AVERAGE(OFFSET($H$3,0,0,'Données projet'!$E$9+1,1))</f>
        <v>179.44051550872138</v>
      </c>
      <c r="T119" s="59">
        <f t="shared" si="88"/>
        <v>272.9500808380069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22.397669935537717</v>
      </c>
      <c r="AA119" s="21">
        <f>EXP(-LN(2)/25)*AA118+(1-EXP(-LN(2)/25))/(LN(2)/25)*Calculateur!V119*Calculateur!X119*VLOOKUP('Données projet'!$B$9,Paramètres!$A$1:$I$89,3,0)*0.475*44/12</f>
        <v>4.4586994442878085</v>
      </c>
      <c r="AB119" s="21">
        <f>EXP(-LN(2)/2)*AB118+(1-EXP(-LN(2)/2))/(LN(2)/2)*V119*Y119*VLOOKUP('Données projet'!$B$9,Paramètres!$A$1:$I$89,3,0)*0.475*44/12</f>
        <v>2.5100382347052457E-14</v>
      </c>
      <c r="AC119" s="22">
        <f t="shared" si="57"/>
        <v>26.856369379825551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3.2680000000000007</v>
      </c>
      <c r="AI119" s="13">
        <f>IF('Données projet'!$A$62&gt;35,AI118+AH119-AQ118,IF(A119&lt;'Données projet'!$A$62,$AF$205^A119,IF(A119='Données projet'!$A$62,'Données projet'!$B$62,AI118+AH119-AQ118)))</f>
        <v>170.39799999999974</v>
      </c>
      <c r="AJ119" s="13">
        <f>AI119*VLOOKUP('Données projet'!$B$10,Paramètres!$A$1:$I$89,3,0)*VLOOKUP('Données projet'!$B$10,Paramètres!$A$1:$I$89,5,0)</f>
        <v>81.961437999999873</v>
      </c>
      <c r="AK119" s="13">
        <f t="shared" si="89"/>
        <v>22.616087743290691</v>
      </c>
      <c r="AL119" s="20">
        <f t="shared" si="58"/>
        <v>182.13919066956439</v>
      </c>
      <c r="AM119" s="59">
        <f t="shared" si="59"/>
        <v>475.47252400289767</v>
      </c>
      <c r="AN119" s="59">
        <f ca="1">AVERAGE(OFFSET($AM$3,0,0,'Données projet'!$E$10+1,1))-AVERAGE(OFFSET($H$3,0,0,'Données projet'!$E$10+1,1))</f>
        <v>174.18188687702559</v>
      </c>
      <c r="AO119" s="59">
        <f t="shared" si="90"/>
        <v>32.17353897322738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163.76083686562029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163.76083686562029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0.8600000000003547</v>
      </c>
      <c r="BE119" s="13">
        <f>BD119*VLOOKUP('Données projet'!$B$11,Paramètres!$A$1:$I$89,3,0)*VLOOKUP('Données projet'!$B$11,Paramètres!$A$1:$I$89,5,0)</f>
        <v>0.48074000000019829</v>
      </c>
      <c r="BF119" s="13">
        <f t="shared" si="91"/>
        <v>0.24126147010950588</v>
      </c>
      <c r="BG119" s="20">
        <f t="shared" si="61"/>
        <v>1.2574858937744013</v>
      </c>
      <c r="BH119" s="59">
        <f t="shared" si="62"/>
        <v>294.59081922710772</v>
      </c>
      <c r="BI119" s="59">
        <f ca="1">AVERAGE(OFFSET($BH$3,0,0,'Données projet'!$E$11+1,1))-AVERAGE(OFFSET($H$3,0,0,'Données projet'!$E$11+1,1))</f>
        <v>350.01600895263641</v>
      </c>
      <c r="BJ119" s="59">
        <f t="shared" si="92"/>
        <v>464.08921044376882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111.08239458132036</v>
      </c>
      <c r="BQ119" s="21">
        <f>EXP(-LN(2)/25)*BQ118+(1-EXP(-LN(2)/25))/(LN(2)/25)*Calculateur!BL119*Calculateur!BN119*VLOOKUP('Données projet'!$B$11,Paramètres!$A$1:$I$89,3,0)*0.475*44/12</f>
        <v>4.6597293069322374</v>
      </c>
      <c r="BR119" s="21">
        <f>EXP(-LN(2)/2)*BR118+(1-EXP(-LN(2)/2))/(LN(2)/2)*BL119*BO119*VLOOKUP('Données projet'!$B$11,Paramètres!$A$1:$I$89,3,0)*0.475*44/12</f>
        <v>8.4119225114456201E-14</v>
      </c>
      <c r="BS119" s="22">
        <f t="shared" si="63"/>
        <v>115.74212388825268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253.79640000000001</v>
      </c>
      <c r="CA119" s="13">
        <f t="shared" si="93"/>
        <v>61.39816832228076</v>
      </c>
      <c r="CB119" s="20">
        <f t="shared" si="64"/>
        <v>548.96387316130563</v>
      </c>
      <c r="CC119" s="59">
        <f t="shared" si="65"/>
        <v>842.29720649463889</v>
      </c>
      <c r="CD119" s="59">
        <f ca="1">AVERAGE(OFFSET($CC$3,0,0,'Données projet'!$E$12+1,1))-AVERAGE(OFFSET($H$3,0,0,'Données projet'!$E$12+1,1))</f>
        <v>279.49721661620544</v>
      </c>
      <c r="CE119" s="59">
        <f t="shared" si="94"/>
        <v>275.18739333988754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26.062820467012276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26.062820467012276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7.4200000000000017</v>
      </c>
      <c r="CT119" s="12">
        <f>IF('Données projet'!$A$140&gt;35,CT118+CS119-DB118,IF(A119&lt;'Données projet'!$A$140,$CQ$205^A119,IF(A119='Données projet'!$A$140,'Données projet'!$B$140,CT118+CS119-DB118)))</f>
        <v>337.83</v>
      </c>
      <c r="CU119" s="17">
        <f>CT119*VLOOKUP('Données projet'!$B$13,Paramètres!$A$1:$I$89,3,0)*VLOOKUP('Données projet'!$B$13,Paramètres!$A$1:$I$89,5,0)</f>
        <v>342.55962</v>
      </c>
      <c r="CV119" s="13">
        <f t="shared" si="95"/>
        <v>80.028549059450995</v>
      </c>
      <c r="CW119" s="20">
        <f t="shared" si="67"/>
        <v>736.00772777854388</v>
      </c>
      <c r="CX119" s="59">
        <f t="shared" si="68"/>
        <v>1029.3410611118773</v>
      </c>
      <c r="CY119" s="59">
        <f ca="1">AVERAGE(OFFSET($CX$3,0,0,'Données projet'!$E$13+1,1))-AVERAGE(OFFSET($H$3,0,0,'Données projet'!$E$13+1,1))</f>
        <v>402.54350692668021</v>
      </c>
      <c r="CZ119" s="59">
        <f t="shared" si="96"/>
        <v>163.60655196884522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98.700325276981971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98.700325276981971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404.00000000000017</v>
      </c>
      <c r="DP119" s="17">
        <f>DO119*VLOOKUP('Données projet'!$B$14,Paramètres!$A$1:$I$89,3,0)*VLOOKUP('Données projet'!$B$14,Paramètres!$A$1:$I$89,5,0)</f>
        <v>346.63200000000018</v>
      </c>
      <c r="DQ119" s="13">
        <f t="shared" si="97"/>
        <v>80.868615263336864</v>
      </c>
      <c r="DR119" s="20">
        <f t="shared" si="70"/>
        <v>744.56357158364528</v>
      </c>
      <c r="DS119" s="59">
        <f t="shared" si="71"/>
        <v>1037.8969049169787</v>
      </c>
      <c r="DT119" s="59">
        <f ca="1">AVERAGE(OFFSET($DS$3,0,0,'Données projet'!$E$14+1,1))-AVERAGE(OFFSET($H$3,0,0,'Données projet'!$E$14+1,1))</f>
        <v>352.76625414822473</v>
      </c>
      <c r="DU119" s="59">
        <f t="shared" si="98"/>
        <v>186.48649111821521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108.1959628476199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108.1959628476199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210.25641030000014</v>
      </c>
      <c r="EK119" s="17">
        <f>EJ119*VLOOKUP('Données projet'!$B$15,Paramètres!$A$1:$I$89,3,0)*VLOOKUP('Données projet'!$B$15,Paramètres!$A$1:$I$89,5,0)</f>
        <v>164.00000003400012</v>
      </c>
      <c r="EL119" s="13">
        <f t="shared" si="99"/>
        <v>41.743425916009095</v>
      </c>
      <c r="EM119" s="20">
        <f t="shared" si="73"/>
        <v>358.3364668629327</v>
      </c>
      <c r="EN119" s="59">
        <f t="shared" si="74"/>
        <v>651.66980019626601</v>
      </c>
      <c r="EO119" s="59">
        <f ca="1">AVERAGE(OFFSET($EN$3,0,0,'Données projet'!$E$15+1,1))-AVERAGE(OFFSET($H$3,0,0,'Données projet'!$E$15+1,1))</f>
        <v>130.66539383144681</v>
      </c>
      <c r="EP119" s="59">
        <f t="shared" si="100"/>
        <v>126.36398121441903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12.731951827546048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12.731951827546048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7.4200000000000017</v>
      </c>
      <c r="FE119" s="12">
        <f>IF('Données projet'!$A$218&gt;35,FE118+FD119-FM118,IF(A119&lt;'Données projet'!$A$218,$FB$205^A119,IF(A119='Données projet'!$A$218,'Données projet'!$B$218,FE118+FD119-FM118)))</f>
        <v>337.83</v>
      </c>
      <c r="FF119" s="17">
        <f>FE119*VLOOKUP('Données projet'!$B$16,Paramètres!$A$1:$I$89,3,0)*VLOOKUP('Données projet'!$B$16,Paramètres!$A$1:$I$89,5,0)</f>
        <v>326.74917600000003</v>
      </c>
      <c r="FG119" s="13">
        <f t="shared" si="101"/>
        <v>76.755940582822618</v>
      </c>
      <c r="FH119" s="20">
        <f t="shared" si="76"/>
        <v>702.77141138174932</v>
      </c>
      <c r="FI119" s="59">
        <f t="shared" si="77"/>
        <v>996.10474471508269</v>
      </c>
      <c r="FJ119" s="59">
        <f ca="1">AVERAGE(OFFSET($FI$3,0,0,'Données projet'!$E$16+1,1))-AVERAGE(OFFSET($H$3,0,0,'Données projet'!$E$16+1,1))</f>
        <v>380.43199889536805</v>
      </c>
      <c r="FK119" s="59">
        <f t="shared" si="102"/>
        <v>154.72646317672996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94.144925648813597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94.144925648813597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304</v>
      </c>
      <c r="O120" s="13">
        <f>N120*VLOOKUP('Données projet'!$B$9,Paramètres!$A$1:$I$89,3,0)*VLOOKUP('Données projet'!$B$9,Paramètres!$A$1:$I$89,5,0)</f>
        <v>189.696</v>
      </c>
      <c r="P120" s="13">
        <f t="shared" si="87"/>
        <v>47.472736505152469</v>
      </c>
      <c r="Q120" s="20">
        <f t="shared" si="107"/>
        <v>413.06888274647389</v>
      </c>
      <c r="R120" s="59">
        <f t="shared" si="55"/>
        <v>706.4022160798072</v>
      </c>
      <c r="S120" s="59">
        <f ca="1">AVERAGE(OFFSET($R$3,0,0,'Données projet'!$E$9+1,1))-AVERAGE(OFFSET($H$3,0,0,'Données projet'!$E$9+1,1))</f>
        <v>179.44051550872138</v>
      </c>
      <c r="T120" s="59">
        <f t="shared" si="88"/>
        <v>272.9500808380069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21.958465289331549</v>
      </c>
      <c r="AA120" s="21">
        <f>EXP(-LN(2)/25)*AA119+(1-EXP(-LN(2)/25))/(LN(2)/25)*Calculateur!V120*Calculateur!X120*VLOOKUP('Données projet'!$B$9,Paramètres!$A$1:$I$89,3,0)*0.475*44/12</f>
        <v>4.3367760735109453</v>
      </c>
      <c r="AB120" s="21">
        <f>EXP(-LN(2)/2)*AB119+(1-EXP(-LN(2)/2))/(LN(2)/2)*V120*Y120*VLOOKUP('Données projet'!$B$9,Paramètres!$A$1:$I$89,3,0)*0.475*44/12</f>
        <v>1.7748650567975901E-14</v>
      </c>
      <c r="AC120" s="22">
        <f t="shared" si="57"/>
        <v>26.295241362842514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3.2680000000000007</v>
      </c>
      <c r="AI120" s="13">
        <f>IF('Données projet'!$A$62&gt;35,AI119+AH120-AQ119,IF(A120&lt;'Données projet'!$A$62,$AF$205^A120,IF(A120='Données projet'!$A$62,'Données projet'!$B$62,AI119+AH120-AQ119)))</f>
        <v>173.66599999999974</v>
      </c>
      <c r="AJ120" s="13">
        <f>AI120*VLOOKUP('Données projet'!$B$10,Paramètres!$A$1:$I$89,3,0)*VLOOKUP('Données projet'!$B$10,Paramètres!$A$1:$I$89,5,0)</f>
        <v>83.533345999999881</v>
      </c>
      <c r="AK120" s="13">
        <f t="shared" si="89"/>
        <v>22.998920545832402</v>
      </c>
      <c r="AL120" s="20">
        <f t="shared" si="58"/>
        <v>185.54369756732456</v>
      </c>
      <c r="AM120" s="59">
        <f t="shared" si="59"/>
        <v>478.87703090065787</v>
      </c>
      <c r="AN120" s="59">
        <f ca="1">AVERAGE(OFFSET($AM$3,0,0,'Données projet'!$E$10+1,1))-AVERAGE(OFFSET($H$3,0,0,'Données projet'!$E$10+1,1))</f>
        <v>174.18188687702559</v>
      </c>
      <c r="AO120" s="59">
        <f t="shared" si="90"/>
        <v>32.17353897322738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160.54958673893321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160.54958673893321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0.8600000000003547</v>
      </c>
      <c r="BE120" s="13">
        <f>BD120*VLOOKUP('Données projet'!$B$11,Paramètres!$A$1:$I$89,3,0)*VLOOKUP('Données projet'!$B$11,Paramètres!$A$1:$I$89,5,0)</f>
        <v>0.48074000000019829</v>
      </c>
      <c r="BF120" s="13">
        <f t="shared" si="91"/>
        <v>0.24126147010950588</v>
      </c>
      <c r="BG120" s="20">
        <f t="shared" si="61"/>
        <v>1.2574858937744013</v>
      </c>
      <c r="BH120" s="59">
        <f t="shared" si="62"/>
        <v>294.59081922710772</v>
      </c>
      <c r="BI120" s="59">
        <f ca="1">AVERAGE(OFFSET($BH$3,0,0,'Données projet'!$E$11+1,1))-AVERAGE(OFFSET($H$3,0,0,'Données projet'!$E$11+1,1))</f>
        <v>350.01600895263641</v>
      </c>
      <c r="BJ120" s="59">
        <f t="shared" si="92"/>
        <v>464.08921044376882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108.90413657715125</v>
      </c>
      <c r="BQ120" s="21">
        <f>EXP(-LN(2)/25)*BQ119+(1-EXP(-LN(2)/25))/(LN(2)/25)*Calculateur!BL120*Calculateur!BN120*VLOOKUP('Données projet'!$B$11,Paramètres!$A$1:$I$89,3,0)*0.475*44/12</f>
        <v>4.5323087639896613</v>
      </c>
      <c r="BR120" s="21">
        <f>EXP(-LN(2)/2)*BR119+(1-EXP(-LN(2)/2))/(LN(2)/2)*BL120*BO120*VLOOKUP('Données projet'!$B$11,Paramètres!$A$1:$I$89,3,0)*0.475*44/12</f>
        <v>5.9481274506589712E-14</v>
      </c>
      <c r="BS120" s="22">
        <f t="shared" si="63"/>
        <v>113.43644534114097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253.79640000000001</v>
      </c>
      <c r="CA120" s="13">
        <f t="shared" si="93"/>
        <v>61.39816832228076</v>
      </c>
      <c r="CB120" s="20">
        <f t="shared" si="64"/>
        <v>548.96387316130563</v>
      </c>
      <c r="CC120" s="59">
        <f t="shared" si="65"/>
        <v>842.29720649463889</v>
      </c>
      <c r="CD120" s="59">
        <f ca="1">AVERAGE(OFFSET($CC$3,0,0,'Données projet'!$E$12+1,1))-AVERAGE(OFFSET($H$3,0,0,'Données projet'!$E$12+1,1))</f>
        <v>279.49721661620544</v>
      </c>
      <c r="CE120" s="59">
        <f t="shared" si="94"/>
        <v>275.18739333988754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25.551744454404975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25.551744454404975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7.4200000000000017</v>
      </c>
      <c r="CT120" s="12">
        <f>IF('Données projet'!$A$140&gt;35,CT119+CS120-DB119,IF(A120&lt;'Données projet'!$A$140,$CQ$205^A120,IF(A120='Données projet'!$A$140,'Données projet'!$B$140,CT119+CS120-DB119)))</f>
        <v>345.25</v>
      </c>
      <c r="CU120" s="17">
        <f>CT120*VLOOKUP('Données projet'!$B$13,Paramètres!$A$1:$I$89,3,0)*VLOOKUP('Données projet'!$B$13,Paramètres!$A$1:$I$89,5,0)</f>
        <v>350.08350000000002</v>
      </c>
      <c r="CV120" s="13">
        <f t="shared" si="95"/>
        <v>81.579704516537063</v>
      </c>
      <c r="CW120" s="20">
        <f t="shared" si="67"/>
        <v>751.81341453296864</v>
      </c>
      <c r="CX120" s="59">
        <f t="shared" si="68"/>
        <v>1045.1467478663019</v>
      </c>
      <c r="CY120" s="59">
        <f ca="1">AVERAGE(OFFSET($CX$3,0,0,'Données projet'!$E$13+1,1))-AVERAGE(OFFSET($H$3,0,0,'Données projet'!$E$13+1,1))</f>
        <v>402.54350692668021</v>
      </c>
      <c r="CZ120" s="59">
        <f t="shared" si="96"/>
        <v>163.60655196884522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96.764872099554395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96.764872099554395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404.00000000000017</v>
      </c>
      <c r="DP120" s="17">
        <f>DO120*VLOOKUP('Données projet'!$B$14,Paramètres!$A$1:$I$89,3,0)*VLOOKUP('Données projet'!$B$14,Paramètres!$A$1:$I$89,5,0)</f>
        <v>346.63200000000018</v>
      </c>
      <c r="DQ120" s="13">
        <f t="shared" si="97"/>
        <v>80.868615263336864</v>
      </c>
      <c r="DR120" s="20">
        <f t="shared" si="70"/>
        <v>744.56357158364528</v>
      </c>
      <c r="DS120" s="59">
        <f t="shared" si="71"/>
        <v>1037.8969049169787</v>
      </c>
      <c r="DT120" s="59">
        <f ca="1">AVERAGE(OFFSET($DS$3,0,0,'Données projet'!$E$14+1,1))-AVERAGE(OFFSET($H$3,0,0,'Données projet'!$E$14+1,1))</f>
        <v>352.76625414822473</v>
      </c>
      <c r="DU120" s="59">
        <f t="shared" si="98"/>
        <v>186.48649111821521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106.07430600919913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106.07430600919913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210.25641030000014</v>
      </c>
      <c r="EK120" s="17">
        <f>EJ120*VLOOKUP('Données projet'!$B$15,Paramètres!$A$1:$I$89,3,0)*VLOOKUP('Données projet'!$B$15,Paramètres!$A$1:$I$89,5,0)</f>
        <v>164.00000003400012</v>
      </c>
      <c r="EL120" s="13">
        <f t="shared" si="99"/>
        <v>41.743425916009095</v>
      </c>
      <c r="EM120" s="20">
        <f t="shared" si="73"/>
        <v>358.3364668629327</v>
      </c>
      <c r="EN120" s="59">
        <f t="shared" si="74"/>
        <v>651.66980019626601</v>
      </c>
      <c r="EO120" s="59">
        <f ca="1">AVERAGE(OFFSET($EN$3,0,0,'Données projet'!$E$15+1,1))-AVERAGE(OFFSET($H$3,0,0,'Données projet'!$E$15+1,1))</f>
        <v>130.66539383144681</v>
      </c>
      <c r="EP120" s="59">
        <f t="shared" si="100"/>
        <v>126.36398121441903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12.482286017931683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12.482286017931683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7.4200000000000017</v>
      </c>
      <c r="FE120" s="12">
        <f>IF('Données projet'!$A$218&gt;35,FE119+FD120-FM119,IF(A120&lt;'Données projet'!$A$218,$FB$205^A120,IF(A120='Données projet'!$A$218,'Données projet'!$B$218,FE119+FD120-FM119)))</f>
        <v>345.25</v>
      </c>
      <c r="FF120" s="17">
        <f>FE120*VLOOKUP('Données projet'!$B$16,Paramètres!$A$1:$I$89,3,0)*VLOOKUP('Données projet'!$B$16,Paramètres!$A$1:$I$89,5,0)</f>
        <v>333.92580000000004</v>
      </c>
      <c r="FG120" s="13">
        <f t="shared" si="101"/>
        <v>78.243664620033044</v>
      </c>
      <c r="FH120" s="20">
        <f t="shared" si="76"/>
        <v>717.86181754655763</v>
      </c>
      <c r="FI120" s="59">
        <f t="shared" si="77"/>
        <v>1011.1951508798909</v>
      </c>
      <c r="FJ120" s="59">
        <f ca="1">AVERAGE(OFFSET($FI$3,0,0,'Données projet'!$E$16+1,1))-AVERAGE(OFFSET($H$3,0,0,'Données projet'!$E$16+1,1))</f>
        <v>380.43199889536805</v>
      </c>
      <c r="FK120" s="59">
        <f t="shared" si="102"/>
        <v>154.72646317672996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92.298801079574986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92.298801079574986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304</v>
      </c>
      <c r="O121" s="13">
        <f>N121*VLOOKUP('Données projet'!$B$9,Paramètres!$A$1:$I$89,3,0)*VLOOKUP('Données projet'!$B$9,Paramètres!$A$1:$I$89,5,0)</f>
        <v>189.696</v>
      </c>
      <c r="P121" s="13">
        <f t="shared" si="87"/>
        <v>47.472736505152469</v>
      </c>
      <c r="Q121" s="20">
        <f t="shared" si="107"/>
        <v>413.06888274647389</v>
      </c>
      <c r="R121" s="59">
        <f t="shared" si="55"/>
        <v>706.4022160798072</v>
      </c>
      <c r="S121" s="59">
        <f ca="1">AVERAGE(OFFSET($R$3,0,0,'Données projet'!$E$9+1,1))-AVERAGE(OFFSET($H$3,0,0,'Données projet'!$E$9+1,1))</f>
        <v>179.44051550872138</v>
      </c>
      <c r="T121" s="59">
        <f t="shared" si="88"/>
        <v>272.9500808380069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21.5278731783491</v>
      </c>
      <c r="AA121" s="21">
        <f>EXP(-LN(2)/25)*AA120+(1-EXP(-LN(2)/25))/(LN(2)/25)*Calculateur!V121*Calculateur!X121*VLOOKUP('Données projet'!$B$9,Paramètres!$A$1:$I$89,3,0)*0.475*44/12</f>
        <v>4.2181867037196463</v>
      </c>
      <c r="AB121" s="21">
        <f>EXP(-LN(2)/2)*AB120+(1-EXP(-LN(2)/2))/(LN(2)/2)*V121*Y121*VLOOKUP('Données projet'!$B$9,Paramètres!$A$1:$I$89,3,0)*0.475*44/12</f>
        <v>1.2550191173526228E-14</v>
      </c>
      <c r="AC121" s="22">
        <f t="shared" si="57"/>
        <v>25.74605988206876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3.2680000000000007</v>
      </c>
      <c r="AI121" s="13">
        <f>IF('Données projet'!$A$62&gt;35,AI120+AH121-AQ120,IF(A121&lt;'Données projet'!$A$62,$AF$205^A121,IF(A121='Données projet'!$A$62,'Données projet'!$B$62,AI120+AH121-AQ120)))</f>
        <v>176.93399999999974</v>
      </c>
      <c r="AJ121" s="13">
        <f>AI121*VLOOKUP('Données projet'!$B$10,Paramètres!$A$1:$I$89,3,0)*VLOOKUP('Données projet'!$B$10,Paramètres!$A$1:$I$89,5,0)</f>
        <v>85.105253999999874</v>
      </c>
      <c r="AK121" s="13">
        <f t="shared" si="89"/>
        <v>23.380915663030887</v>
      </c>
      <c r="AL121" s="20">
        <f t="shared" si="58"/>
        <v>188.94674549644523</v>
      </c>
      <c r="AM121" s="59">
        <f t="shared" si="59"/>
        <v>482.28007882977852</v>
      </c>
      <c r="AN121" s="59">
        <f ca="1">AVERAGE(OFFSET($AM$3,0,0,'Données projet'!$E$10+1,1))-AVERAGE(OFFSET($H$3,0,0,'Données projet'!$E$10+1,1))</f>
        <v>174.18188687702559</v>
      </c>
      <c r="AO121" s="59">
        <f t="shared" si="90"/>
        <v>32.17353897322738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157.40130726856131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157.40130726856131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0.8600000000003547</v>
      </c>
      <c r="BE121" s="13">
        <f>BD121*VLOOKUP('Données projet'!$B$11,Paramètres!$A$1:$I$89,3,0)*VLOOKUP('Données projet'!$B$11,Paramètres!$A$1:$I$89,5,0)</f>
        <v>0.48074000000019829</v>
      </c>
      <c r="BF121" s="13">
        <f t="shared" si="91"/>
        <v>0.24126147010950588</v>
      </c>
      <c r="BG121" s="20">
        <f t="shared" si="61"/>
        <v>1.2574858937744013</v>
      </c>
      <c r="BH121" s="59">
        <f t="shared" si="62"/>
        <v>294.59081922710772</v>
      </c>
      <c r="BI121" s="59">
        <f ca="1">AVERAGE(OFFSET($BH$3,0,0,'Données projet'!$E$11+1,1))-AVERAGE(OFFSET($H$3,0,0,'Données projet'!$E$11+1,1))</f>
        <v>350.01600895263641</v>
      </c>
      <c r="BJ121" s="59">
        <f t="shared" si="92"/>
        <v>464.08921044376882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106.7685928838377</v>
      </c>
      <c r="BQ121" s="21">
        <f>EXP(-LN(2)/25)*BQ120+(1-EXP(-LN(2)/25))/(LN(2)/25)*Calculateur!BL121*Calculateur!BN121*VLOOKUP('Données projet'!$B$11,Paramètres!$A$1:$I$89,3,0)*0.475*44/12</f>
        <v>4.4083725424946048</v>
      </c>
      <c r="BR121" s="21">
        <f>EXP(-LN(2)/2)*BR120+(1-EXP(-LN(2)/2))/(LN(2)/2)*BL121*BO121*VLOOKUP('Données projet'!$B$11,Paramètres!$A$1:$I$89,3,0)*0.475*44/12</f>
        <v>4.20596125572281E-14</v>
      </c>
      <c r="BS121" s="22">
        <f t="shared" si="63"/>
        <v>111.17696542633234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253.79640000000001</v>
      </c>
      <c r="CA121" s="13">
        <f t="shared" si="93"/>
        <v>61.39816832228076</v>
      </c>
      <c r="CB121" s="20">
        <f t="shared" si="64"/>
        <v>548.96387316130563</v>
      </c>
      <c r="CC121" s="59">
        <f t="shared" si="65"/>
        <v>842.29720649463889</v>
      </c>
      <c r="CD121" s="59">
        <f ca="1">AVERAGE(OFFSET($CC$3,0,0,'Données projet'!$E$12+1,1))-AVERAGE(OFFSET($H$3,0,0,'Données projet'!$E$12+1,1))</f>
        <v>279.49721661620544</v>
      </c>
      <c r="CE121" s="59">
        <f t="shared" si="94"/>
        <v>275.18739333988754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25.050690330679316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25.050690330679316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7.4200000000000017</v>
      </c>
      <c r="CT121" s="12">
        <f>IF('Données projet'!$A$140&gt;35,CT120+CS121-DB120,IF(A121&lt;'Données projet'!$A$140,$CQ$205^A121,IF(A121='Données projet'!$A$140,'Données projet'!$B$140,CT120+CS121-DB120)))</f>
        <v>352.67</v>
      </c>
      <c r="CU121" s="17">
        <f>CT121*VLOOKUP('Données projet'!$B$13,Paramètres!$A$1:$I$89,3,0)*VLOOKUP('Données projet'!$B$13,Paramètres!$A$1:$I$89,5,0)</f>
        <v>357.60738000000003</v>
      </c>
      <c r="CV121" s="13">
        <f t="shared" si="95"/>
        <v>83.126984089770033</v>
      </c>
      <c r="CW121" s="20">
        <f t="shared" si="67"/>
        <v>767.61235078968275</v>
      </c>
      <c r="CX121" s="59">
        <f t="shared" si="68"/>
        <v>1060.945684123016</v>
      </c>
      <c r="CY121" s="59">
        <f ca="1">AVERAGE(OFFSET($CX$3,0,0,'Données projet'!$E$13+1,1))-AVERAGE(OFFSET($H$3,0,0,'Données projet'!$E$13+1,1))</f>
        <v>402.54350692668021</v>
      </c>
      <c r="CZ121" s="59">
        <f t="shared" si="96"/>
        <v>163.60655196884522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94.867371978426306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94.867371978426306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404.00000000000017</v>
      </c>
      <c r="DP121" s="17">
        <f>DO121*VLOOKUP('Données projet'!$B$14,Paramètres!$A$1:$I$89,3,0)*VLOOKUP('Données projet'!$B$14,Paramètres!$A$1:$I$89,5,0)</f>
        <v>346.63200000000018</v>
      </c>
      <c r="DQ121" s="13">
        <f t="shared" si="97"/>
        <v>80.868615263336864</v>
      </c>
      <c r="DR121" s="20">
        <f t="shared" si="70"/>
        <v>744.56357158364528</v>
      </c>
      <c r="DS121" s="59">
        <f t="shared" si="71"/>
        <v>1037.8969049169787</v>
      </c>
      <c r="DT121" s="59">
        <f ca="1">AVERAGE(OFFSET($DS$3,0,0,'Données projet'!$E$14+1,1))-AVERAGE(OFFSET($H$3,0,0,'Données projet'!$E$14+1,1))</f>
        <v>352.76625414822473</v>
      </c>
      <c r="DU121" s="59">
        <f t="shared" si="98"/>
        <v>186.48649111821521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103.99425356729691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103.99425356729691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210.25641030000014</v>
      </c>
      <c r="EK121" s="17">
        <f>EJ121*VLOOKUP('Données projet'!$B$15,Paramètres!$A$1:$I$89,3,0)*VLOOKUP('Données projet'!$B$15,Paramètres!$A$1:$I$89,5,0)</f>
        <v>164.00000003400012</v>
      </c>
      <c r="EL121" s="13">
        <f t="shared" si="99"/>
        <v>41.743425916009095</v>
      </c>
      <c r="EM121" s="20">
        <f t="shared" si="73"/>
        <v>358.3364668629327</v>
      </c>
      <c r="EN121" s="59">
        <f t="shared" si="74"/>
        <v>651.66980019626601</v>
      </c>
      <c r="EO121" s="59">
        <f ca="1">AVERAGE(OFFSET($EN$3,0,0,'Données projet'!$E$15+1,1))-AVERAGE(OFFSET($H$3,0,0,'Données projet'!$E$15+1,1))</f>
        <v>130.66539383144681</v>
      </c>
      <c r="EP121" s="59">
        <f t="shared" si="100"/>
        <v>126.36398121441903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12.237516002562749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12.237516002562749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7.4200000000000017</v>
      </c>
      <c r="FE121" s="12">
        <f>IF('Données projet'!$A$218&gt;35,FE120+FD121-FM120,IF(A121&lt;'Données projet'!$A$218,$FB$205^A121,IF(A121='Données projet'!$A$218,'Données projet'!$B$218,FE120+FD121-FM120)))</f>
        <v>352.67</v>
      </c>
      <c r="FF121" s="17">
        <f>FE121*VLOOKUP('Données projet'!$B$16,Paramètres!$A$1:$I$89,3,0)*VLOOKUP('Données projet'!$B$16,Paramètres!$A$1:$I$89,5,0)</f>
        <v>341.10242400000004</v>
      </c>
      <c r="FG121" s="13">
        <f t="shared" si="101"/>
        <v>79.727671269958165</v>
      </c>
      <c r="FH121" s="20">
        <f t="shared" si="76"/>
        <v>732.94574926184384</v>
      </c>
      <c r="FI121" s="59">
        <f t="shared" si="77"/>
        <v>1026.2790825951772</v>
      </c>
      <c r="FJ121" s="59">
        <f ca="1">AVERAGE(OFFSET($FI$3,0,0,'Données projet'!$E$16+1,1))-AVERAGE(OFFSET($H$3,0,0,'Données projet'!$E$16+1,1))</f>
        <v>380.43199889536805</v>
      </c>
      <c r="FK121" s="59">
        <f t="shared" si="102"/>
        <v>154.72646317672996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90.488877887114342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90.488877887114342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304</v>
      </c>
      <c r="O122" s="13">
        <f>N122*VLOOKUP('Données projet'!$B$9,Paramètres!$A$1:$I$89,3,0)*VLOOKUP('Données projet'!$B$9,Paramètres!$A$1:$I$89,5,0)</f>
        <v>189.696</v>
      </c>
      <c r="P122" s="13">
        <f t="shared" si="87"/>
        <v>47.472736505152469</v>
      </c>
      <c r="Q122" s="20">
        <f t="shared" si="107"/>
        <v>413.06888274647389</v>
      </c>
      <c r="R122" s="59">
        <f t="shared" si="55"/>
        <v>706.4022160798072</v>
      </c>
      <c r="S122" s="59">
        <f ca="1">AVERAGE(OFFSET($R$3,0,0,'Données projet'!$E$9+1,1))-AVERAGE(OFFSET($H$3,0,0,'Données projet'!$E$9+1,1))</f>
        <v>179.44051550872138</v>
      </c>
      <c r="T122" s="59">
        <f t="shared" si="88"/>
        <v>272.9500808380069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21.105724716027765</v>
      </c>
      <c r="AA122" s="21">
        <f>EXP(-LN(2)/25)*AA121+(1-EXP(-LN(2)/25))/(LN(2)/25)*Calculateur!V122*Calculateur!X122*VLOOKUP('Données projet'!$B$9,Paramètres!$A$1:$I$89,3,0)*0.475*44/12</f>
        <v>4.1028401664816343</v>
      </c>
      <c r="AB122" s="21">
        <f>EXP(-LN(2)/2)*AB121+(1-EXP(-LN(2)/2))/(LN(2)/2)*V122*Y122*VLOOKUP('Données projet'!$B$9,Paramètres!$A$1:$I$89,3,0)*0.475*44/12</f>
        <v>8.8743252839879507E-15</v>
      </c>
      <c r="AC122" s="22">
        <f t="shared" si="57"/>
        <v>25.208564882509407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3.2680000000000007</v>
      </c>
      <c r="AI122" s="13">
        <f>IF('Données projet'!$A$62&gt;35,AI121+AH122-AQ121,IF(A122&lt;'Données projet'!$A$62,$AF$205^A122,IF(A122='Données projet'!$A$62,'Données projet'!$B$62,AI121+AH122-AQ121)))</f>
        <v>180.20199999999974</v>
      </c>
      <c r="AJ122" s="13">
        <f>AI122*VLOOKUP('Données projet'!$B$10,Paramètres!$A$1:$I$89,3,0)*VLOOKUP('Données projet'!$B$10,Paramètres!$A$1:$I$89,5,0)</f>
        <v>86.677161999999868</v>
      </c>
      <c r="AK122" s="13">
        <f t="shared" si="89"/>
        <v>23.762090351458376</v>
      </c>
      <c r="AL122" s="20">
        <f t="shared" si="58"/>
        <v>192.34836451212311</v>
      </c>
      <c r="AM122" s="59">
        <f t="shared" si="59"/>
        <v>485.68169784545643</v>
      </c>
      <c r="AN122" s="59">
        <f ca="1">AVERAGE(OFFSET($AM$3,0,0,'Données projet'!$E$10+1,1))-AVERAGE(OFFSET($H$3,0,0,'Données projet'!$E$10+1,1))</f>
        <v>174.18188687702559</v>
      </c>
      <c r="AO122" s="59">
        <f t="shared" si="90"/>
        <v>32.17353897322738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154.31476363834253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154.31476363834253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0.8600000000003547</v>
      </c>
      <c r="BE122" s="13">
        <f>BD122*VLOOKUP('Données projet'!$B$11,Paramètres!$A$1:$I$89,3,0)*VLOOKUP('Données projet'!$B$11,Paramètres!$A$1:$I$89,5,0)</f>
        <v>0.48074000000019829</v>
      </c>
      <c r="BF122" s="13">
        <f t="shared" si="91"/>
        <v>0.24126147010950588</v>
      </c>
      <c r="BG122" s="20">
        <f t="shared" si="61"/>
        <v>1.2574858937744013</v>
      </c>
      <c r="BH122" s="59">
        <f t="shared" si="62"/>
        <v>294.59081922710772</v>
      </c>
      <c r="BI122" s="59">
        <f ca="1">AVERAGE(OFFSET($BH$3,0,0,'Données projet'!$E$11+1,1))-AVERAGE(OFFSET($H$3,0,0,'Données projet'!$E$11+1,1))</f>
        <v>350.01600895263641</v>
      </c>
      <c r="BJ122" s="59">
        <f t="shared" si="92"/>
        <v>464.08921044376882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104.67492589979699</v>
      </c>
      <c r="BQ122" s="21">
        <f>EXP(-LN(2)/25)*BQ121+(1-EXP(-LN(2)/25))/(LN(2)/25)*Calculateur!BL122*Calculateur!BN122*VLOOKUP('Données projet'!$B$11,Paramètres!$A$1:$I$89,3,0)*0.475*44/12</f>
        <v>4.2878253634938535</v>
      </c>
      <c r="BR122" s="21">
        <f>EXP(-LN(2)/2)*BR121+(1-EXP(-LN(2)/2))/(LN(2)/2)*BL122*BO122*VLOOKUP('Données projet'!$B$11,Paramètres!$A$1:$I$89,3,0)*0.475*44/12</f>
        <v>2.9740637253294856E-14</v>
      </c>
      <c r="BS122" s="22">
        <f t="shared" si="63"/>
        <v>108.96275126329087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253.79640000000001</v>
      </c>
      <c r="CA122" s="13">
        <f t="shared" si="93"/>
        <v>61.39816832228076</v>
      </c>
      <c r="CB122" s="20">
        <f t="shared" si="64"/>
        <v>548.96387316130563</v>
      </c>
      <c r="CC122" s="59">
        <f t="shared" si="65"/>
        <v>842.29720649463889</v>
      </c>
      <c r="CD122" s="59">
        <f ca="1">AVERAGE(OFFSET($CC$3,0,0,'Données projet'!$E$12+1,1))-AVERAGE(OFFSET($H$3,0,0,'Données projet'!$E$12+1,1))</f>
        <v>279.49721661620544</v>
      </c>
      <c r="CE122" s="59">
        <f t="shared" si="94"/>
        <v>275.18739333988754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24.559461572707079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24.559461572707079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7.4200000000000017</v>
      </c>
      <c r="CT122" s="12">
        <f>IF('Données projet'!$A$140&gt;35,CT121+CS122-DB121,IF(A122&lt;'Données projet'!$A$140,$CQ$205^A122,IF(A122='Données projet'!$A$140,'Données projet'!$B$140,CT121+CS122-DB121)))</f>
        <v>360.09000000000003</v>
      </c>
      <c r="CU122" s="17">
        <f>CT122*VLOOKUP('Données projet'!$B$13,Paramètres!$A$1:$I$89,3,0)*VLOOKUP('Données projet'!$B$13,Paramètres!$A$1:$I$89,5,0)</f>
        <v>365.13126000000005</v>
      </c>
      <c r="CV122" s="13">
        <f t="shared" si="95"/>
        <v>84.67047871999543</v>
      </c>
      <c r="CW122" s="20">
        <f t="shared" si="67"/>
        <v>783.40469493732542</v>
      </c>
      <c r="CX122" s="59">
        <f t="shared" si="68"/>
        <v>1076.7380282706588</v>
      </c>
      <c r="CY122" s="59">
        <f ca="1">AVERAGE(OFFSET($CX$3,0,0,'Données projet'!$E$13+1,1))-AVERAGE(OFFSET($H$3,0,0,'Données projet'!$E$13+1,1))</f>
        <v>402.54350692668021</v>
      </c>
      <c r="CZ122" s="59">
        <f t="shared" si="96"/>
        <v>163.60655196884522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93.007080677312743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93.007080677312743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404.00000000000017</v>
      </c>
      <c r="DP122" s="17">
        <f>DO122*VLOOKUP('Données projet'!$B$14,Paramètres!$A$1:$I$89,3,0)*VLOOKUP('Données projet'!$B$14,Paramètres!$A$1:$I$89,5,0)</f>
        <v>346.63200000000018</v>
      </c>
      <c r="DQ122" s="13">
        <f t="shared" si="97"/>
        <v>80.868615263336864</v>
      </c>
      <c r="DR122" s="20">
        <f t="shared" si="70"/>
        <v>744.56357158364528</v>
      </c>
      <c r="DS122" s="59">
        <f t="shared" si="71"/>
        <v>1037.8969049169787</v>
      </c>
      <c r="DT122" s="59">
        <f ca="1">AVERAGE(OFFSET($DS$3,0,0,'Données projet'!$E$14+1,1))-AVERAGE(OFFSET($H$3,0,0,'Données projet'!$E$14+1,1))</f>
        <v>352.76625414822473</v>
      </c>
      <c r="DU122" s="59">
        <f t="shared" si="98"/>
        <v>186.48649111821521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101.95498968507367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101.95498968507367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210.25641030000014</v>
      </c>
      <c r="EK122" s="17">
        <f>EJ122*VLOOKUP('Données projet'!$B$15,Paramètres!$A$1:$I$89,3,0)*VLOOKUP('Données projet'!$B$15,Paramètres!$A$1:$I$89,5,0)</f>
        <v>164.00000003400012</v>
      </c>
      <c r="EL122" s="13">
        <f t="shared" si="99"/>
        <v>41.743425916009095</v>
      </c>
      <c r="EM122" s="20">
        <f t="shared" si="73"/>
        <v>358.3364668629327</v>
      </c>
      <c r="EN122" s="59">
        <f t="shared" si="74"/>
        <v>651.66980019626601</v>
      </c>
      <c r="EO122" s="59">
        <f ca="1">AVERAGE(OFFSET($EN$3,0,0,'Données projet'!$E$15+1,1))-AVERAGE(OFFSET($H$3,0,0,'Données projet'!$E$15+1,1))</f>
        <v>130.66539383144681</v>
      </c>
      <c r="EP122" s="59">
        <f t="shared" si="100"/>
        <v>126.36398121441903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11.997545777900232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11.997545777900232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7.4200000000000017</v>
      </c>
      <c r="FE122" s="12">
        <f>IF('Données projet'!$A$218&gt;35,FE121+FD122-FM121,IF(A122&lt;'Données projet'!$A$218,$FB$205^A122,IF(A122='Données projet'!$A$218,'Données projet'!$B$218,FE121+FD122-FM121)))</f>
        <v>360.09000000000003</v>
      </c>
      <c r="FF122" s="17">
        <f>FE122*VLOOKUP('Données projet'!$B$16,Paramètres!$A$1:$I$89,3,0)*VLOOKUP('Données projet'!$B$16,Paramètres!$A$1:$I$89,5,0)</f>
        <v>348.27904800000005</v>
      </c>
      <c r="FG122" s="13">
        <f t="shared" si="101"/>
        <v>81.208047754598297</v>
      </c>
      <c r="FH122" s="20">
        <f t="shared" si="76"/>
        <v>748.02335843925869</v>
      </c>
      <c r="FI122" s="59">
        <f t="shared" si="77"/>
        <v>1041.3566917725921</v>
      </c>
      <c r="FJ122" s="59">
        <f ca="1">AVERAGE(OFFSET($FI$3,0,0,'Données projet'!$E$16+1,1))-AVERAGE(OFFSET($H$3,0,0,'Données projet'!$E$16+1,1))</f>
        <v>380.43199889536805</v>
      </c>
      <c r="FK122" s="59">
        <f t="shared" si="102"/>
        <v>154.72646317672996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88.714446184513704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88.714446184513704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304</v>
      </c>
      <c r="O123" s="13">
        <f>N123*VLOOKUP('Données projet'!$B$9,Paramètres!$A$1:$I$89,3,0)*VLOOKUP('Données projet'!$B$9,Paramètres!$A$1:$I$89,5,0)</f>
        <v>189.696</v>
      </c>
      <c r="P123" s="13">
        <f t="shared" si="87"/>
        <v>47.472736505152469</v>
      </c>
      <c r="Q123" s="20">
        <f t="shared" si="107"/>
        <v>413.06888274647389</v>
      </c>
      <c r="R123" s="59">
        <f t="shared" si="55"/>
        <v>706.4022160798072</v>
      </c>
      <c r="S123" s="59">
        <f ca="1">AVERAGE(OFFSET($R$3,0,0,'Données projet'!$E$9+1,1))-AVERAGE(OFFSET($H$3,0,0,'Données projet'!$E$9+1,1))</f>
        <v>179.44051550872138</v>
      </c>
      <c r="T123" s="59">
        <f t="shared" si="88"/>
        <v>272.9500808380069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20.691854327567412</v>
      </c>
      <c r="AA123" s="21">
        <f>EXP(-LN(2)/25)*AA122+(1-EXP(-LN(2)/25))/(LN(2)/25)*Calculateur!V123*Calculateur!X123*VLOOKUP('Données projet'!$B$9,Paramètres!$A$1:$I$89,3,0)*0.475*44/12</f>
        <v>3.9906477863702068</v>
      </c>
      <c r="AB123" s="21">
        <f>EXP(-LN(2)/2)*AB122+(1-EXP(-LN(2)/2))/(LN(2)/2)*V123*Y123*VLOOKUP('Données projet'!$B$9,Paramètres!$A$1:$I$89,3,0)*0.475*44/12</f>
        <v>6.2750955867631141E-15</v>
      </c>
      <c r="AC123" s="22">
        <f t="shared" si="57"/>
        <v>24.682502113937627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183.47</v>
      </c>
      <c r="AG123" s="12">
        <f>VLOOKUP(A123,'Données projet'!$A$61:$I$81,9,0)</f>
        <v>3.2680000000000007</v>
      </c>
      <c r="AH123" s="12">
        <f t="array" ref="AH123">INDEX(AG:AG,MIN(IF(ISNUMBER(AG123:AG319),ROW(AG123:AG319),"")))</f>
        <v>3.2680000000000007</v>
      </c>
      <c r="AI123" s="13">
        <f>IF('Données projet'!$A$62&gt;35,AI122+AH123-AQ122,IF(A123&lt;'Données projet'!$A$62,$AF$205^A123,IF(A123='Données projet'!$A$62,'Données projet'!$B$62,AI122+AH123-AQ122)))</f>
        <v>183.46999999999974</v>
      </c>
      <c r="AJ123" s="13">
        <f>AI123*VLOOKUP('Données projet'!$B$10,Paramètres!$A$1:$I$89,3,0)*VLOOKUP('Données projet'!$B$10,Paramètres!$A$1:$I$89,5,0)</f>
        <v>88.249069999999875</v>
      </c>
      <c r="AK123" s="13">
        <f t="shared" si="89"/>
        <v>24.14246120594661</v>
      </c>
      <c r="AL123" s="20">
        <f t="shared" si="58"/>
        <v>195.74858351702343</v>
      </c>
      <c r="AM123" s="59">
        <f t="shared" si="59"/>
        <v>489.08191685035672</v>
      </c>
      <c r="AN123" s="59">
        <f ca="1">AVERAGE(OFFSET($AM$3,0,0,'Données projet'!$E$10+1,1))-AVERAGE(OFFSET($H$3,0,0,'Données projet'!$E$10+1,1))</f>
        <v>174.18188687702559</v>
      </c>
      <c r="AO123" s="59">
        <f t="shared" si="90"/>
        <v>32.17353897322738</v>
      </c>
      <c r="AP123" s="15">
        <f>IF(ISNA(VLOOKUP(A123,'Données projet'!$A$61:$I$81,3,0)),0,VLOOKUP(A123,'Données projet'!$A$61:$I$81,3,0))</f>
        <v>8</v>
      </c>
      <c r="AQ123" s="15">
        <f>IF(ISNA(VLOOKUP(A123,'Données projet'!$A$61:$I$81,4,0)),0,VLOOKUP(A123,'Données projet'!$A$61:$I$81,4,0))</f>
        <v>180.97</v>
      </c>
      <c r="AR123" s="16">
        <f>IF(ISNA(VLOOKUP(A123,'Données projet'!$A$61:$I$81,5,0)),0%,VLOOKUP(A123,'Données projet'!$A$61:$I$81,5,0)*VLOOKUP('Données projet'!$B$10,Paramètres!$A$1:$I$89,7,0))</f>
        <v>0.55000000000000004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214.79883239756802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214.79883239756802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0.8600000000003547</v>
      </c>
      <c r="BE123" s="13">
        <f>BD123*VLOOKUP('Données projet'!$B$11,Paramètres!$A$1:$I$89,3,0)*VLOOKUP('Données projet'!$B$11,Paramètres!$A$1:$I$89,5,0)</f>
        <v>0.48074000000019829</v>
      </c>
      <c r="BF123" s="13">
        <f t="shared" si="91"/>
        <v>0.24126147010950588</v>
      </c>
      <c r="BG123" s="20">
        <f t="shared" si="61"/>
        <v>1.2574858937744013</v>
      </c>
      <c r="BH123" s="59">
        <f t="shared" si="62"/>
        <v>294.59081922710772</v>
      </c>
      <c r="BI123" s="59">
        <f ca="1">AVERAGE(OFFSET($BH$3,0,0,'Données projet'!$E$11+1,1))-AVERAGE(OFFSET($H$3,0,0,'Données projet'!$E$11+1,1))</f>
        <v>350.01600895263641</v>
      </c>
      <c r="BJ123" s="59">
        <f t="shared" si="92"/>
        <v>464.08921044376882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102.62231444830256</v>
      </c>
      <c r="BQ123" s="21">
        <f>EXP(-LN(2)/25)*BQ122+(1-EXP(-LN(2)/25))/(LN(2)/25)*Calculateur!BL123*Calculateur!BN123*VLOOKUP('Données projet'!$B$11,Paramètres!$A$1:$I$89,3,0)*0.475*44/12</f>
        <v>4.1705745534421785</v>
      </c>
      <c r="BR123" s="21">
        <f>EXP(-LN(2)/2)*BR122+(1-EXP(-LN(2)/2))/(LN(2)/2)*BL123*BO123*VLOOKUP('Données projet'!$B$11,Paramètres!$A$1:$I$89,3,0)*0.475*44/12</f>
        <v>2.102980627861405E-14</v>
      </c>
      <c r="BS123" s="22">
        <f t="shared" si="63"/>
        <v>106.79288900174475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253.79640000000001</v>
      </c>
      <c r="CA123" s="13">
        <f t="shared" si="93"/>
        <v>61.39816832228076</v>
      </c>
      <c r="CB123" s="20">
        <f t="shared" si="64"/>
        <v>548.96387316130563</v>
      </c>
      <c r="CC123" s="59">
        <f t="shared" si="65"/>
        <v>842.29720649463889</v>
      </c>
      <c r="CD123" s="59">
        <f ca="1">AVERAGE(OFFSET($CC$3,0,0,'Données projet'!$E$12+1,1))-AVERAGE(OFFSET($H$3,0,0,'Données projet'!$E$12+1,1))</f>
        <v>279.49721661620544</v>
      </c>
      <c r="CE123" s="59">
        <f t="shared" si="94"/>
        <v>275.18739333988754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24.077865511058722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24.077865511058722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7.4200000000000017</v>
      </c>
      <c r="CT123" s="12">
        <f>IF('Données projet'!$A$140&gt;35,CT122+CS123-DB122,IF(A123&lt;'Données projet'!$A$140,$CQ$205^A123,IF(A123='Données projet'!$A$140,'Données projet'!$B$140,CT122+CS123-DB122)))</f>
        <v>367.51000000000005</v>
      </c>
      <c r="CU123" s="17">
        <f>CT123*VLOOKUP('Données projet'!$B$13,Paramètres!$A$1:$I$89,3,0)*VLOOKUP('Données projet'!$B$13,Paramètres!$A$1:$I$89,5,0)</f>
        <v>372.65514000000007</v>
      </c>
      <c r="CV123" s="13">
        <f t="shared" si="95"/>
        <v>86.210275385998216</v>
      </c>
      <c r="CW123" s="20">
        <f t="shared" si="67"/>
        <v>799.19059846394703</v>
      </c>
      <c r="CX123" s="59">
        <f t="shared" si="68"/>
        <v>1092.5239317972803</v>
      </c>
      <c r="CY123" s="59">
        <f ca="1">AVERAGE(OFFSET($CX$3,0,0,'Données projet'!$E$13+1,1))-AVERAGE(OFFSET($H$3,0,0,'Données projet'!$E$13+1,1))</f>
        <v>402.54350692668021</v>
      </c>
      <c r="CZ123" s="59">
        <f t="shared" si="96"/>
        <v>163.60655196884522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91.183268553948352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91.183268553948352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404.00000000000017</v>
      </c>
      <c r="DP123" s="17">
        <f>DO123*VLOOKUP('Données projet'!$B$14,Paramètres!$A$1:$I$89,3,0)*VLOOKUP('Données projet'!$B$14,Paramètres!$A$1:$I$89,5,0)</f>
        <v>346.63200000000018</v>
      </c>
      <c r="DQ123" s="13">
        <f t="shared" si="97"/>
        <v>80.868615263336864</v>
      </c>
      <c r="DR123" s="20">
        <f t="shared" si="70"/>
        <v>744.56357158364528</v>
      </c>
      <c r="DS123" s="59">
        <f t="shared" si="71"/>
        <v>1037.8969049169787</v>
      </c>
      <c r="DT123" s="59">
        <f ca="1">AVERAGE(OFFSET($DS$3,0,0,'Données projet'!$E$14+1,1))-AVERAGE(OFFSET($H$3,0,0,'Données projet'!$E$14+1,1))</f>
        <v>352.76625414822473</v>
      </c>
      <c r="DU123" s="59">
        <f t="shared" si="98"/>
        <v>186.48649111821521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99.95571452375269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99.95571452375269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210.25641030000014</v>
      </c>
      <c r="EK123" s="17">
        <f>EJ123*VLOOKUP('Données projet'!$B$15,Paramètres!$A$1:$I$89,3,0)*VLOOKUP('Données projet'!$B$15,Paramètres!$A$1:$I$89,5,0)</f>
        <v>164.00000003400012</v>
      </c>
      <c r="EL123" s="13">
        <f t="shared" si="99"/>
        <v>41.743425916009095</v>
      </c>
      <c r="EM123" s="20">
        <f t="shared" si="73"/>
        <v>358.3364668629327</v>
      </c>
      <c r="EN123" s="59">
        <f t="shared" si="74"/>
        <v>651.66980019626601</v>
      </c>
      <c r="EO123" s="59">
        <f ca="1">AVERAGE(OFFSET($EN$3,0,0,'Données projet'!$E$15+1,1))-AVERAGE(OFFSET($H$3,0,0,'Données projet'!$E$15+1,1))</f>
        <v>130.66539383144681</v>
      </c>
      <c r="EP123" s="59">
        <f t="shared" si="100"/>
        <v>126.36398121441903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11.762281222975963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11.762281222975963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7.4200000000000017</v>
      </c>
      <c r="FE123" s="12">
        <f>IF('Données projet'!$A$218&gt;35,FE122+FD123-FM122,IF(A123&lt;'Données projet'!$A$218,$FB$205^A123,IF(A123='Données projet'!$A$218,'Données projet'!$B$218,FE122+FD123-FM122)))</f>
        <v>367.51000000000005</v>
      </c>
      <c r="FF123" s="17">
        <f>FE123*VLOOKUP('Données projet'!$B$16,Paramètres!$A$1:$I$89,3,0)*VLOOKUP('Données projet'!$B$16,Paramètres!$A$1:$I$89,5,0)</f>
        <v>355.45567200000005</v>
      </c>
      <c r="FG123" s="13">
        <f t="shared" si="101"/>
        <v>82.68487749591398</v>
      </c>
      <c r="FH123" s="20">
        <f t="shared" si="76"/>
        <v>763.09479037205017</v>
      </c>
      <c r="FI123" s="59">
        <f t="shared" si="77"/>
        <v>1056.4281237053835</v>
      </c>
      <c r="FJ123" s="59">
        <f ca="1">AVERAGE(OFFSET($FI$3,0,0,'Données projet'!$E$16+1,1))-AVERAGE(OFFSET($H$3,0,0,'Données projet'!$E$16+1,1))</f>
        <v>380.43199889536805</v>
      </c>
      <c r="FK123" s="59">
        <f t="shared" si="102"/>
        <v>154.72646317672996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86.974810005304604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86.974810005304604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304</v>
      </c>
      <c r="O124" s="13">
        <f>N124*VLOOKUP('Données projet'!$B$9,Paramètres!$A$1:$I$89,3,0)*VLOOKUP('Données projet'!$B$9,Paramètres!$A$1:$I$89,5,0)</f>
        <v>189.696</v>
      </c>
      <c r="P124" s="13">
        <f t="shared" si="87"/>
        <v>47.472736505152469</v>
      </c>
      <c r="Q124" s="20">
        <f t="shared" si="107"/>
        <v>413.06888274647389</v>
      </c>
      <c r="R124" s="59">
        <f t="shared" si="55"/>
        <v>706.4022160798072</v>
      </c>
      <c r="S124" s="59">
        <f ca="1">AVERAGE(OFFSET($R$3,0,0,'Données projet'!$E$9+1,1))-AVERAGE(OFFSET($H$3,0,0,'Données projet'!$E$9+1,1))</f>
        <v>179.44051550872138</v>
      </c>
      <c r="T124" s="59">
        <f t="shared" si="88"/>
        <v>272.9500808380069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20.286099684988756</v>
      </c>
      <c r="AA124" s="21">
        <f>EXP(-LN(2)/25)*AA123+(1-EXP(-LN(2)/25))/(LN(2)/25)*Calculateur!V124*Calculateur!X124*VLOOKUP('Données projet'!$B$9,Paramètres!$A$1:$I$89,3,0)*0.475*44/12</f>
        <v>3.8815233127928672</v>
      </c>
      <c r="AB124" s="21">
        <f>EXP(-LN(2)/2)*AB123+(1-EXP(-LN(2)/2))/(LN(2)/2)*V124*Y124*VLOOKUP('Données projet'!$B$9,Paramètres!$A$1:$I$89,3,0)*0.475*44/12</f>
        <v>4.4371626419939753E-15</v>
      </c>
      <c r="AC124" s="22">
        <f t="shared" si="57"/>
        <v>24.167622997781628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2.4999999999997442</v>
      </c>
      <c r="AJ124" s="13">
        <f>AI124*VLOOKUP('Données projet'!$B$10,Paramètres!$A$1:$I$89,3,0)*VLOOKUP('Données projet'!$B$10,Paramètres!$A$1:$I$89,5,0)</f>
        <v>1.2024999999998769</v>
      </c>
      <c r="AK124" s="13">
        <f t="shared" si="89"/>
        <v>0.54239446125464896</v>
      </c>
      <c r="AL124" s="20">
        <f t="shared" si="58"/>
        <v>3.0390245200182986</v>
      </c>
      <c r="AM124" s="59">
        <f t="shared" si="59"/>
        <v>296.37235785335162</v>
      </c>
      <c r="AN124" s="59">
        <f ca="1">AVERAGE(OFFSET($AM$3,0,0,'Données projet'!$E$10+1,1))-AVERAGE(OFFSET($H$3,0,0,'Données projet'!$E$10+1,1))</f>
        <v>174.18188687702559</v>
      </c>
      <c r="AO124" s="59">
        <f t="shared" si="90"/>
        <v>32.17353897322738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210.58675830860287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210.58675830860287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0.8600000000003547</v>
      </c>
      <c r="BE124" s="13">
        <f>BD124*VLOOKUP('Données projet'!$B$11,Paramètres!$A$1:$I$89,3,0)*VLOOKUP('Données projet'!$B$11,Paramètres!$A$1:$I$89,5,0)</f>
        <v>0.48074000000019829</v>
      </c>
      <c r="BF124" s="13">
        <f t="shared" si="91"/>
        <v>0.24126147010950588</v>
      </c>
      <c r="BG124" s="20">
        <f t="shared" si="61"/>
        <v>1.2574858937744013</v>
      </c>
      <c r="BH124" s="59">
        <f t="shared" si="62"/>
        <v>294.59081922710772</v>
      </c>
      <c r="BI124" s="59">
        <f ca="1">AVERAGE(OFFSET($BH$3,0,0,'Données projet'!$E$11+1,1))-AVERAGE(OFFSET($H$3,0,0,'Données projet'!$E$11+1,1))</f>
        <v>350.01600895263641</v>
      </c>
      <c r="BJ124" s="59">
        <f t="shared" si="92"/>
        <v>464.08921044376882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100.60995345540258</v>
      </c>
      <c r="BQ124" s="21">
        <f>EXP(-LN(2)/25)*BQ123+(1-EXP(-LN(2)/25))/(LN(2)/25)*Calculateur!BL124*Calculateur!BN124*VLOOKUP('Données projet'!$B$11,Paramètres!$A$1:$I$89,3,0)*0.475*44/12</f>
        <v>4.0565299729573185</v>
      </c>
      <c r="BR124" s="21">
        <f>EXP(-LN(2)/2)*BR123+(1-EXP(-LN(2)/2))/(LN(2)/2)*BL124*BO124*VLOOKUP('Données projet'!$B$11,Paramètres!$A$1:$I$89,3,0)*0.475*44/12</f>
        <v>1.4870318626647428E-14</v>
      </c>
      <c r="BS124" s="22">
        <f t="shared" si="63"/>
        <v>104.66648342835991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253.79640000000001</v>
      </c>
      <c r="CA124" s="13">
        <f t="shared" si="93"/>
        <v>61.39816832228076</v>
      </c>
      <c r="CB124" s="20">
        <f t="shared" si="64"/>
        <v>548.96387316130563</v>
      </c>
      <c r="CC124" s="59">
        <f t="shared" si="65"/>
        <v>842.29720649463889</v>
      </c>
      <c r="CD124" s="59">
        <f ca="1">AVERAGE(OFFSET($CC$3,0,0,'Données projet'!$E$12+1,1))-AVERAGE(OFFSET($H$3,0,0,'Données projet'!$E$12+1,1))</f>
        <v>279.49721661620544</v>
      </c>
      <c r="CE124" s="59">
        <f t="shared" si="94"/>
        <v>275.18739333988754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23.605713254434693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23.605713254434693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7.4200000000000017</v>
      </c>
      <c r="CT124" s="12">
        <f>IF('Données projet'!$A$140&gt;35,CT123+CS124-DB123,IF(A124&lt;'Données projet'!$A$140,$CQ$205^A124,IF(A124='Données projet'!$A$140,'Données projet'!$B$140,CT123+CS124-DB123)))</f>
        <v>374.93000000000006</v>
      </c>
      <c r="CU124" s="17">
        <f>CT124*VLOOKUP('Données projet'!$B$13,Paramètres!$A$1:$I$89,3,0)*VLOOKUP('Données projet'!$B$13,Paramètres!$A$1:$I$89,5,0)</f>
        <v>380.17902000000009</v>
      </c>
      <c r="CV124" s="13">
        <f t="shared" si="95"/>
        <v>87.746457353570278</v>
      </c>
      <c r="CW124" s="20">
        <f t="shared" si="67"/>
        <v>814.97020639080176</v>
      </c>
      <c r="CX124" s="59">
        <f t="shared" si="68"/>
        <v>1108.3035397241351</v>
      </c>
      <c r="CY124" s="59">
        <f ca="1">AVERAGE(OFFSET($CX$3,0,0,'Données projet'!$E$13+1,1))-AVERAGE(OFFSET($H$3,0,0,'Données projet'!$E$13+1,1))</f>
        <v>402.54350692668021</v>
      </c>
      <c r="CZ124" s="59">
        <f t="shared" si="96"/>
        <v>163.60655196884522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89.395220273907583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89.395220273907583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404.00000000000017</v>
      </c>
      <c r="DP124" s="17">
        <f>DO124*VLOOKUP('Données projet'!$B$14,Paramètres!$A$1:$I$89,3,0)*VLOOKUP('Données projet'!$B$14,Paramètres!$A$1:$I$89,5,0)</f>
        <v>346.63200000000018</v>
      </c>
      <c r="DQ124" s="13">
        <f t="shared" si="97"/>
        <v>80.868615263336864</v>
      </c>
      <c r="DR124" s="20">
        <f t="shared" si="70"/>
        <v>744.56357158364528</v>
      </c>
      <c r="DS124" s="59">
        <f t="shared" si="71"/>
        <v>1037.8969049169787</v>
      </c>
      <c r="DT124" s="59">
        <f ca="1">AVERAGE(OFFSET($DS$3,0,0,'Données projet'!$E$14+1,1))-AVERAGE(OFFSET($H$3,0,0,'Données projet'!$E$14+1,1))</f>
        <v>352.76625414822473</v>
      </c>
      <c r="DU124" s="59">
        <f t="shared" si="98"/>
        <v>186.48649111821521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97.995643928907768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97.995643928907768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210.25641030000014</v>
      </c>
      <c r="EK124" s="17">
        <f>EJ124*VLOOKUP('Données projet'!$B$15,Paramètres!$A$1:$I$89,3,0)*VLOOKUP('Données projet'!$B$15,Paramètres!$A$1:$I$89,5,0)</f>
        <v>164.00000003400012</v>
      </c>
      <c r="EL124" s="13">
        <f t="shared" si="99"/>
        <v>41.743425916009095</v>
      </c>
      <c r="EM124" s="20">
        <f t="shared" si="73"/>
        <v>358.3364668629327</v>
      </c>
      <c r="EN124" s="59">
        <f t="shared" si="74"/>
        <v>651.66980019626601</v>
      </c>
      <c r="EO124" s="59">
        <f ca="1">AVERAGE(OFFSET($EN$3,0,0,'Données projet'!$E$15+1,1))-AVERAGE(OFFSET($H$3,0,0,'Données projet'!$E$15+1,1))</f>
        <v>130.66539383144681</v>
      </c>
      <c r="EP124" s="59">
        <f t="shared" si="100"/>
        <v>126.36398121441903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11.531630062476548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11.531630062476548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7.4200000000000017</v>
      </c>
      <c r="FE124" s="12">
        <f>IF('Données projet'!$A$218&gt;35,FE123+FD124-FM123,IF(A124&lt;'Données projet'!$A$218,$FB$205^A124,IF(A124='Données projet'!$A$218,'Données projet'!$B$218,FE123+FD124-FM123)))</f>
        <v>374.93000000000006</v>
      </c>
      <c r="FF124" s="17">
        <f>FE124*VLOOKUP('Données projet'!$B$16,Paramètres!$A$1:$I$89,3,0)*VLOOKUP('Données projet'!$B$16,Paramètres!$A$1:$I$89,5,0)</f>
        <v>362.63229600000005</v>
      </c>
      <c r="FG124" s="13">
        <f t="shared" si="101"/>
        <v>84.158240354708084</v>
      </c>
      <c r="FH124" s="20">
        <f t="shared" si="76"/>
        <v>778.1601841511166</v>
      </c>
      <c r="FI124" s="59">
        <f t="shared" si="77"/>
        <v>1071.49351748445</v>
      </c>
      <c r="FJ124" s="59">
        <f ca="1">AVERAGE(OFFSET($FI$3,0,0,'Données projet'!$E$16+1,1))-AVERAGE(OFFSET($H$3,0,0,'Données projet'!$E$16+1,1))</f>
        <v>380.43199889536805</v>
      </c>
      <c r="FK124" s="59">
        <f t="shared" si="102"/>
        <v>154.72646317672996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85.269287030496486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85.269287030496486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304</v>
      </c>
      <c r="O125" s="13">
        <f>N125*VLOOKUP('Données projet'!$B$9,Paramètres!$A$1:$I$89,3,0)*VLOOKUP('Données projet'!$B$9,Paramètres!$A$1:$I$89,5,0)</f>
        <v>189.696</v>
      </c>
      <c r="P125" s="13">
        <f t="shared" si="87"/>
        <v>47.472736505152469</v>
      </c>
      <c r="Q125" s="20">
        <f t="shared" si="107"/>
        <v>413.06888274647389</v>
      </c>
      <c r="R125" s="59">
        <f t="shared" si="55"/>
        <v>706.4022160798072</v>
      </c>
      <c r="S125" s="59">
        <f ca="1">AVERAGE(OFFSET($R$3,0,0,'Données projet'!$E$9+1,1))-AVERAGE(OFFSET($H$3,0,0,'Données projet'!$E$9+1,1))</f>
        <v>179.44051550872138</v>
      </c>
      <c r="T125" s="59">
        <f t="shared" si="88"/>
        <v>272.9500808380069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19.888301643465173</v>
      </c>
      <c r="AA125" s="21">
        <f>EXP(-LN(2)/25)*AA124+(1-EXP(-LN(2)/25))/(LN(2)/25)*Calculateur!V125*Calculateur!X125*VLOOKUP('Données projet'!$B$9,Paramètres!$A$1:$I$89,3,0)*0.475*44/12</f>
        <v>3.7753828536841065</v>
      </c>
      <c r="AB125" s="21">
        <f>EXP(-LN(2)/2)*AB124+(1-EXP(-LN(2)/2))/(LN(2)/2)*V125*Y125*VLOOKUP('Données projet'!$B$9,Paramètres!$A$1:$I$89,3,0)*0.475*44/12</f>
        <v>3.1375477933815571E-15</v>
      </c>
      <c r="AC125" s="22">
        <f t="shared" si="57"/>
        <v>23.663684497149283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2.4999999999997442</v>
      </c>
      <c r="AJ125" s="13">
        <f>AI125*VLOOKUP('Données projet'!$B$10,Paramètres!$A$1:$I$89,3,0)*VLOOKUP('Données projet'!$B$10,Paramètres!$A$1:$I$89,5,0)</f>
        <v>1.2024999999998769</v>
      </c>
      <c r="AK125" s="13">
        <f t="shared" si="89"/>
        <v>0.54239446125464896</v>
      </c>
      <c r="AL125" s="20">
        <f t="shared" si="58"/>
        <v>3.0390245200182986</v>
      </c>
      <c r="AM125" s="59">
        <f t="shared" si="59"/>
        <v>296.37235785335162</v>
      </c>
      <c r="AN125" s="59">
        <f ca="1">AVERAGE(OFFSET($AM$3,0,0,'Données projet'!$E$10+1,1))-AVERAGE(OFFSET($H$3,0,0,'Données projet'!$E$10+1,1))</f>
        <v>174.18188687702559</v>
      </c>
      <c r="AO125" s="59">
        <f t="shared" si="90"/>
        <v>32.17353897322738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206.45728042341082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206.45728042341082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0.8600000000003547</v>
      </c>
      <c r="BE125" s="13">
        <f>BD125*VLOOKUP('Données projet'!$B$11,Paramètres!$A$1:$I$89,3,0)*VLOOKUP('Données projet'!$B$11,Paramètres!$A$1:$I$89,5,0)</f>
        <v>0.48074000000019829</v>
      </c>
      <c r="BF125" s="13">
        <f t="shared" si="91"/>
        <v>0.24126147010950588</v>
      </c>
      <c r="BG125" s="20">
        <f t="shared" si="61"/>
        <v>1.2574858937744013</v>
      </c>
      <c r="BH125" s="59">
        <f t="shared" si="62"/>
        <v>294.59081922710772</v>
      </c>
      <c r="BI125" s="59">
        <f ca="1">AVERAGE(OFFSET($BH$3,0,0,'Données projet'!$E$11+1,1))-AVERAGE(OFFSET($H$3,0,0,'Données projet'!$E$11+1,1))</f>
        <v>350.01600895263641</v>
      </c>
      <c r="BJ125" s="59">
        <f t="shared" si="92"/>
        <v>464.08921044376882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98.637053634154341</v>
      </c>
      <c r="BQ125" s="21">
        <f>EXP(-LN(2)/25)*BQ124+(1-EXP(-LN(2)/25))/(LN(2)/25)*Calculateur!BL125*Calculateur!BN125*VLOOKUP('Données projet'!$B$11,Paramètres!$A$1:$I$89,3,0)*0.475*44/12</f>
        <v>3.9456039475231606</v>
      </c>
      <c r="BR125" s="21">
        <f>EXP(-LN(2)/2)*BR124+(1-EXP(-LN(2)/2))/(LN(2)/2)*BL125*BO125*VLOOKUP('Données projet'!$B$11,Paramètres!$A$1:$I$89,3,0)*0.475*44/12</f>
        <v>1.0514903139307025E-14</v>
      </c>
      <c r="BS125" s="22">
        <f t="shared" si="63"/>
        <v>102.58265758167751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253.79640000000001</v>
      </c>
      <c r="CA125" s="13">
        <f t="shared" si="93"/>
        <v>61.39816832228076</v>
      </c>
      <c r="CB125" s="20">
        <f t="shared" si="64"/>
        <v>548.96387316130563</v>
      </c>
      <c r="CC125" s="59">
        <f t="shared" si="65"/>
        <v>842.29720649463889</v>
      </c>
      <c r="CD125" s="59">
        <f ca="1">AVERAGE(OFFSET($CC$3,0,0,'Données projet'!$E$12+1,1))-AVERAGE(OFFSET($H$3,0,0,'Données projet'!$E$12+1,1))</f>
        <v>279.49721661620544</v>
      </c>
      <c r="CE125" s="59">
        <f t="shared" si="94"/>
        <v>275.18739333988754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23.142819615578624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23.142819615578624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7.4200000000000017</v>
      </c>
      <c r="CT125" s="12">
        <f>IF('Données projet'!$A$140&gt;35,CT124+CS125-DB124,IF(A125&lt;'Données projet'!$A$140,$CQ$205^A125,IF(A125='Données projet'!$A$140,'Données projet'!$B$140,CT124+CS125-DB124)))</f>
        <v>382.35000000000008</v>
      </c>
      <c r="CU125" s="17">
        <f>CT125*VLOOKUP('Données projet'!$B$13,Paramètres!$A$1:$I$89,3,0)*VLOOKUP('Données projet'!$B$13,Paramètres!$A$1:$I$89,5,0)</f>
        <v>387.70290000000011</v>
      </c>
      <c r="CV125" s="13">
        <f t="shared" si="95"/>
        <v>89.27910440430442</v>
      </c>
      <c r="CW125" s="20">
        <f t="shared" si="67"/>
        <v>830.74365767083043</v>
      </c>
      <c r="CX125" s="59">
        <f t="shared" si="68"/>
        <v>1124.0769910041638</v>
      </c>
      <c r="CY125" s="59">
        <f ca="1">AVERAGE(OFFSET($CX$3,0,0,'Données projet'!$E$13+1,1))-AVERAGE(OFFSET($H$3,0,0,'Données projet'!$E$13+1,1))</f>
        <v>402.54350692668021</v>
      </c>
      <c r="CZ125" s="59">
        <f t="shared" si="96"/>
        <v>163.60655196884522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87.64223453003666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87.64223453003666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404.00000000000017</v>
      </c>
      <c r="DP125" s="17">
        <f>DO125*VLOOKUP('Données projet'!$B$14,Paramètres!$A$1:$I$89,3,0)*VLOOKUP('Données projet'!$B$14,Paramètres!$A$1:$I$89,5,0)</f>
        <v>346.63200000000018</v>
      </c>
      <c r="DQ125" s="13">
        <f t="shared" si="97"/>
        <v>80.868615263336864</v>
      </c>
      <c r="DR125" s="20">
        <f t="shared" si="70"/>
        <v>744.56357158364528</v>
      </c>
      <c r="DS125" s="59">
        <f t="shared" si="71"/>
        <v>1037.8969049169787</v>
      </c>
      <c r="DT125" s="59">
        <f ca="1">AVERAGE(OFFSET($DS$3,0,0,'Données projet'!$E$14+1,1))-AVERAGE(OFFSET($H$3,0,0,'Données projet'!$E$14+1,1))</f>
        <v>352.76625414822473</v>
      </c>
      <c r="DU125" s="59">
        <f t="shared" si="98"/>
        <v>186.48649111821521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96.074009122902737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96.074009122902737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210.25641030000014</v>
      </c>
      <c r="EK125" s="17">
        <f>EJ125*VLOOKUP('Données projet'!$B$15,Paramètres!$A$1:$I$89,3,0)*VLOOKUP('Données projet'!$B$15,Paramètres!$A$1:$I$89,5,0)</f>
        <v>164.00000003400012</v>
      </c>
      <c r="EL125" s="13">
        <f t="shared" si="99"/>
        <v>41.743425916009095</v>
      </c>
      <c r="EM125" s="20">
        <f t="shared" si="73"/>
        <v>358.3364668629327</v>
      </c>
      <c r="EN125" s="59">
        <f t="shared" si="74"/>
        <v>651.66980019626601</v>
      </c>
      <c r="EO125" s="59">
        <f ca="1">AVERAGE(OFFSET($EN$3,0,0,'Données projet'!$E$15+1,1))-AVERAGE(OFFSET($H$3,0,0,'Données projet'!$E$15+1,1))</f>
        <v>130.66539383144681</v>
      </c>
      <c r="EP125" s="59">
        <f t="shared" si="100"/>
        <v>126.36398121441903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11.305501830551211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11.305501830551211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7.4200000000000017</v>
      </c>
      <c r="FE125" s="12">
        <f>IF('Données projet'!$A$218&gt;35,FE124+FD125-FM124,IF(A125&lt;'Données projet'!$A$218,$FB$205^A125,IF(A125='Données projet'!$A$218,'Données projet'!$B$218,FE124+FD125-FM124)))</f>
        <v>382.35000000000008</v>
      </c>
      <c r="FF125" s="17">
        <f>FE125*VLOOKUP('Données projet'!$B$16,Paramètres!$A$1:$I$89,3,0)*VLOOKUP('Données projet'!$B$16,Paramètres!$A$1:$I$89,5,0)</f>
        <v>369.80892000000006</v>
      </c>
      <c r="FG125" s="13">
        <f t="shared" si="101"/>
        <v>85.628212850063349</v>
      </c>
      <c r="FH125" s="20">
        <f t="shared" si="76"/>
        <v>793.21967304719374</v>
      </c>
      <c r="FI125" s="59">
        <f t="shared" si="77"/>
        <v>1086.553006380527</v>
      </c>
      <c r="FJ125" s="59">
        <f ca="1">AVERAGE(OFFSET($FI$3,0,0,'Données projet'!$E$16+1,1))-AVERAGE(OFFSET($H$3,0,0,'Données projet'!$E$16+1,1))</f>
        <v>380.43199889536805</v>
      </c>
      <c r="FK125" s="59">
        <f t="shared" si="102"/>
        <v>154.72646317672996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83.59720832095806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83.59720832095806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304</v>
      </c>
      <c r="O126" s="13">
        <f>N126*VLOOKUP('Données projet'!$B$9,Paramètres!$A$1:$I$89,3,0)*VLOOKUP('Données projet'!$B$9,Paramètres!$A$1:$I$89,5,0)</f>
        <v>189.696</v>
      </c>
      <c r="P126" s="13">
        <f t="shared" si="87"/>
        <v>47.472736505152469</v>
      </c>
      <c r="Q126" s="20">
        <f t="shared" si="107"/>
        <v>413.06888274647389</v>
      </c>
      <c r="R126" s="59">
        <f t="shared" si="55"/>
        <v>706.4022160798072</v>
      </c>
      <c r="S126" s="59">
        <f ca="1">AVERAGE(OFFSET($R$3,0,0,'Données projet'!$E$9+1,1))-AVERAGE(OFFSET($H$3,0,0,'Données projet'!$E$9+1,1))</f>
        <v>179.44051550872138</v>
      </c>
      <c r="T126" s="59">
        <f t="shared" si="88"/>
        <v>272.9500808380069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19.49830417890302</v>
      </c>
      <c r="AA126" s="21">
        <f>EXP(-LN(2)/25)*AA125+(1-EXP(-LN(2)/25))/(LN(2)/25)*Calculateur!V126*Calculateur!X126*VLOOKUP('Données projet'!$B$9,Paramètres!$A$1:$I$89,3,0)*0.475*44/12</f>
        <v>3.6721448110113593</v>
      </c>
      <c r="AB126" s="21">
        <f>EXP(-LN(2)/2)*AB125+(1-EXP(-LN(2)/2))/(LN(2)/2)*V126*Y126*VLOOKUP('Données projet'!$B$9,Paramètres!$A$1:$I$89,3,0)*0.475*44/12</f>
        <v>2.2185813209969877E-15</v>
      </c>
      <c r="AC126" s="22">
        <f t="shared" si="57"/>
        <v>23.170448989914384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2.4999999999997442</v>
      </c>
      <c r="AJ126" s="13">
        <f>AI126*VLOOKUP('Données projet'!$B$10,Paramètres!$A$1:$I$89,3,0)*VLOOKUP('Données projet'!$B$10,Paramètres!$A$1:$I$89,5,0)</f>
        <v>1.2024999999998769</v>
      </c>
      <c r="AK126" s="13">
        <f t="shared" si="89"/>
        <v>0.54239446125464896</v>
      </c>
      <c r="AL126" s="20">
        <f t="shared" si="58"/>
        <v>3.0390245200182986</v>
      </c>
      <c r="AM126" s="59">
        <f t="shared" si="59"/>
        <v>296.37235785335162</v>
      </c>
      <c r="AN126" s="59">
        <f ca="1">AVERAGE(OFFSET($AM$3,0,0,'Données projet'!$E$10+1,1))-AVERAGE(OFFSET($H$3,0,0,'Données projet'!$E$10+1,1))</f>
        <v>174.18188687702559</v>
      </c>
      <c r="AO126" s="59">
        <f t="shared" si="90"/>
        <v>32.17353897322738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202.40877908081458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202.40877908081458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0.8600000000003547</v>
      </c>
      <c r="BE126" s="13">
        <f>BD126*VLOOKUP('Données projet'!$B$11,Paramètres!$A$1:$I$89,3,0)*VLOOKUP('Données projet'!$B$11,Paramètres!$A$1:$I$89,5,0)</f>
        <v>0.48074000000019829</v>
      </c>
      <c r="BF126" s="13">
        <f t="shared" si="91"/>
        <v>0.24126147010950588</v>
      </c>
      <c r="BG126" s="20">
        <f t="shared" si="61"/>
        <v>1.2574858937744013</v>
      </c>
      <c r="BH126" s="59">
        <f t="shared" si="62"/>
        <v>294.59081922710772</v>
      </c>
      <c r="BI126" s="59">
        <f ca="1">AVERAGE(OFFSET($BH$3,0,0,'Données projet'!$E$11+1,1))-AVERAGE(OFFSET($H$3,0,0,'Données projet'!$E$11+1,1))</f>
        <v>350.01600895263641</v>
      </c>
      <c r="BJ126" s="59">
        <f t="shared" si="92"/>
        <v>464.08921044376882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96.702841175050722</v>
      </c>
      <c r="BQ126" s="21">
        <f>EXP(-LN(2)/25)*BQ125+(1-EXP(-LN(2)/25))/(LN(2)/25)*Calculateur!BL126*Calculateur!BN126*VLOOKUP('Données projet'!$B$11,Paramètres!$A$1:$I$89,3,0)*0.475*44/12</f>
        <v>3.8377112000878459</v>
      </c>
      <c r="BR126" s="21">
        <f>EXP(-LN(2)/2)*BR125+(1-EXP(-LN(2)/2))/(LN(2)/2)*BL126*BO126*VLOOKUP('Données projet'!$B$11,Paramètres!$A$1:$I$89,3,0)*0.475*44/12</f>
        <v>7.435159313323714E-15</v>
      </c>
      <c r="BS126" s="22">
        <f t="shared" si="63"/>
        <v>100.54055237513859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253.79640000000001</v>
      </c>
      <c r="CA126" s="13">
        <f t="shared" si="93"/>
        <v>61.39816832228076</v>
      </c>
      <c r="CB126" s="20">
        <f t="shared" si="64"/>
        <v>548.96387316130563</v>
      </c>
      <c r="CC126" s="59">
        <f t="shared" si="65"/>
        <v>842.29720649463889</v>
      </c>
      <c r="CD126" s="59">
        <f ca="1">AVERAGE(OFFSET($CC$3,0,0,'Données projet'!$E$12+1,1))-AVERAGE(OFFSET($H$3,0,0,'Données projet'!$E$12+1,1))</f>
        <v>279.49721661620544</v>
      </c>
      <c r="CE126" s="59">
        <f t="shared" si="94"/>
        <v>275.18739333988754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22.689003038643282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22.689003038643282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7.4200000000000017</v>
      </c>
      <c r="CT126" s="12">
        <f>IF('Données projet'!$A$140&gt;35,CT125+CS126-DB125,IF(A126&lt;'Données projet'!$A$140,$CQ$205^A126,IF(A126='Données projet'!$A$140,'Données projet'!$B$140,CT125+CS126-DB125)))</f>
        <v>389.7700000000001</v>
      </c>
      <c r="CU126" s="17">
        <f>CT126*VLOOKUP('Données projet'!$B$13,Paramètres!$A$1:$I$89,3,0)*VLOOKUP('Données projet'!$B$13,Paramètres!$A$1:$I$89,5,0)</f>
        <v>395.22678000000013</v>
      </c>
      <c r="CV126" s="13">
        <f t="shared" si="95"/>
        <v>90.808293046125556</v>
      </c>
      <c r="CW126" s="20">
        <f t="shared" si="67"/>
        <v>846.51108555533563</v>
      </c>
      <c r="CX126" s="59">
        <f t="shared" si="68"/>
        <v>1139.844418888669</v>
      </c>
      <c r="CY126" s="59">
        <f ca="1">AVERAGE(OFFSET($CX$3,0,0,'Données projet'!$E$13+1,1))-AVERAGE(OFFSET($H$3,0,0,'Données projet'!$E$13+1,1))</f>
        <v>402.54350692668021</v>
      </c>
      <c r="CZ126" s="59">
        <f t="shared" si="96"/>
        <v>163.60655196884522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85.923623767387312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85.923623767387312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404.00000000000017</v>
      </c>
      <c r="DP126" s="17">
        <f>DO126*VLOOKUP('Données projet'!$B$14,Paramètres!$A$1:$I$89,3,0)*VLOOKUP('Données projet'!$B$14,Paramètres!$A$1:$I$89,5,0)</f>
        <v>346.63200000000018</v>
      </c>
      <c r="DQ126" s="13">
        <f t="shared" si="97"/>
        <v>80.868615263336864</v>
      </c>
      <c r="DR126" s="20">
        <f t="shared" si="70"/>
        <v>744.56357158364528</v>
      </c>
      <c r="DS126" s="59">
        <f t="shared" si="71"/>
        <v>1037.8969049169787</v>
      </c>
      <c r="DT126" s="59">
        <f ca="1">AVERAGE(OFFSET($DS$3,0,0,'Données projet'!$E$14+1,1))-AVERAGE(OFFSET($H$3,0,0,'Données projet'!$E$14+1,1))</f>
        <v>352.76625414822473</v>
      </c>
      <c r="DU126" s="59">
        <f t="shared" si="98"/>
        <v>186.48649111821521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94.190056403361979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94.190056403361979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210.25641030000014</v>
      </c>
      <c r="EK126" s="17">
        <f>EJ126*VLOOKUP('Données projet'!$B$15,Paramètres!$A$1:$I$89,3,0)*VLOOKUP('Données projet'!$B$15,Paramètres!$A$1:$I$89,5,0)</f>
        <v>164.00000003400012</v>
      </c>
      <c r="EL126" s="13">
        <f t="shared" si="99"/>
        <v>41.743425916009095</v>
      </c>
      <c r="EM126" s="20">
        <f t="shared" si="73"/>
        <v>358.3364668629327</v>
      </c>
      <c r="EN126" s="59">
        <f t="shared" si="74"/>
        <v>651.66980019626601</v>
      </c>
      <c r="EO126" s="59">
        <f ca="1">AVERAGE(OFFSET($EN$3,0,0,'Données projet'!$E$15+1,1))-AVERAGE(OFFSET($H$3,0,0,'Données projet'!$E$15+1,1))</f>
        <v>130.66539383144681</v>
      </c>
      <c r="EP126" s="59">
        <f t="shared" si="100"/>
        <v>126.36398121441903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11.083807835329328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11.083807835329328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7.4200000000000017</v>
      </c>
      <c r="FE126" s="12">
        <f>IF('Données projet'!$A$218&gt;35,FE125+FD126-FM125,IF(A126&lt;'Données projet'!$A$218,$FB$205^A126,IF(A126='Données projet'!$A$218,'Données projet'!$B$218,FE125+FD126-FM125)))</f>
        <v>389.7700000000001</v>
      </c>
      <c r="FF126" s="17">
        <f>FE126*VLOOKUP('Données projet'!$B$16,Paramètres!$A$1:$I$89,3,0)*VLOOKUP('Données projet'!$B$16,Paramètres!$A$1:$I$89,5,0)</f>
        <v>376.98554400000012</v>
      </c>
      <c r="FG126" s="13">
        <f t="shared" si="101"/>
        <v>87.094868361265441</v>
      </c>
      <c r="FH126" s="20">
        <f t="shared" si="76"/>
        <v>808.27338486253745</v>
      </c>
      <c r="FI126" s="59">
        <f t="shared" si="77"/>
        <v>1101.6067181958708</v>
      </c>
      <c r="FJ126" s="59">
        <f ca="1">AVERAGE(OFFSET($FI$3,0,0,'Données projet'!$E$16+1,1))-AVERAGE(OFFSET($H$3,0,0,'Données projet'!$E$16+1,1))</f>
        <v>380.43199889536805</v>
      </c>
      <c r="FK126" s="59">
        <f t="shared" si="102"/>
        <v>154.72646317672996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81.957918055046378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81.957918055046378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304</v>
      </c>
      <c r="O127" s="13">
        <f>N127*VLOOKUP('Données projet'!$B$9,Paramètres!$A$1:$I$89,3,0)*VLOOKUP('Données projet'!$B$9,Paramètres!$A$1:$I$89,5,0)</f>
        <v>189.696</v>
      </c>
      <c r="P127" s="13">
        <f t="shared" si="87"/>
        <v>47.472736505152469</v>
      </c>
      <c r="Q127" s="20">
        <f t="shared" si="107"/>
        <v>413.06888274647389</v>
      </c>
      <c r="R127" s="59">
        <f t="shared" si="55"/>
        <v>706.4022160798072</v>
      </c>
      <c r="S127" s="59">
        <f ca="1">AVERAGE(OFFSET($R$3,0,0,'Données projet'!$E$9+1,1))-AVERAGE(OFFSET($H$3,0,0,'Données projet'!$E$9+1,1))</f>
        <v>179.44051550872138</v>
      </c>
      <c r="T127" s="59">
        <f t="shared" si="88"/>
        <v>272.9500808380069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19.115954326745964</v>
      </c>
      <c r="AA127" s="21">
        <f>EXP(-LN(2)/25)*AA126+(1-EXP(-LN(2)/25))/(LN(2)/25)*Calculateur!V127*Calculateur!X127*VLOOKUP('Données projet'!$B$9,Paramètres!$A$1:$I$89,3,0)*0.475*44/12</f>
        <v>3.5717298180445507</v>
      </c>
      <c r="AB127" s="21">
        <f>EXP(-LN(2)/2)*AB126+(1-EXP(-LN(2)/2))/(LN(2)/2)*V127*Y127*VLOOKUP('Données projet'!$B$9,Paramètres!$A$1:$I$89,3,0)*0.475*44/12</f>
        <v>1.5687738966907785E-15</v>
      </c>
      <c r="AC127" s="22">
        <f t="shared" si="57"/>
        <v>22.687684144790516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2.4999999999997442</v>
      </c>
      <c r="AJ127" s="13">
        <f>AI127*VLOOKUP('Données projet'!$B$10,Paramètres!$A$1:$I$89,3,0)*VLOOKUP('Données projet'!$B$10,Paramètres!$A$1:$I$89,5,0)</f>
        <v>1.2024999999998769</v>
      </c>
      <c r="AK127" s="13">
        <f t="shared" si="89"/>
        <v>0.54239446125464896</v>
      </c>
      <c r="AL127" s="20">
        <f t="shared" si="58"/>
        <v>3.0390245200182986</v>
      </c>
      <c r="AM127" s="59">
        <f t="shared" si="59"/>
        <v>296.37235785335162</v>
      </c>
      <c r="AN127" s="59">
        <f ca="1">AVERAGE(OFFSET($AM$3,0,0,'Données projet'!$E$10+1,1))-AVERAGE(OFFSET($H$3,0,0,'Données projet'!$E$10+1,1))</f>
        <v>174.18188687702559</v>
      </c>
      <c r="AO127" s="59">
        <f t="shared" si="90"/>
        <v>32.17353897322738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198.43966638020467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198.43966638020467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0.8600000000003547</v>
      </c>
      <c r="BE127" s="13">
        <f>BD127*VLOOKUP('Données projet'!$B$11,Paramètres!$A$1:$I$89,3,0)*VLOOKUP('Données projet'!$B$11,Paramètres!$A$1:$I$89,5,0)</f>
        <v>0.48074000000019829</v>
      </c>
      <c r="BF127" s="13">
        <f t="shared" si="91"/>
        <v>0.24126147010950588</v>
      </c>
      <c r="BG127" s="20">
        <f t="shared" si="61"/>
        <v>1.2574858937744013</v>
      </c>
      <c r="BH127" s="59">
        <f t="shared" si="62"/>
        <v>294.59081922710772</v>
      </c>
      <c r="BI127" s="59">
        <f ca="1">AVERAGE(OFFSET($BH$3,0,0,'Données projet'!$E$11+1,1))-AVERAGE(OFFSET($H$3,0,0,'Données projet'!$E$11+1,1))</f>
        <v>350.01600895263641</v>
      </c>
      <c r="BJ127" s="59">
        <f t="shared" si="92"/>
        <v>464.08921044376882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94.806557442517018</v>
      </c>
      <c r="BQ127" s="21">
        <f>EXP(-LN(2)/25)*BQ126+(1-EXP(-LN(2)/25))/(LN(2)/25)*Calculateur!BL127*Calculateur!BN127*VLOOKUP('Données projet'!$B$11,Paramètres!$A$1:$I$89,3,0)*0.475*44/12</f>
        <v>3.7327687855049829</v>
      </c>
      <c r="BR127" s="21">
        <f>EXP(-LN(2)/2)*BR126+(1-EXP(-LN(2)/2))/(LN(2)/2)*BL127*BO127*VLOOKUP('Données projet'!$B$11,Paramètres!$A$1:$I$89,3,0)*0.475*44/12</f>
        <v>5.2574515696535125E-15</v>
      </c>
      <c r="BS127" s="22">
        <f t="shared" si="63"/>
        <v>98.539326228022006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253.79640000000001</v>
      </c>
      <c r="CA127" s="13">
        <f t="shared" si="93"/>
        <v>61.39816832228076</v>
      </c>
      <c r="CB127" s="20">
        <f t="shared" si="64"/>
        <v>548.96387316130563</v>
      </c>
      <c r="CC127" s="59">
        <f t="shared" si="65"/>
        <v>842.29720649463889</v>
      </c>
      <c r="CD127" s="59">
        <f ca="1">AVERAGE(OFFSET($CC$3,0,0,'Données projet'!$E$12+1,1))-AVERAGE(OFFSET($H$3,0,0,'Données projet'!$E$12+1,1))</f>
        <v>279.49721661620544</v>
      </c>
      <c r="CE127" s="59">
        <f t="shared" si="94"/>
        <v>275.18739333988754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22.244085527980861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22.244085527980861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7.4200000000000017</v>
      </c>
      <c r="CT127" s="12">
        <f>IF('Données projet'!$A$140&gt;35,CT126+CS127-DB126,IF(A127&lt;'Données projet'!$A$140,$CQ$205^A127,IF(A127='Données projet'!$A$140,'Données projet'!$B$140,CT126+CS127-DB126)))</f>
        <v>397.19000000000011</v>
      </c>
      <c r="CU127" s="17">
        <f>CT127*VLOOKUP('Données projet'!$B$13,Paramètres!$A$1:$I$89,3,0)*VLOOKUP('Données projet'!$B$13,Paramètres!$A$1:$I$89,5,0)</f>
        <v>402.75066000000015</v>
      </c>
      <c r="CV127" s="13">
        <f t="shared" si="95"/>
        <v>92.334096707338475</v>
      </c>
      <c r="CW127" s="20">
        <f t="shared" si="67"/>
        <v>862.27261793194805</v>
      </c>
      <c r="CX127" s="59">
        <f t="shared" si="68"/>
        <v>1155.6059512652814</v>
      </c>
      <c r="CY127" s="59">
        <f ca="1">AVERAGE(OFFSET($CX$3,0,0,'Données projet'!$E$13+1,1))-AVERAGE(OFFSET($H$3,0,0,'Données projet'!$E$13+1,1))</f>
        <v>402.54350692668021</v>
      </c>
      <c r="CZ127" s="59">
        <f t="shared" si="96"/>
        <v>163.60655196884522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84.238713913544458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84.238713913544458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404.00000000000017</v>
      </c>
      <c r="DP127" s="17">
        <f>DO127*VLOOKUP('Données projet'!$B$14,Paramètres!$A$1:$I$89,3,0)*VLOOKUP('Données projet'!$B$14,Paramètres!$A$1:$I$89,5,0)</f>
        <v>346.63200000000018</v>
      </c>
      <c r="DQ127" s="13">
        <f t="shared" si="97"/>
        <v>80.868615263336864</v>
      </c>
      <c r="DR127" s="20">
        <f t="shared" si="70"/>
        <v>744.56357158364528</v>
      </c>
      <c r="DS127" s="59">
        <f t="shared" si="71"/>
        <v>1037.8969049169787</v>
      </c>
      <c r="DT127" s="59">
        <f ca="1">AVERAGE(OFFSET($DS$3,0,0,'Données projet'!$E$14+1,1))-AVERAGE(OFFSET($H$3,0,0,'Données projet'!$E$14+1,1))</f>
        <v>352.76625414822473</v>
      </c>
      <c r="DU127" s="59">
        <f t="shared" si="98"/>
        <v>186.48649111821521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92.343046847553708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92.343046847553708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210.25641030000014</v>
      </c>
      <c r="EK127" s="17">
        <f>EJ127*VLOOKUP('Données projet'!$B$15,Paramètres!$A$1:$I$89,3,0)*VLOOKUP('Données projet'!$B$15,Paramètres!$A$1:$I$89,5,0)</f>
        <v>164.00000003400012</v>
      </c>
      <c r="EL127" s="13">
        <f t="shared" si="99"/>
        <v>41.743425916009095</v>
      </c>
      <c r="EM127" s="20">
        <f t="shared" si="73"/>
        <v>358.3364668629327</v>
      </c>
      <c r="EN127" s="59">
        <f t="shared" si="74"/>
        <v>651.66980019626601</v>
      </c>
      <c r="EO127" s="59">
        <f ca="1">AVERAGE(OFFSET($EN$3,0,0,'Données projet'!$E$15+1,1))-AVERAGE(OFFSET($H$3,0,0,'Données projet'!$E$15+1,1))</f>
        <v>130.66539383144681</v>
      </c>
      <c r="EP127" s="59">
        <f t="shared" si="100"/>
        <v>126.36398121441903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10.86646112413376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10.86646112413376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7.4200000000000017</v>
      </c>
      <c r="FE127" s="12">
        <f>IF('Données projet'!$A$218&gt;35,FE126+FD127-FM126,IF(A127&lt;'Données projet'!$A$218,$FB$205^A127,IF(A127='Données projet'!$A$218,'Données projet'!$B$218,FE126+FD127-FM126)))</f>
        <v>397.19000000000011</v>
      </c>
      <c r="FF127" s="17">
        <f>FE127*VLOOKUP('Données projet'!$B$16,Paramètres!$A$1:$I$89,3,0)*VLOOKUP('Données projet'!$B$16,Paramètres!$A$1:$I$89,5,0)</f>
        <v>384.16216800000012</v>
      </c>
      <c r="FG127" s="13">
        <f t="shared" si="101"/>
        <v>88.558277313914374</v>
      </c>
      <c r="FH127" s="20">
        <f t="shared" si="76"/>
        <v>823.32144225506772</v>
      </c>
      <c r="FI127" s="59">
        <f t="shared" si="77"/>
        <v>1116.654775588401</v>
      </c>
      <c r="FJ127" s="59">
        <f ca="1">AVERAGE(OFFSET($FI$3,0,0,'Données projet'!$E$16+1,1))-AVERAGE(OFFSET($H$3,0,0,'Données projet'!$E$16+1,1))</f>
        <v>380.43199889536805</v>
      </c>
      <c r="FK127" s="59">
        <f t="shared" si="102"/>
        <v>154.72646317672996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80.350773271380888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80.350773271380888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304</v>
      </c>
      <c r="O128" s="13">
        <f>N128*VLOOKUP('Données projet'!$B$9,Paramètres!$A$1:$I$89,3,0)*VLOOKUP('Données projet'!$B$9,Paramètres!$A$1:$I$89,5,0)</f>
        <v>189.696</v>
      </c>
      <c r="P128" s="13">
        <f t="shared" si="87"/>
        <v>47.472736505152469</v>
      </c>
      <c r="Q128" s="20">
        <f t="shared" si="107"/>
        <v>413.06888274647389</v>
      </c>
      <c r="R128" s="59">
        <f t="shared" si="55"/>
        <v>706.4022160798072</v>
      </c>
      <c r="S128" s="59">
        <f ca="1">AVERAGE(OFFSET($R$3,0,0,'Données projet'!$E$9+1,1))-AVERAGE(OFFSET($H$3,0,0,'Données projet'!$E$9+1,1))</f>
        <v>179.44051550872138</v>
      </c>
      <c r="T128" s="59">
        <f t="shared" si="88"/>
        <v>272.9500808380069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18.741102121979328</v>
      </c>
      <c r="AA128" s="21">
        <f>EXP(-LN(2)/25)*AA127+(1-EXP(-LN(2)/25))/(LN(2)/25)*Calculateur!V128*Calculateur!X128*VLOOKUP('Données projet'!$B$9,Paramètres!$A$1:$I$89,3,0)*0.475*44/12</f>
        <v>3.4740606783410146</v>
      </c>
      <c r="AB128" s="21">
        <f>EXP(-LN(2)/2)*AB127+(1-EXP(-LN(2)/2))/(LN(2)/2)*V128*Y128*VLOOKUP('Données projet'!$B$9,Paramètres!$A$1:$I$89,3,0)*0.475*44/12</f>
        <v>1.1092906604984938E-15</v>
      </c>
      <c r="AC128" s="22">
        <f t="shared" si="57"/>
        <v>22.215162800320343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2.4999999999997442</v>
      </c>
      <c r="AJ128" s="13">
        <f>AI128*VLOOKUP('Données projet'!$B$10,Paramètres!$A$1:$I$89,3,0)*VLOOKUP('Données projet'!$B$10,Paramètres!$A$1:$I$89,5,0)</f>
        <v>1.2024999999998769</v>
      </c>
      <c r="AK128" s="13">
        <f t="shared" si="89"/>
        <v>0.54239446125464896</v>
      </c>
      <c r="AL128" s="20">
        <f t="shared" si="58"/>
        <v>3.0390245200182986</v>
      </c>
      <c r="AM128" s="59">
        <f t="shared" si="59"/>
        <v>296.37235785335162</v>
      </c>
      <c r="AN128" s="59">
        <f ca="1">AVERAGE(OFFSET($AM$3,0,0,'Données projet'!$E$10+1,1))-AVERAGE(OFFSET($H$3,0,0,'Données projet'!$E$10+1,1))</f>
        <v>174.18188687702559</v>
      </c>
      <c r="AO128" s="59">
        <f t="shared" si="90"/>
        <v>32.17353897322738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194.54838555873403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194.54838555873403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0.8600000000003547</v>
      </c>
      <c r="BE128" s="13">
        <f>BD128*VLOOKUP('Données projet'!$B$11,Paramètres!$A$1:$I$89,3,0)*VLOOKUP('Données projet'!$B$11,Paramètres!$A$1:$I$89,5,0)</f>
        <v>0.48074000000019829</v>
      </c>
      <c r="BF128" s="13">
        <f t="shared" si="91"/>
        <v>0.24126147010950588</v>
      </c>
      <c r="BG128" s="20">
        <f t="shared" si="61"/>
        <v>1.2574858937744013</v>
      </c>
      <c r="BH128" s="59">
        <f t="shared" si="62"/>
        <v>294.59081922710772</v>
      </c>
      <c r="BI128" s="59">
        <f ca="1">AVERAGE(OFFSET($BH$3,0,0,'Données projet'!$E$11+1,1))-AVERAGE(OFFSET($H$3,0,0,'Données projet'!$E$11+1,1))</f>
        <v>350.01600895263641</v>
      </c>
      <c r="BJ128" s="59">
        <f t="shared" si="92"/>
        <v>464.08921044376882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92.947458677359421</v>
      </c>
      <c r="BQ128" s="21">
        <f>EXP(-LN(2)/25)*BQ127+(1-EXP(-LN(2)/25))/(LN(2)/25)*Calculateur!BL128*Calculateur!BN128*VLOOKUP('Données projet'!$B$11,Paramètres!$A$1:$I$89,3,0)*0.475*44/12</f>
        <v>3.6306960267675703</v>
      </c>
      <c r="BR128" s="21">
        <f>EXP(-LN(2)/2)*BR127+(1-EXP(-LN(2)/2))/(LN(2)/2)*BL128*BO128*VLOOKUP('Données projet'!$B$11,Paramètres!$A$1:$I$89,3,0)*0.475*44/12</f>
        <v>3.717579656661857E-15</v>
      </c>
      <c r="BS128" s="22">
        <f t="shared" si="63"/>
        <v>96.578154704126987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253.79640000000001</v>
      </c>
      <c r="CA128" s="13">
        <f t="shared" si="93"/>
        <v>61.39816832228076</v>
      </c>
      <c r="CB128" s="20">
        <f t="shared" si="64"/>
        <v>548.96387316130563</v>
      </c>
      <c r="CC128" s="59">
        <f t="shared" si="65"/>
        <v>842.29720649463889</v>
      </c>
      <c r="CD128" s="59">
        <f ca="1">AVERAGE(OFFSET($CC$3,0,0,'Données projet'!$E$12+1,1))-AVERAGE(OFFSET($H$3,0,0,'Données projet'!$E$12+1,1))</f>
        <v>279.49721661620544</v>
      </c>
      <c r="CE128" s="59">
        <f t="shared" si="94"/>
        <v>275.18739333988754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21.807892578329643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21.807892578329643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404.61</v>
      </c>
      <c r="CR128" s="12">
        <f>VLOOKUP(A128,'Données projet'!$A$139:$I$159,9,0)</f>
        <v>7.4200000000000017</v>
      </c>
      <c r="CS128" s="12">
        <f t="array" ref="CS128">INDEX(CR:CR,MIN(IF(ISNUMBER(CR128:CR324),ROW(CR128:CR324),"")))</f>
        <v>7.4200000000000017</v>
      </c>
      <c r="CT128" s="12">
        <f>IF('Données projet'!$A$140&gt;35,CT127+CS128-DB127,IF(A128&lt;'Données projet'!$A$140,$CQ$205^A128,IF(A128='Données projet'!$A$140,'Données projet'!$B$140,CT127+CS128-DB127)))</f>
        <v>404.61000000000013</v>
      </c>
      <c r="CU128" s="17">
        <f>CT128*VLOOKUP('Données projet'!$B$13,Paramètres!$A$1:$I$89,3,0)*VLOOKUP('Données projet'!$B$13,Paramètres!$A$1:$I$89,5,0)</f>
        <v>410.27454000000012</v>
      </c>
      <c r="CV128" s="13">
        <f t="shared" si="95"/>
        <v>93.856585915764086</v>
      </c>
      <c r="CW128" s="20">
        <f t="shared" si="67"/>
        <v>878.02837763662262</v>
      </c>
      <c r="CX128" s="59">
        <f t="shared" si="68"/>
        <v>1171.361710969956</v>
      </c>
      <c r="CY128" s="59">
        <f ca="1">AVERAGE(OFFSET($CX$3,0,0,'Données projet'!$E$13+1,1))-AVERAGE(OFFSET($H$3,0,0,'Données projet'!$E$13+1,1))</f>
        <v>402.54350692668021</v>
      </c>
      <c r="CZ128" s="59">
        <f t="shared" si="96"/>
        <v>163.60655196884522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61.5</v>
      </c>
      <c r="DC128" s="16">
        <f>IF(ISNA(VLOOKUP(A128,'Données projet'!$A$139:$I$159,5,0)),0%,VLOOKUP(A128,'Données projet'!$A$139:$I$159,5,0)*VLOOKUP('Données projet'!$B$13,Paramètres!$A$1:$I$89,7,0))</f>
        <v>0.43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112.23028659960528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112.23028659960528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404.00000000000017</v>
      </c>
      <c r="DP128" s="17">
        <f>DO128*VLOOKUP('Données projet'!$B$14,Paramètres!$A$1:$I$89,3,0)*VLOOKUP('Données projet'!$B$14,Paramètres!$A$1:$I$89,5,0)</f>
        <v>346.63200000000018</v>
      </c>
      <c r="DQ128" s="13">
        <f t="shared" si="97"/>
        <v>80.868615263336864</v>
      </c>
      <c r="DR128" s="20">
        <f t="shared" si="70"/>
        <v>744.56357158364528</v>
      </c>
      <c r="DS128" s="59">
        <f t="shared" si="71"/>
        <v>1037.8969049169787</v>
      </c>
      <c r="DT128" s="59">
        <f ca="1">AVERAGE(OFFSET($DS$3,0,0,'Données projet'!$E$14+1,1))-AVERAGE(OFFSET($H$3,0,0,'Données projet'!$E$14+1,1))</f>
        <v>352.76625414822473</v>
      </c>
      <c r="DU128" s="59">
        <f t="shared" si="98"/>
        <v>186.48649111821521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90.532256022570252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90.532256022570252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210.25641030000014</v>
      </c>
      <c r="EK128" s="17">
        <f>EJ128*VLOOKUP('Données projet'!$B$15,Paramètres!$A$1:$I$89,3,0)*VLOOKUP('Données projet'!$B$15,Paramètres!$A$1:$I$89,5,0)</f>
        <v>164.00000003400012</v>
      </c>
      <c r="EL128" s="13">
        <f t="shared" si="99"/>
        <v>41.743425916009095</v>
      </c>
      <c r="EM128" s="20">
        <f t="shared" si="73"/>
        <v>358.3364668629327</v>
      </c>
      <c r="EN128" s="59">
        <f t="shared" si="74"/>
        <v>651.66980019626601</v>
      </c>
      <c r="EO128" s="59">
        <f ca="1">AVERAGE(OFFSET($EN$3,0,0,'Données projet'!$E$15+1,1))-AVERAGE(OFFSET($H$3,0,0,'Données projet'!$E$15+1,1))</f>
        <v>130.66539383144681</v>
      </c>
      <c r="EP128" s="59">
        <f t="shared" si="100"/>
        <v>126.36398121441903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10.653376449376333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10.653376449376333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>
        <f>VLOOKUP(A128,'Données projet'!$A$217:$I$237,2,0)</f>
        <v>404.61</v>
      </c>
      <c r="FC128" s="12">
        <f>VLOOKUP(A128,'Données projet'!$A$217:$I$237,9,0)</f>
        <v>7.4200000000000017</v>
      </c>
      <c r="FD128" s="12">
        <f t="array" ref="FD128">INDEX(FC:FC,MIN(IF(ISNUMBER(FC128:FC324),ROW(FC128:FC324),"")))</f>
        <v>7.4200000000000017</v>
      </c>
      <c r="FE128" s="12">
        <f>IF('Données projet'!$A$218&gt;35,FE127+FD128-FM127,IF(A128&lt;'Données projet'!$A$218,$FB$205^A128,IF(A128='Données projet'!$A$218,'Données projet'!$B$218,FE127+FD128-FM127)))</f>
        <v>404.61000000000013</v>
      </c>
      <c r="FF128" s="17">
        <f>FE128*VLOOKUP('Données projet'!$B$16,Paramètres!$A$1:$I$89,3,0)*VLOOKUP('Données projet'!$B$16,Paramètres!$A$1:$I$89,5,0)</f>
        <v>391.33879200000013</v>
      </c>
      <c r="FG128" s="13">
        <f t="shared" si="101"/>
        <v>90.018507351736162</v>
      </c>
      <c r="FH128" s="20">
        <f t="shared" si="76"/>
        <v>838.36396303760739</v>
      </c>
      <c r="FI128" s="59">
        <f t="shared" si="77"/>
        <v>1131.6972963709406</v>
      </c>
      <c r="FJ128" s="59">
        <f ca="1">AVERAGE(OFFSET($FI$3,0,0,'Données projet'!$E$16+1,1))-AVERAGE(OFFSET($H$3,0,0,'Données projet'!$E$16+1,1))</f>
        <v>380.43199889536805</v>
      </c>
      <c r="FK128" s="59">
        <f t="shared" si="102"/>
        <v>154.72646317672996</v>
      </c>
      <c r="FL128" s="15">
        <f>IF(ISNA(VLOOKUP(A128,'Données projet'!$A$217:$I$237,3,0)),0,VLOOKUP(A128,'Données projet'!$A$217:$I$237,3,0))</f>
        <v>10</v>
      </c>
      <c r="FM128" s="15">
        <f>IF(ISNA(VLOOKUP(A128,'Données projet'!$A$217:$I$237,4,0)),0,VLOOKUP(A128,'Données projet'!$A$217:$I$237,4,0))</f>
        <v>61.5</v>
      </c>
      <c r="FN128" s="16">
        <f>IF(ISNA(VLOOKUP(A128,'Données projet'!$A$217:$I$237,5,0)),0%,VLOOKUP(A128,'Données projet'!$A$217:$I$237,5,0)*VLOOKUP('Données projet'!$B$16,Paramètres!$A$1:$I$89,7,0))</f>
        <v>0.43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107.05042721808506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107.05042721808506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304</v>
      </c>
      <c r="O129" s="13">
        <f>N129*VLOOKUP('Données projet'!$B$9,Paramètres!$A$1:$I$89,3,0)*VLOOKUP('Données projet'!$B$9,Paramètres!$A$1:$I$89,5,0)</f>
        <v>189.696</v>
      </c>
      <c r="P129" s="13">
        <f t="shared" si="87"/>
        <v>47.472736505152469</v>
      </c>
      <c r="Q129" s="20">
        <f t="shared" si="107"/>
        <v>413.06888274647389</v>
      </c>
      <c r="R129" s="59">
        <f t="shared" si="55"/>
        <v>706.4022160798072</v>
      </c>
      <c r="S129" s="59">
        <f ca="1">AVERAGE(OFFSET($R$3,0,0,'Données projet'!$E$9+1,1))-AVERAGE(OFFSET($H$3,0,0,'Données projet'!$E$9+1,1))</f>
        <v>179.44051550872138</v>
      </c>
      <c r="T129" s="59">
        <f t="shared" si="88"/>
        <v>272.9500808380069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18.373600540310896</v>
      </c>
      <c r="AA129" s="21">
        <f>EXP(-LN(2)/25)*AA128+(1-EXP(-LN(2)/25))/(LN(2)/25)*Calculateur!V129*Calculateur!X129*VLOOKUP('Données projet'!$B$9,Paramètres!$A$1:$I$89,3,0)*0.475*44/12</f>
        <v>3.3790623063988687</v>
      </c>
      <c r="AB129" s="21">
        <f>EXP(-LN(2)/2)*AB128+(1-EXP(-LN(2)/2))/(LN(2)/2)*V129*Y129*VLOOKUP('Données projet'!$B$9,Paramètres!$A$1:$I$89,3,0)*0.475*44/12</f>
        <v>7.8438694834538927E-16</v>
      </c>
      <c r="AC129" s="22">
        <f t="shared" si="57"/>
        <v>21.752662846709764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2.4999999999997442</v>
      </c>
      <c r="AJ129" s="13">
        <f>AI129*VLOOKUP('Données projet'!$B$10,Paramètres!$A$1:$I$89,3,0)*VLOOKUP('Données projet'!$B$10,Paramètres!$A$1:$I$89,5,0)</f>
        <v>1.2024999999998769</v>
      </c>
      <c r="AK129" s="13">
        <f t="shared" si="89"/>
        <v>0.54239446125464896</v>
      </c>
      <c r="AL129" s="20">
        <f t="shared" si="58"/>
        <v>3.0390245200182986</v>
      </c>
      <c r="AM129" s="59">
        <f t="shared" si="59"/>
        <v>296.37235785335162</v>
      </c>
      <c r="AN129" s="59">
        <f ca="1">AVERAGE(OFFSET($AM$3,0,0,'Données projet'!$E$10+1,1))-AVERAGE(OFFSET($H$3,0,0,'Données projet'!$E$10+1,1))</f>
        <v>174.18188687702559</v>
      </c>
      <c r="AO129" s="59">
        <f t="shared" si="90"/>
        <v>32.17353897322738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190.73341038072547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190.73341038072547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0.8600000000003547</v>
      </c>
      <c r="BE129" s="13">
        <f>BD129*VLOOKUP('Données projet'!$B$11,Paramètres!$A$1:$I$89,3,0)*VLOOKUP('Données projet'!$B$11,Paramètres!$A$1:$I$89,5,0)</f>
        <v>0.48074000000019829</v>
      </c>
      <c r="BF129" s="13">
        <f t="shared" si="91"/>
        <v>0.24126147010950588</v>
      </c>
      <c r="BG129" s="20">
        <f t="shared" si="61"/>
        <v>1.2574858937744013</v>
      </c>
      <c r="BH129" s="59">
        <f t="shared" si="62"/>
        <v>294.59081922710772</v>
      </c>
      <c r="BI129" s="59">
        <f ca="1">AVERAGE(OFFSET($BH$3,0,0,'Données projet'!$E$11+1,1))-AVERAGE(OFFSET($H$3,0,0,'Données projet'!$E$11+1,1))</f>
        <v>350.01600895263641</v>
      </c>
      <c r="BJ129" s="59">
        <f t="shared" si="92"/>
        <v>464.08921044376882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91.124815705048292</v>
      </c>
      <c r="BQ129" s="21">
        <f>EXP(-LN(2)/25)*BQ128+(1-EXP(-LN(2)/25))/(LN(2)/25)*Calculateur!BL129*Calculateur!BN129*VLOOKUP('Données projet'!$B$11,Paramètres!$A$1:$I$89,3,0)*0.475*44/12</f>
        <v>3.5314144529856053</v>
      </c>
      <c r="BR129" s="21">
        <f>EXP(-LN(2)/2)*BR128+(1-EXP(-LN(2)/2))/(LN(2)/2)*BL129*BO129*VLOOKUP('Données projet'!$B$11,Paramètres!$A$1:$I$89,3,0)*0.475*44/12</f>
        <v>2.6287257848267563E-15</v>
      </c>
      <c r="BS129" s="22">
        <f t="shared" si="63"/>
        <v>94.656230158033893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253.79640000000001</v>
      </c>
      <c r="CA129" s="13">
        <f t="shared" si="93"/>
        <v>61.39816832228076</v>
      </c>
      <c r="CB129" s="20">
        <f t="shared" si="64"/>
        <v>548.96387316130563</v>
      </c>
      <c r="CC129" s="59">
        <f t="shared" si="65"/>
        <v>842.29720649463889</v>
      </c>
      <c r="CD129" s="59">
        <f ca="1">AVERAGE(OFFSET($CC$3,0,0,'Données projet'!$E$12+1,1))-AVERAGE(OFFSET($H$3,0,0,'Données projet'!$E$12+1,1))</f>
        <v>279.49721661620544</v>
      </c>
      <c r="CE129" s="59">
        <f t="shared" si="94"/>
        <v>275.18739333988754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21.380253106369658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21.380253106369658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7.0766666666666636</v>
      </c>
      <c r="CT129" s="12">
        <f>IF('Données projet'!$A$140&gt;35,CT128+CS129-DB128,IF(A129&lt;'Données projet'!$A$140,$CQ$205^A129,IF(A129='Données projet'!$A$140,'Données projet'!$B$140,CT128+CS129-DB128)))</f>
        <v>350.18666666666678</v>
      </c>
      <c r="CU129" s="17">
        <f>CT129*VLOOKUP('Données projet'!$B$13,Paramètres!$A$1:$I$89,3,0)*VLOOKUP('Données projet'!$B$13,Paramètres!$A$1:$I$89,5,0)</f>
        <v>355.08928000000014</v>
      </c>
      <c r="CV129" s="13">
        <f t="shared" si="95"/>
        <v>82.609564765812479</v>
      </c>
      <c r="CW129" s="20">
        <f t="shared" si="67"/>
        <v>762.32548796712365</v>
      </c>
      <c r="CX129" s="59">
        <f t="shared" si="68"/>
        <v>1055.658821300457</v>
      </c>
      <c r="CY129" s="59">
        <f ca="1">AVERAGE(OFFSET($CX$3,0,0,'Données projet'!$E$13+1,1))-AVERAGE(OFFSET($H$3,0,0,'Données projet'!$E$13+1,1))</f>
        <v>402.54350692668021</v>
      </c>
      <c r="CZ129" s="59">
        <f t="shared" si="96"/>
        <v>163.60655196884522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110.0295191331026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110.0295191331026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404.00000000000017</v>
      </c>
      <c r="DP129" s="17">
        <f>DO129*VLOOKUP('Données projet'!$B$14,Paramètres!$A$1:$I$89,3,0)*VLOOKUP('Données projet'!$B$14,Paramètres!$A$1:$I$89,5,0)</f>
        <v>346.63200000000018</v>
      </c>
      <c r="DQ129" s="13">
        <f t="shared" si="97"/>
        <v>80.868615263336864</v>
      </c>
      <c r="DR129" s="20">
        <f t="shared" si="70"/>
        <v>744.56357158364528</v>
      </c>
      <c r="DS129" s="59">
        <f t="shared" si="71"/>
        <v>1037.8969049169787</v>
      </c>
      <c r="DT129" s="59">
        <f ca="1">AVERAGE(OFFSET($DS$3,0,0,'Données projet'!$E$14+1,1))-AVERAGE(OFFSET($H$3,0,0,'Données projet'!$E$14+1,1))</f>
        <v>352.76625414822473</v>
      </c>
      <c r="DU129" s="59">
        <f t="shared" si="98"/>
        <v>186.48649111821521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88.756973701191384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88.756973701191384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210.25641030000014</v>
      </c>
      <c r="EK129" s="17">
        <f>EJ129*VLOOKUP('Données projet'!$B$15,Paramètres!$A$1:$I$89,3,0)*VLOOKUP('Données projet'!$B$15,Paramètres!$A$1:$I$89,5,0)</f>
        <v>164.00000003400012</v>
      </c>
      <c r="EL129" s="13">
        <f t="shared" si="99"/>
        <v>41.743425916009095</v>
      </c>
      <c r="EM129" s="20">
        <f t="shared" si="73"/>
        <v>358.3364668629327</v>
      </c>
      <c r="EN129" s="59">
        <f t="shared" si="74"/>
        <v>651.66980019626601</v>
      </c>
      <c r="EO129" s="59">
        <f ca="1">AVERAGE(OFFSET($EN$3,0,0,'Données projet'!$E$15+1,1))-AVERAGE(OFFSET($H$3,0,0,'Données projet'!$E$15+1,1))</f>
        <v>130.66539383144681</v>
      </c>
      <c r="EP129" s="59">
        <f t="shared" si="100"/>
        <v>126.36398121441903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10.444470235122081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10.444470235122081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7.0766666666666636</v>
      </c>
      <c r="FE129" s="12">
        <f>IF('Données projet'!$A$218&gt;35,FE128+FD129-FM128,IF(A129&lt;'Données projet'!$A$218,$FB$205^A129,IF(A129='Données projet'!$A$218,'Données projet'!$B$218,FE128+FD129-FM128)))</f>
        <v>350.18666666666678</v>
      </c>
      <c r="FF129" s="17">
        <f>FE129*VLOOKUP('Données projet'!$B$16,Paramètres!$A$1:$I$89,3,0)*VLOOKUP('Données projet'!$B$16,Paramètres!$A$1:$I$89,5,0)</f>
        <v>338.70054400000009</v>
      </c>
      <c r="FG129" s="13">
        <f t="shared" si="101"/>
        <v>79.231410781009572</v>
      </c>
      <c r="FH129" s="20">
        <f t="shared" si="76"/>
        <v>727.89815457692521</v>
      </c>
      <c r="FI129" s="59">
        <f t="shared" si="77"/>
        <v>1021.2314879102585</v>
      </c>
      <c r="FJ129" s="59">
        <f ca="1">AVERAGE(OFFSET($FI$3,0,0,'Données projet'!$E$16+1,1))-AVERAGE(OFFSET($H$3,0,0,'Données projet'!$E$16+1,1))</f>
        <v>380.43199889536805</v>
      </c>
      <c r="FK129" s="59">
        <f t="shared" si="102"/>
        <v>154.72646317672996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104.95123363465174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104.95123363465174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304</v>
      </c>
      <c r="O130" s="13">
        <f>N130*VLOOKUP('Données projet'!$B$9,Paramètres!$A$1:$I$89,3,0)*VLOOKUP('Données projet'!$B$9,Paramètres!$A$1:$I$89,5,0)</f>
        <v>189.696</v>
      </c>
      <c r="P130" s="13">
        <f t="shared" si="87"/>
        <v>47.472736505152469</v>
      </c>
      <c r="Q130" s="20">
        <f t="shared" si="107"/>
        <v>413.06888274647389</v>
      </c>
      <c r="R130" s="59">
        <f t="shared" si="55"/>
        <v>706.4022160798072</v>
      </c>
      <c r="S130" s="59">
        <f ca="1">AVERAGE(OFFSET($R$3,0,0,'Données projet'!$E$9+1,1))-AVERAGE(OFFSET($H$3,0,0,'Données projet'!$E$9+1,1))</f>
        <v>179.44051550872138</v>
      </c>
      <c r="T130" s="59">
        <f t="shared" si="88"/>
        <v>272.9500808380069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18.01330544050515</v>
      </c>
      <c r="AA130" s="21">
        <f>EXP(-LN(2)/25)*AA129+(1-EXP(-LN(2)/25))/(LN(2)/25)*Calculateur!V130*Calculateur!X130*VLOOKUP('Données projet'!$B$9,Paramètres!$A$1:$I$89,3,0)*0.475*44/12</f>
        <v>3.2866616699332281</v>
      </c>
      <c r="AB130" s="21">
        <f>EXP(-LN(2)/2)*AB129+(1-EXP(-LN(2)/2))/(LN(2)/2)*V130*Y130*VLOOKUP('Données projet'!$B$9,Paramètres!$A$1:$I$89,3,0)*0.475*44/12</f>
        <v>5.5464533024924692E-16</v>
      </c>
      <c r="AC130" s="22">
        <f t="shared" si="57"/>
        <v>21.299967110438377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2.4999999999997442</v>
      </c>
      <c r="AJ130" s="13">
        <f>AI130*VLOOKUP('Données projet'!$B$10,Paramètres!$A$1:$I$89,3,0)*VLOOKUP('Données projet'!$B$10,Paramètres!$A$1:$I$89,5,0)</f>
        <v>1.2024999999998769</v>
      </c>
      <c r="AK130" s="13">
        <f t="shared" si="89"/>
        <v>0.54239446125464896</v>
      </c>
      <c r="AL130" s="20">
        <f t="shared" si="58"/>
        <v>3.0390245200182986</v>
      </c>
      <c r="AM130" s="59">
        <f t="shared" si="59"/>
        <v>296.37235785335162</v>
      </c>
      <c r="AN130" s="59">
        <f ca="1">AVERAGE(OFFSET($AM$3,0,0,'Données projet'!$E$10+1,1))-AVERAGE(OFFSET($H$3,0,0,'Données projet'!$E$10+1,1))</f>
        <v>174.18188687702559</v>
      </c>
      <c r="AO130" s="59">
        <f t="shared" si="90"/>
        <v>32.17353897322738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186.99324453905257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186.99324453905257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0.8600000000003547</v>
      </c>
      <c r="BE130" s="13">
        <f>BD130*VLOOKUP('Données projet'!$B$11,Paramètres!$A$1:$I$89,3,0)*VLOOKUP('Données projet'!$B$11,Paramètres!$A$1:$I$89,5,0)</f>
        <v>0.48074000000019829</v>
      </c>
      <c r="BF130" s="13">
        <f t="shared" si="91"/>
        <v>0.24126147010950588</v>
      </c>
      <c r="BG130" s="20">
        <f t="shared" si="61"/>
        <v>1.2574858937744013</v>
      </c>
      <c r="BH130" s="59">
        <f t="shared" si="62"/>
        <v>294.59081922710772</v>
      </c>
      <c r="BI130" s="59">
        <f ca="1">AVERAGE(OFFSET($BH$3,0,0,'Données projet'!$E$11+1,1))-AVERAGE(OFFSET($H$3,0,0,'Données projet'!$E$11+1,1))</f>
        <v>350.01600895263641</v>
      </c>
      <c r="BJ130" s="59">
        <f t="shared" si="92"/>
        <v>464.08921044376882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89.337913649721742</v>
      </c>
      <c r="BQ130" s="21">
        <f>EXP(-LN(2)/25)*BQ129+(1-EXP(-LN(2)/25))/(LN(2)/25)*Calculateur!BL130*Calculateur!BN130*VLOOKUP('Données projet'!$B$11,Paramètres!$A$1:$I$89,3,0)*0.475*44/12</f>
        <v>3.4348477390596992</v>
      </c>
      <c r="BR130" s="21">
        <f>EXP(-LN(2)/2)*BR129+(1-EXP(-LN(2)/2))/(LN(2)/2)*BL130*BO130*VLOOKUP('Données projet'!$B$11,Paramètres!$A$1:$I$89,3,0)*0.475*44/12</f>
        <v>1.8587898283309285E-15</v>
      </c>
      <c r="BS130" s="22">
        <f t="shared" si="63"/>
        <v>92.772761388781447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253.79640000000001</v>
      </c>
      <c r="CA130" s="13">
        <f t="shared" si="93"/>
        <v>61.39816832228076</v>
      </c>
      <c r="CB130" s="20">
        <f t="shared" si="64"/>
        <v>548.96387316130563</v>
      </c>
      <c r="CC130" s="59">
        <f t="shared" si="65"/>
        <v>842.29720649463889</v>
      </c>
      <c r="CD130" s="59">
        <f ca="1">AVERAGE(OFFSET($CC$3,0,0,'Données projet'!$E$12+1,1))-AVERAGE(OFFSET($H$3,0,0,'Données projet'!$E$12+1,1))</f>
        <v>279.49721661620544</v>
      </c>
      <c r="CE130" s="59">
        <f t="shared" si="94"/>
        <v>275.18739333988754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20.960999383620486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20.960999383620486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7.0766666666666636</v>
      </c>
      <c r="CT130" s="12">
        <f>IF('Données projet'!$A$140&gt;35,CT129+CS130-DB129,IF(A130&lt;'Données projet'!$A$140,$CQ$205^A130,IF(A130='Données projet'!$A$140,'Données projet'!$B$140,CT129+CS130-DB129)))</f>
        <v>357.26333333333343</v>
      </c>
      <c r="CU130" s="17">
        <f>CT130*VLOOKUP('Données projet'!$B$13,Paramètres!$A$1:$I$89,3,0)*VLOOKUP('Données projet'!$B$13,Paramètres!$A$1:$I$89,5,0)</f>
        <v>362.26502000000011</v>
      </c>
      <c r="CV130" s="13">
        <f t="shared" si="95"/>
        <v>84.082921443692172</v>
      </c>
      <c r="CW130" s="20">
        <f t="shared" si="67"/>
        <v>777.38933134776391</v>
      </c>
      <c r="CX130" s="59">
        <f t="shared" si="68"/>
        <v>1070.7226646810973</v>
      </c>
      <c r="CY130" s="59">
        <f ca="1">AVERAGE(OFFSET($CX$3,0,0,'Données projet'!$E$13+1,1))-AVERAGE(OFFSET($H$3,0,0,'Données projet'!$E$13+1,1))</f>
        <v>402.54350692668021</v>
      </c>
      <c r="CZ130" s="59">
        <f t="shared" si="96"/>
        <v>163.60655196884522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107.87190737428243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107.87190737428243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404.00000000000017</v>
      </c>
      <c r="DP130" s="17">
        <f>DO130*VLOOKUP('Données projet'!$B$14,Paramètres!$A$1:$I$89,3,0)*VLOOKUP('Données projet'!$B$14,Paramètres!$A$1:$I$89,5,0)</f>
        <v>346.63200000000018</v>
      </c>
      <c r="DQ130" s="13">
        <f t="shared" si="97"/>
        <v>80.868615263336864</v>
      </c>
      <c r="DR130" s="20">
        <f t="shared" si="70"/>
        <v>744.56357158364528</v>
      </c>
      <c r="DS130" s="59">
        <f t="shared" si="71"/>
        <v>1037.8969049169787</v>
      </c>
      <c r="DT130" s="59">
        <f ca="1">AVERAGE(OFFSET($DS$3,0,0,'Données projet'!$E$14+1,1))-AVERAGE(OFFSET($H$3,0,0,'Données projet'!$E$14+1,1))</f>
        <v>352.76625414822473</v>
      </c>
      <c r="DU130" s="59">
        <f t="shared" si="98"/>
        <v>186.48649111821521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87.016503583319448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87.016503583319448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210.25641030000014</v>
      </c>
      <c r="EK130" s="17">
        <f>EJ130*VLOOKUP('Données projet'!$B$15,Paramètres!$A$1:$I$89,3,0)*VLOOKUP('Données projet'!$B$15,Paramètres!$A$1:$I$89,5,0)</f>
        <v>164.00000003400012</v>
      </c>
      <c r="EL130" s="13">
        <f t="shared" si="99"/>
        <v>41.743425916009095</v>
      </c>
      <c r="EM130" s="20">
        <f t="shared" si="73"/>
        <v>358.3364668629327</v>
      </c>
      <c r="EN130" s="59">
        <f t="shared" si="74"/>
        <v>651.66980019626601</v>
      </c>
      <c r="EO130" s="59">
        <f ca="1">AVERAGE(OFFSET($EN$3,0,0,'Données projet'!$E$15+1,1))-AVERAGE(OFFSET($H$3,0,0,'Données projet'!$E$15+1,1))</f>
        <v>130.66539383144681</v>
      </c>
      <c r="EP130" s="59">
        <f t="shared" si="100"/>
        <v>126.36398121441903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10.239660544309146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10.239660544309146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7.0766666666666636</v>
      </c>
      <c r="FE130" s="12">
        <f>IF('Données projet'!$A$218&gt;35,FE129+FD130-FM129,IF(A130&lt;'Données projet'!$A$218,$FB$205^A130,IF(A130='Données projet'!$A$218,'Données projet'!$B$218,FE129+FD130-FM129)))</f>
        <v>357.26333333333343</v>
      </c>
      <c r="FF130" s="17">
        <f>FE130*VLOOKUP('Données projet'!$B$16,Paramètres!$A$1:$I$89,3,0)*VLOOKUP('Données projet'!$B$16,Paramètres!$A$1:$I$89,5,0)</f>
        <v>345.54509600000011</v>
      </c>
      <c r="FG130" s="13">
        <f t="shared" si="101"/>
        <v>80.644517465483162</v>
      </c>
      <c r="FH130" s="20">
        <f t="shared" si="76"/>
        <v>742.28024345238327</v>
      </c>
      <c r="FI130" s="59">
        <f t="shared" si="77"/>
        <v>1035.6135767857165</v>
      </c>
      <c r="FJ130" s="59">
        <f ca="1">AVERAGE(OFFSET($FI$3,0,0,'Données projet'!$E$16+1,1))-AVERAGE(OFFSET($H$3,0,0,'Données projet'!$E$16+1,1))</f>
        <v>380.43199889536805</v>
      </c>
      <c r="FK130" s="59">
        <f t="shared" si="102"/>
        <v>154.72646317672996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102.89320395700788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102.89320395700788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304</v>
      </c>
      <c r="O131" s="13">
        <f>N131*VLOOKUP('Données projet'!$B$9,Paramètres!$A$1:$I$89,3,0)*VLOOKUP('Données projet'!$B$9,Paramètres!$A$1:$I$89,5,0)</f>
        <v>189.696</v>
      </c>
      <c r="P131" s="13">
        <f t="shared" si="87"/>
        <v>47.472736505152469</v>
      </c>
      <c r="Q131" s="20">
        <f t="shared" ref="Q131:Q153" si="108">(O131+P131)*0.475*44/12</f>
        <v>413.06888274647389</v>
      </c>
      <c r="R131" s="59">
        <f t="shared" ref="R131:R194" si="109">Q131+(I131+J131)*44/12</f>
        <v>706.4022160798072</v>
      </c>
      <c r="S131" s="59">
        <f ca="1">AVERAGE(OFFSET($R$3,0,0,'Données projet'!$E$9+1,1))-AVERAGE(OFFSET($H$3,0,0,'Données projet'!$E$9+1,1))</f>
        <v>179.44051550872138</v>
      </c>
      <c r="T131" s="59">
        <f t="shared" si="88"/>
        <v>272.9500808380069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17.660075507848283</v>
      </c>
      <c r="AA131" s="21">
        <f>EXP(-LN(2)/25)*AA130+(1-EXP(-LN(2)/25))/(LN(2)/25)*Calculateur!V131*Calculateur!X131*VLOOKUP('Données projet'!$B$9,Paramètres!$A$1:$I$89,3,0)*0.475*44/12</f>
        <v>3.1967877337308783</v>
      </c>
      <c r="AB131" s="21">
        <f>EXP(-LN(2)/2)*AB130+(1-EXP(-LN(2)/2))/(LN(2)/2)*V131*Y131*VLOOKUP('Données projet'!$B$9,Paramètres!$A$1:$I$89,3,0)*0.475*44/12</f>
        <v>3.9219347417269463E-16</v>
      </c>
      <c r="AC131" s="22">
        <f t="shared" si="57"/>
        <v>20.856863241579163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2.4999999999997442</v>
      </c>
      <c r="AJ131" s="13">
        <f>AI131*VLOOKUP('Données projet'!$B$10,Paramètres!$A$1:$I$89,3,0)*VLOOKUP('Données projet'!$B$10,Paramètres!$A$1:$I$89,5,0)</f>
        <v>1.2024999999998769</v>
      </c>
      <c r="AK131" s="13">
        <f t="shared" si="89"/>
        <v>0.54239446125464896</v>
      </c>
      <c r="AL131" s="20">
        <f t="shared" si="58"/>
        <v>3.0390245200182986</v>
      </c>
      <c r="AM131" s="59">
        <f t="shared" si="59"/>
        <v>296.37235785335162</v>
      </c>
      <c r="AN131" s="59">
        <f ca="1">AVERAGE(OFFSET($AM$3,0,0,'Données projet'!$E$10+1,1))-AVERAGE(OFFSET($H$3,0,0,'Données projet'!$E$10+1,1))</f>
        <v>174.18188687702559</v>
      </c>
      <c r="AO131" s="59">
        <f t="shared" si="90"/>
        <v>32.17353897322738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183.32642106825895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183.32642106825895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0.8600000000003547</v>
      </c>
      <c r="BE131" s="13">
        <f>BD131*VLOOKUP('Données projet'!$B$11,Paramètres!$A$1:$I$89,3,0)*VLOOKUP('Données projet'!$B$11,Paramètres!$A$1:$I$89,5,0)</f>
        <v>0.48074000000019829</v>
      </c>
      <c r="BF131" s="13">
        <f t="shared" si="91"/>
        <v>0.24126147010950588</v>
      </c>
      <c r="BG131" s="20">
        <f t="shared" si="61"/>
        <v>1.2574858937744013</v>
      </c>
      <c r="BH131" s="59">
        <f t="shared" si="62"/>
        <v>294.59081922710772</v>
      </c>
      <c r="BI131" s="59">
        <f ca="1">AVERAGE(OFFSET($BH$3,0,0,'Données projet'!$E$11+1,1))-AVERAGE(OFFSET($H$3,0,0,'Données projet'!$E$11+1,1))</f>
        <v>350.01600895263641</v>
      </c>
      <c r="BJ131" s="59">
        <f t="shared" si="92"/>
        <v>464.08921044376882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87.586051653797512</v>
      </c>
      <c r="BQ131" s="21">
        <f>EXP(-LN(2)/25)*BQ130+(1-EXP(-LN(2)/25))/(LN(2)/25)*Calculateur!BL131*Calculateur!BN131*VLOOKUP('Données projet'!$B$11,Paramètres!$A$1:$I$89,3,0)*0.475*44/12</f>
        <v>3.3409216470043197</v>
      </c>
      <c r="BR131" s="21">
        <f>EXP(-LN(2)/2)*BR130+(1-EXP(-LN(2)/2))/(LN(2)/2)*BL131*BO131*VLOOKUP('Données projet'!$B$11,Paramètres!$A$1:$I$89,3,0)*0.475*44/12</f>
        <v>1.3143628924133781E-15</v>
      </c>
      <c r="BS131" s="22">
        <f t="shared" si="63"/>
        <v>90.926973300801833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253.79640000000001</v>
      </c>
      <c r="CA131" s="13">
        <f t="shared" si="93"/>
        <v>61.39816832228076</v>
      </c>
      <c r="CB131" s="20">
        <f t="shared" si="64"/>
        <v>548.96387316130563</v>
      </c>
      <c r="CC131" s="59">
        <f t="shared" si="65"/>
        <v>842.29720649463889</v>
      </c>
      <c r="CD131" s="59">
        <f ca="1">AVERAGE(OFFSET($CC$3,0,0,'Données projet'!$E$12+1,1))-AVERAGE(OFFSET($H$3,0,0,'Données projet'!$E$12+1,1))</f>
        <v>279.49721661620544</v>
      </c>
      <c r="CE131" s="59">
        <f t="shared" si="94"/>
        <v>275.18739333988754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20.549966970654904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20.549966970654904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7.0766666666666636</v>
      </c>
      <c r="CT131" s="12">
        <f>IF('Données projet'!$A$140&gt;35,CT130+CS131-DB130,IF(A131&lt;'Données projet'!$A$140,$CQ$205^A131,IF(A131='Données projet'!$A$140,'Données projet'!$B$140,CT130+CS131-DB130)))</f>
        <v>364.34000000000009</v>
      </c>
      <c r="CU131" s="17">
        <f>CT131*VLOOKUP('Données projet'!$B$13,Paramètres!$A$1:$I$89,3,0)*VLOOKUP('Données projet'!$B$13,Paramètres!$A$1:$I$89,5,0)</f>
        <v>369.44076000000013</v>
      </c>
      <c r="CV131" s="13">
        <f t="shared" si="95"/>
        <v>85.55288475621127</v>
      </c>
      <c r="CW131" s="20">
        <f t="shared" si="67"/>
        <v>792.44726461706807</v>
      </c>
      <c r="CX131" s="59">
        <f t="shared" si="68"/>
        <v>1085.7805979504014</v>
      </c>
      <c r="CY131" s="59">
        <f ca="1">AVERAGE(OFFSET($CX$3,0,0,'Données projet'!$E$13+1,1))-AVERAGE(OFFSET($H$3,0,0,'Données projet'!$E$13+1,1))</f>
        <v>402.54350692668021</v>
      </c>
      <c r="CZ131" s="59">
        <f t="shared" si="96"/>
        <v>163.60655196884522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105.7566050660395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105.7566050660395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404.00000000000017</v>
      </c>
      <c r="DP131" s="17">
        <f>DO131*VLOOKUP('Données projet'!$B$14,Paramètres!$A$1:$I$89,3,0)*VLOOKUP('Données projet'!$B$14,Paramètres!$A$1:$I$89,5,0)</f>
        <v>346.63200000000018</v>
      </c>
      <c r="DQ131" s="13">
        <f t="shared" si="97"/>
        <v>80.868615263336864</v>
      </c>
      <c r="DR131" s="20">
        <f t="shared" si="70"/>
        <v>744.56357158364528</v>
      </c>
      <c r="DS131" s="59">
        <f t="shared" si="71"/>
        <v>1037.8969049169787</v>
      </c>
      <c r="DT131" s="59">
        <f ca="1">AVERAGE(OFFSET($DS$3,0,0,'Données projet'!$E$14+1,1))-AVERAGE(OFFSET($H$3,0,0,'Données projet'!$E$14+1,1))</f>
        <v>352.76625414822473</v>
      </c>
      <c r="DU131" s="59">
        <f t="shared" si="98"/>
        <v>186.48649111821521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85.310163022877035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85.310163022877035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210.25641030000014</v>
      </c>
      <c r="EK131" s="17">
        <f>EJ131*VLOOKUP('Données projet'!$B$15,Paramètres!$A$1:$I$89,3,0)*VLOOKUP('Données projet'!$B$15,Paramètres!$A$1:$I$89,5,0)</f>
        <v>164.00000003400012</v>
      </c>
      <c r="EL131" s="13">
        <f t="shared" si="99"/>
        <v>41.743425916009095</v>
      </c>
      <c r="EM131" s="20">
        <f t="shared" si="73"/>
        <v>358.3364668629327</v>
      </c>
      <c r="EN131" s="59">
        <f t="shared" si="74"/>
        <v>651.66980019626601</v>
      </c>
      <c r="EO131" s="59">
        <f ca="1">AVERAGE(OFFSET($EN$3,0,0,'Données projet'!$E$15+1,1))-AVERAGE(OFFSET($H$3,0,0,'Données projet'!$E$15+1,1))</f>
        <v>130.66539383144681</v>
      </c>
      <c r="EP131" s="59">
        <f t="shared" si="100"/>
        <v>126.36398121441903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10.038867046611475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10.038867046611475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7.0766666666666636</v>
      </c>
      <c r="FE131" s="12">
        <f>IF('Données projet'!$A$218&gt;35,FE130+FD131-FM130,IF(A131&lt;'Données projet'!$A$218,$FB$205^A131,IF(A131='Données projet'!$A$218,'Données projet'!$B$218,FE130+FD131-FM130)))</f>
        <v>364.34000000000009</v>
      </c>
      <c r="FF131" s="17">
        <f>FE131*VLOOKUP('Données projet'!$B$16,Paramètres!$A$1:$I$89,3,0)*VLOOKUP('Données projet'!$B$16,Paramètres!$A$1:$I$89,5,0)</f>
        <v>352.38964800000008</v>
      </c>
      <c r="FG131" s="13">
        <f t="shared" si="101"/>
        <v>82.05436954952917</v>
      </c>
      <c r="FH131" s="20">
        <f t="shared" si="76"/>
        <v>756.65666389876333</v>
      </c>
      <c r="FI131" s="59">
        <f t="shared" si="77"/>
        <v>1049.9899972320966</v>
      </c>
      <c r="FJ131" s="59">
        <f ca="1">AVERAGE(OFFSET($FI$3,0,0,'Données projet'!$E$16+1,1))-AVERAGE(OFFSET($H$3,0,0,'Données projet'!$E$16+1,1))</f>
        <v>380.43199889536805</v>
      </c>
      <c r="FK131" s="59">
        <f t="shared" si="102"/>
        <v>154.72646317672996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100.87553098606847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100.87553098606847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304</v>
      </c>
      <c r="O132" s="13">
        <f>N132*VLOOKUP('Données projet'!$B$9,Paramètres!$A$1:$I$89,3,0)*VLOOKUP('Données projet'!$B$9,Paramètres!$A$1:$I$89,5,0)</f>
        <v>189.696</v>
      </c>
      <c r="P132" s="13">
        <f t="shared" si="87"/>
        <v>47.472736505152469</v>
      </c>
      <c r="Q132" s="20">
        <f t="shared" si="108"/>
        <v>413.06888274647389</v>
      </c>
      <c r="R132" s="59">
        <f t="shared" si="109"/>
        <v>706.4022160798072</v>
      </c>
      <c r="S132" s="59">
        <f ca="1">AVERAGE(OFFSET($R$3,0,0,'Données projet'!$E$9+1,1))-AVERAGE(OFFSET($H$3,0,0,'Données projet'!$E$9+1,1))</f>
        <v>179.44051550872138</v>
      </c>
      <c r="T132" s="59">
        <f t="shared" si="88"/>
        <v>272.9500808380069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17.313772198721832</v>
      </c>
      <c r="AA132" s="21">
        <f>EXP(-LN(2)/25)*AA131+(1-EXP(-LN(2)/25))/(LN(2)/25)*Calculateur!V132*Calculateur!X132*VLOOKUP('Données projet'!$B$9,Paramètres!$A$1:$I$89,3,0)*0.475*44/12</f>
        <v>3.109371405040247</v>
      </c>
      <c r="AB132" s="21">
        <f>EXP(-LN(2)/2)*AB131+(1-EXP(-LN(2)/2))/(LN(2)/2)*V132*Y132*VLOOKUP('Données projet'!$B$9,Paramètres!$A$1:$I$89,3,0)*0.475*44/12</f>
        <v>2.7732266512462346E-16</v>
      </c>
      <c r="AC132" s="22">
        <f t="shared" ref="AC132:AC153" si="111">SUM(Z132:AB132)</f>
        <v>20.423143603762078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2.4999999999997442</v>
      </c>
      <c r="AJ132" s="13">
        <f>AI132*VLOOKUP('Données projet'!$B$10,Paramètres!$A$1:$I$89,3,0)*VLOOKUP('Données projet'!$B$10,Paramètres!$A$1:$I$89,5,0)</f>
        <v>1.2024999999998769</v>
      </c>
      <c r="AK132" s="13">
        <f t="shared" si="89"/>
        <v>0.54239446125464896</v>
      </c>
      <c r="AL132" s="20">
        <f t="shared" ref="AL132:AL153" si="112">(AJ132+AK132)*0.475*44/12</f>
        <v>3.0390245200182986</v>
      </c>
      <c r="AM132" s="59">
        <f t="shared" ref="AM132:AM195" si="113">AL132+(AD132+AE132)*44/12</f>
        <v>296.37235785335162</v>
      </c>
      <c r="AN132" s="59">
        <f ca="1">AVERAGE(OFFSET($AM$3,0,0,'Données projet'!$E$10+1,1))-AVERAGE(OFFSET($H$3,0,0,'Données projet'!$E$10+1,1))</f>
        <v>174.18188687702559</v>
      </c>
      <c r="AO132" s="59">
        <f t="shared" si="90"/>
        <v>32.17353897322738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179.73150176918614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179.73150176918614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0.8600000000003547</v>
      </c>
      <c r="BE132" s="13">
        <f>BD132*VLOOKUP('Données projet'!$B$11,Paramètres!$A$1:$I$89,3,0)*VLOOKUP('Données projet'!$B$11,Paramètres!$A$1:$I$89,5,0)</f>
        <v>0.48074000000019829</v>
      </c>
      <c r="BF132" s="13">
        <f t="shared" si="91"/>
        <v>0.24126147010950588</v>
      </c>
      <c r="BG132" s="20">
        <f t="shared" ref="BG132:BG153" si="115">(BE132+BF132)*0.475*44/12</f>
        <v>1.2574858937744013</v>
      </c>
      <c r="BH132" s="59">
        <f t="shared" ref="BH132:BH195" si="116">BG132+(AY132+AZ132)*44/12</f>
        <v>294.59081922710772</v>
      </c>
      <c r="BI132" s="59">
        <f ca="1">AVERAGE(OFFSET($BH$3,0,0,'Données projet'!$E$11+1,1))-AVERAGE(OFFSET($H$3,0,0,'Données projet'!$E$11+1,1))</f>
        <v>350.01600895263641</v>
      </c>
      <c r="BJ132" s="59">
        <f t="shared" si="92"/>
        <v>464.08921044376882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85.868542603083043</v>
      </c>
      <c r="BQ132" s="21">
        <f>EXP(-LN(2)/25)*BQ131+(1-EXP(-LN(2)/25))/(LN(2)/25)*Calculateur!BL132*Calculateur!BN132*VLOOKUP('Données projet'!$B$11,Paramètres!$A$1:$I$89,3,0)*0.475*44/12</f>
        <v>3.2495639688755529</v>
      </c>
      <c r="BR132" s="21">
        <f>EXP(-LN(2)/2)*BR131+(1-EXP(-LN(2)/2))/(LN(2)/2)*BL132*BO132*VLOOKUP('Données projet'!$B$11,Paramètres!$A$1:$I$89,3,0)*0.475*44/12</f>
        <v>9.2939491416546425E-16</v>
      </c>
      <c r="BS132" s="22">
        <f t="shared" ref="BS132:BS153" si="117">SUM(BP132:BR132)</f>
        <v>89.118106571958592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253.79640000000001</v>
      </c>
      <c r="CA132" s="13">
        <f t="shared" si="93"/>
        <v>61.39816832228076</v>
      </c>
      <c r="CB132" s="20">
        <f t="shared" ref="CB132:CB153" si="118">(BZ132+CA132)*0.475*44/12</f>
        <v>548.96387316130563</v>
      </c>
      <c r="CC132" s="59">
        <f t="shared" ref="CC132:CC195" si="119">CB132+(BT132+BU132)*44/12</f>
        <v>842.29720649463889</v>
      </c>
      <c r="CD132" s="59">
        <f ca="1">AVERAGE(OFFSET($CC$3,0,0,'Données projet'!$E$12+1,1))-AVERAGE(OFFSET($H$3,0,0,'Données projet'!$E$12+1,1))</f>
        <v>279.49721661620544</v>
      </c>
      <c r="CE132" s="59">
        <f t="shared" si="94"/>
        <v>275.18739333988754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20.146994652602558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20.146994652602558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7.0766666666666636</v>
      </c>
      <c r="CT132" s="12">
        <f>IF('Données projet'!$A$140&gt;35,CT131+CS132-DB131,IF(A132&lt;'Données projet'!$A$140,$CQ$205^A132,IF(A132='Données projet'!$A$140,'Données projet'!$B$140,CT131+CS132-DB131)))</f>
        <v>371.41666666666674</v>
      </c>
      <c r="CU132" s="17">
        <f>CT132*VLOOKUP('Données projet'!$B$13,Paramètres!$A$1:$I$89,3,0)*VLOOKUP('Données projet'!$B$13,Paramètres!$A$1:$I$89,5,0)</f>
        <v>376.61650000000009</v>
      </c>
      <c r="CV132" s="13">
        <f t="shared" si="95"/>
        <v>87.01952821170525</v>
      </c>
      <c r="CW132" s="20">
        <f t="shared" ref="CW132:CW153" si="121">(CU132+CV132)*0.475*44/12</f>
        <v>807.49941580205348</v>
      </c>
      <c r="CX132" s="59">
        <f t="shared" ref="CX132:CX195" si="122">CW132+(CO132+CP132)*44/12</f>
        <v>1100.8327491353868</v>
      </c>
      <c r="CY132" s="59">
        <f ca="1">AVERAGE(OFFSET($CX$3,0,0,'Données projet'!$E$13+1,1))-AVERAGE(OFFSET($H$3,0,0,'Données projet'!$E$13+1,1))</f>
        <v>402.54350692668021</v>
      </c>
      <c r="CZ132" s="59">
        <f t="shared" si="96"/>
        <v>163.60655196884522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103.6827825458542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103.6827825458542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404.00000000000017</v>
      </c>
      <c r="DP132" s="17">
        <f>DO132*VLOOKUP('Données projet'!$B$14,Paramètres!$A$1:$I$89,3,0)*VLOOKUP('Données projet'!$B$14,Paramètres!$A$1:$I$89,5,0)</f>
        <v>346.63200000000018</v>
      </c>
      <c r="DQ132" s="13">
        <f t="shared" si="97"/>
        <v>80.868615263336864</v>
      </c>
      <c r="DR132" s="20">
        <f t="shared" ref="DR132:DR153" si="124">(DP132+DQ132)*0.475*44/12</f>
        <v>744.56357158364528</v>
      </c>
      <c r="DS132" s="59">
        <f t="shared" ref="DS132:DS195" si="125">DR132+(DJ132+DK132)*44/12</f>
        <v>1037.8969049169787</v>
      </c>
      <c r="DT132" s="59">
        <f ca="1">AVERAGE(OFFSET($DS$3,0,0,'Données projet'!$E$14+1,1))-AVERAGE(OFFSET($H$3,0,0,'Données projet'!$E$14+1,1))</f>
        <v>352.76625414822473</v>
      </c>
      <c r="DU132" s="59">
        <f t="shared" si="98"/>
        <v>186.48649111821521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83.637282760059918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83.637282760059918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210.25641030000014</v>
      </c>
      <c r="EK132" s="17">
        <f>EJ132*VLOOKUP('Données projet'!$B$15,Paramètres!$A$1:$I$89,3,0)*VLOOKUP('Données projet'!$B$15,Paramètres!$A$1:$I$89,5,0)</f>
        <v>164.00000003400012</v>
      </c>
      <c r="EL132" s="13">
        <f t="shared" si="99"/>
        <v>41.743425916009095</v>
      </c>
      <c r="EM132" s="20">
        <f t="shared" ref="EM132:EM153" si="127">(EK132+EL132)*0.475*44/12</f>
        <v>358.3364668629327</v>
      </c>
      <c r="EN132" s="59">
        <f t="shared" ref="EN132:EN195" si="128">EM132+(EE132+EF132)*44/12</f>
        <v>651.66980019626601</v>
      </c>
      <c r="EO132" s="59">
        <f ca="1">AVERAGE(OFFSET($EN$3,0,0,'Données projet'!$E$15+1,1))-AVERAGE(OFFSET($H$3,0,0,'Données projet'!$E$15+1,1))</f>
        <v>130.66539383144681</v>
      </c>
      <c r="EP132" s="59">
        <f t="shared" si="100"/>
        <v>126.36398121441903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9.8420109869317169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9.8420109869317169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7.0766666666666636</v>
      </c>
      <c r="FE132" s="12">
        <f>IF('Données projet'!$A$218&gt;35,FE131+FD132-FM131,IF(A132&lt;'Données projet'!$A$218,$FB$205^A132,IF(A132='Données projet'!$A$218,'Données projet'!$B$218,FE131+FD132-FM131)))</f>
        <v>371.41666666666674</v>
      </c>
      <c r="FF132" s="17">
        <f>FE132*VLOOKUP('Données projet'!$B$16,Paramètres!$A$1:$I$89,3,0)*VLOOKUP('Données projet'!$B$16,Paramètres!$A$1:$I$89,5,0)</f>
        <v>359.2342000000001</v>
      </c>
      <c r="FG132" s="13">
        <f t="shared" si="101"/>
        <v>83.461037535505753</v>
      </c>
      <c r="FH132" s="20">
        <f t="shared" ref="FH132:FH153" si="130">(FF132+FG132)*0.475*44/12</f>
        <v>771.02753870767265</v>
      </c>
      <c r="FI132" s="59">
        <f t="shared" ref="FI132:FI195" si="131">FH132+(EZ132+FA132)*44/12</f>
        <v>1064.3608720410059</v>
      </c>
      <c r="FJ132" s="59">
        <f ca="1">AVERAGE(OFFSET($FI$3,0,0,'Données projet'!$E$16+1,1))-AVERAGE(OFFSET($H$3,0,0,'Données projet'!$E$16+1,1))</f>
        <v>380.43199889536805</v>
      </c>
      <c r="FK132" s="59">
        <f t="shared" si="102"/>
        <v>154.72646317672996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98.897423351430177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98.897423351430177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304</v>
      </c>
      <c r="O133" s="13">
        <f>N133*VLOOKUP('Données projet'!$B$9,Paramètres!$A$1:$I$89,3,0)*VLOOKUP('Données projet'!$B$9,Paramètres!$A$1:$I$89,5,0)</f>
        <v>189.696</v>
      </c>
      <c r="P133" s="13">
        <f t="shared" ref="P133:P196" si="141">EXP(-1.0587+0.8836*LN(O133)+0.284)</f>
        <v>47.472736505152469</v>
      </c>
      <c r="Q133" s="20">
        <f t="shared" si="108"/>
        <v>413.06888274647389</v>
      </c>
      <c r="R133" s="59">
        <f t="shared" si="109"/>
        <v>706.4022160798072</v>
      </c>
      <c r="S133" s="59">
        <f ca="1">AVERAGE(OFFSET($R$3,0,0,'Données projet'!$E$9+1,1))-AVERAGE(OFFSET($H$3,0,0,'Données projet'!$E$9+1,1))</f>
        <v>179.44051550872138</v>
      </c>
      <c r="T133" s="59">
        <f t="shared" ref="T133:T196" si="142">$T$3</f>
        <v>272.9500808380069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16.974259686263188</v>
      </c>
      <c r="AA133" s="21">
        <f>EXP(-LN(2)/25)*AA132+(1-EXP(-LN(2)/25))/(LN(2)/25)*Calculateur!V133*Calculateur!X133*VLOOKUP('Données projet'!$B$9,Paramètres!$A$1:$I$89,3,0)*0.475*44/12</f>
        <v>3.0243454804546857</v>
      </c>
      <c r="AB133" s="21">
        <f>EXP(-LN(2)/2)*AB132+(1-EXP(-LN(2)/2))/(LN(2)/2)*V133*Y133*VLOOKUP('Données projet'!$B$9,Paramètres!$A$1:$I$89,3,0)*0.475*44/12</f>
        <v>1.9609673708634732E-16</v>
      </c>
      <c r="AC133" s="22">
        <f t="shared" si="111"/>
        <v>19.998605166717873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2.4999999999997442</v>
      </c>
      <c r="AJ133" s="13">
        <f>AI133*VLOOKUP('Données projet'!$B$10,Paramètres!$A$1:$I$89,3,0)*VLOOKUP('Données projet'!$B$10,Paramètres!$A$1:$I$89,5,0)</f>
        <v>1.2024999999998769</v>
      </c>
      <c r="AK133" s="13">
        <f t="shared" ref="AK133:AK153" si="143">EXP(-1.0587+0.8836*LN(AJ133)+0.284)</f>
        <v>0.54239446125464896</v>
      </c>
      <c r="AL133" s="20">
        <f t="shared" si="112"/>
        <v>3.0390245200182986</v>
      </c>
      <c r="AM133" s="59">
        <f t="shared" si="113"/>
        <v>296.37235785335162</v>
      </c>
      <c r="AN133" s="59">
        <f ca="1">AVERAGE(OFFSET($AM$3,0,0,'Données projet'!$E$10+1,1))-AVERAGE(OFFSET($H$3,0,0,'Données projet'!$E$10+1,1))</f>
        <v>174.18188687702559</v>
      </c>
      <c r="AO133" s="59">
        <f t="shared" ref="AO133:AO196" si="144">$AO$3</f>
        <v>32.17353897322738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176.20707664488387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176.20707664488387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0.8600000000003547</v>
      </c>
      <c r="BE133" s="13">
        <f>BD133*VLOOKUP('Données projet'!$B$11,Paramètres!$A$1:$I$89,3,0)*VLOOKUP('Données projet'!$B$11,Paramètres!$A$1:$I$89,5,0)</f>
        <v>0.48074000000019829</v>
      </c>
      <c r="BF133" s="13">
        <f t="shared" ref="BF133:BF153" si="145">EXP(-1.0587+0.8836*LN(BE133)+0.284)</f>
        <v>0.24126147010950588</v>
      </c>
      <c r="BG133" s="20">
        <f t="shared" si="115"/>
        <v>1.2574858937744013</v>
      </c>
      <c r="BH133" s="59">
        <f t="shared" si="116"/>
        <v>294.59081922710772</v>
      </c>
      <c r="BI133" s="59">
        <f ca="1">AVERAGE(OFFSET($BH$3,0,0,'Données projet'!$E$11+1,1))-AVERAGE(OFFSET($H$3,0,0,'Données projet'!$E$11+1,1))</f>
        <v>350.01600895263641</v>
      </c>
      <c r="BJ133" s="59">
        <f t="shared" ref="BJ133:BJ196" si="146">$BJ$3</f>
        <v>464.08921044376882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84.184712857276011</v>
      </c>
      <c r="BQ133" s="21">
        <f>EXP(-LN(2)/25)*BQ132+(1-EXP(-LN(2)/25))/(LN(2)/25)*Calculateur!BL133*Calculateur!BN133*VLOOKUP('Données projet'!$B$11,Paramètres!$A$1:$I$89,3,0)*0.475*44/12</f>
        <v>3.1607044712595087</v>
      </c>
      <c r="BR133" s="21">
        <f>EXP(-LN(2)/2)*BR132+(1-EXP(-LN(2)/2))/(LN(2)/2)*BL133*BO133*VLOOKUP('Données projet'!$B$11,Paramètres!$A$1:$I$89,3,0)*0.475*44/12</f>
        <v>6.5718144620668907E-16</v>
      </c>
      <c r="BS133" s="22">
        <f t="shared" si="117"/>
        <v>87.345417328535518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253.79640000000001</v>
      </c>
      <c r="CA133" s="13">
        <f t="shared" ref="CA133:CA153" si="147">EXP(-1.0587+0.8836*LN(BZ133)+0.284)</f>
        <v>61.39816832228076</v>
      </c>
      <c r="CB133" s="20">
        <f t="shared" si="118"/>
        <v>548.96387316130563</v>
      </c>
      <c r="CC133" s="59">
        <f t="shared" si="119"/>
        <v>842.29720649463889</v>
      </c>
      <c r="CD133" s="59">
        <f ca="1">AVERAGE(OFFSET($CC$3,0,0,'Données projet'!$E$12+1,1))-AVERAGE(OFFSET($H$3,0,0,'Données projet'!$E$12+1,1))</f>
        <v>279.49721661620544</v>
      </c>
      <c r="CE133" s="59">
        <f t="shared" ref="CE133:CE196" si="148">$CE$3</f>
        <v>275.18739333988754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19.751924375918374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19.751924375918374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7.0766666666666636</v>
      </c>
      <c r="CT133" s="12">
        <f>IF('Données projet'!$A$140&gt;35,CT132+CS133-DB132,IF(A133&lt;'Données projet'!$A$140,$CQ$205^A133,IF(A133='Données projet'!$A$140,'Données projet'!$B$140,CT132+CS133-DB132)))</f>
        <v>378.4933333333334</v>
      </c>
      <c r="CU133" s="17">
        <f>CT133*VLOOKUP('Données projet'!$B$13,Paramètres!$A$1:$I$89,3,0)*VLOOKUP('Données projet'!$B$13,Paramètres!$A$1:$I$89,5,0)</f>
        <v>383.79224000000011</v>
      </c>
      <c r="CV133" s="13">
        <f t="shared" ref="CV133:CV153" si="149">EXP(-1.0587+0.8836*LN(CU133)+0.284)</f>
        <v>88.482922357096811</v>
      </c>
      <c r="CW133" s="20">
        <f t="shared" si="121"/>
        <v>822.5459077719438</v>
      </c>
      <c r="CX133" s="59">
        <f t="shared" si="122"/>
        <v>1115.8792411052771</v>
      </c>
      <c r="CY133" s="59">
        <f ca="1">AVERAGE(OFFSET($CX$3,0,0,'Données projet'!$E$13+1,1))-AVERAGE(OFFSET($H$3,0,0,'Données projet'!$E$13+1,1))</f>
        <v>402.54350692668021</v>
      </c>
      <c r="CZ133" s="59">
        <f t="shared" ref="CZ133:CZ196" si="150">$CZ$3</f>
        <v>163.60655196884522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101.64962642038289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101.64962642038289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404.00000000000017</v>
      </c>
      <c r="DP133" s="17">
        <f>DO133*VLOOKUP('Données projet'!$B$14,Paramètres!$A$1:$I$89,3,0)*VLOOKUP('Données projet'!$B$14,Paramètres!$A$1:$I$89,5,0)</f>
        <v>346.63200000000018</v>
      </c>
      <c r="DQ133" s="13">
        <f t="shared" ref="DQ133:DQ153" si="151">EXP(-1.0587+0.8836*LN(DP133)+0.284)</f>
        <v>80.868615263336864</v>
      </c>
      <c r="DR133" s="20">
        <f t="shared" si="124"/>
        <v>744.56357158364528</v>
      </c>
      <c r="DS133" s="59">
        <f t="shared" si="125"/>
        <v>1037.8969049169787</v>
      </c>
      <c r="DT133" s="59">
        <f ca="1">AVERAGE(OFFSET($DS$3,0,0,'Données projet'!$E$14+1,1))-AVERAGE(OFFSET($H$3,0,0,'Données projet'!$E$14+1,1))</f>
        <v>352.76625414822473</v>
      </c>
      <c r="DU133" s="59">
        <f t="shared" ref="DU133:DU196" si="152">$DU$3</f>
        <v>186.48649111821521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81.99720665884044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81.99720665884044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210.25641030000014</v>
      </c>
      <c r="EK133" s="17">
        <f>EJ133*VLOOKUP('Données projet'!$B$15,Paramètres!$A$1:$I$89,3,0)*VLOOKUP('Données projet'!$B$15,Paramètres!$A$1:$I$89,5,0)</f>
        <v>164.00000003400012</v>
      </c>
      <c r="EL133" s="13">
        <f t="shared" ref="EL133:EL153" si="153">EXP(-1.0587+0.8836*LN(EK133)+0.284)</f>
        <v>41.743425916009095</v>
      </c>
      <c r="EM133" s="20">
        <f t="shared" si="127"/>
        <v>358.3364668629327</v>
      </c>
      <c r="EN133" s="59">
        <f t="shared" si="128"/>
        <v>651.66980019626601</v>
      </c>
      <c r="EO133" s="59">
        <f ca="1">AVERAGE(OFFSET($EN$3,0,0,'Données projet'!$E$15+1,1))-AVERAGE(OFFSET($H$3,0,0,'Données projet'!$E$15+1,1))</f>
        <v>130.66539383144681</v>
      </c>
      <c r="EP133" s="59">
        <f t="shared" ref="EP133:EP196" si="154">$EP$3</f>
        <v>126.36398121441903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9.6490151545119378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9.6490151545119378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7.0766666666666636</v>
      </c>
      <c r="FE133" s="12">
        <f>IF('Données projet'!$A$218&gt;35,FE132+FD133-FM132,IF(A133&lt;'Données projet'!$A$218,$FB$205^A133,IF(A133='Données projet'!$A$218,'Données projet'!$B$218,FE132+FD133-FM132)))</f>
        <v>378.4933333333334</v>
      </c>
      <c r="FF133" s="17">
        <f>FE133*VLOOKUP('Données projet'!$B$16,Paramètres!$A$1:$I$89,3,0)*VLOOKUP('Données projet'!$B$16,Paramètres!$A$1:$I$89,5,0)</f>
        <v>366.07875200000007</v>
      </c>
      <c r="FG133" s="13">
        <f t="shared" ref="FG133:FG153" si="155">EXP(-1.0587+0.8836*LN(FF133)+0.284)</f>
        <v>84.864589085459301</v>
      </c>
      <c r="FH133" s="20">
        <f t="shared" si="130"/>
        <v>785.39298572384166</v>
      </c>
      <c r="FI133" s="59">
        <f t="shared" si="131"/>
        <v>1078.726319057175</v>
      </c>
      <c r="FJ133" s="59">
        <f ca="1">AVERAGE(OFFSET($FI$3,0,0,'Données projet'!$E$16+1,1))-AVERAGE(OFFSET($H$3,0,0,'Données projet'!$E$16+1,1))</f>
        <v>380.43199889536805</v>
      </c>
      <c r="FK133" s="59">
        <f t="shared" ref="FK133:FK196" si="156">$FK$3</f>
        <v>154.72646317672996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96.958105200980626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96.958105200980626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304</v>
      </c>
      <c r="O134" s="13">
        <f>N134*VLOOKUP('Données projet'!$B$9,Paramètres!$A$1:$I$89,3,0)*VLOOKUP('Données projet'!$B$9,Paramètres!$A$1:$I$89,5,0)</f>
        <v>189.696</v>
      </c>
      <c r="P134" s="13">
        <f t="shared" si="141"/>
        <v>47.472736505152469</v>
      </c>
      <c r="Q134" s="20">
        <f t="shared" si="108"/>
        <v>413.06888274647389</v>
      </c>
      <c r="R134" s="59">
        <f t="shared" si="109"/>
        <v>706.4022160798072</v>
      </c>
      <c r="S134" s="59">
        <f ca="1">AVERAGE(OFFSET($R$3,0,0,'Données projet'!$E$9+1,1))-AVERAGE(OFFSET($H$3,0,0,'Données projet'!$E$9+1,1))</f>
        <v>179.44051550872138</v>
      </c>
      <c r="T134" s="59">
        <f t="shared" si="142"/>
        <v>272.9500808380069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16.641404807091675</v>
      </c>
      <c r="AA134" s="21">
        <f>EXP(-LN(2)/25)*AA133+(1-EXP(-LN(2)/25))/(LN(2)/25)*Calculateur!V134*Calculateur!X134*VLOOKUP('Données projet'!$B$9,Paramètres!$A$1:$I$89,3,0)*0.475*44/12</f>
        <v>2.9416445942482357</v>
      </c>
      <c r="AB134" s="21">
        <f>EXP(-LN(2)/2)*AB133+(1-EXP(-LN(2)/2))/(LN(2)/2)*V134*Y134*VLOOKUP('Données projet'!$B$9,Paramètres!$A$1:$I$89,3,0)*0.475*44/12</f>
        <v>1.3866133256231173E-16</v>
      </c>
      <c r="AC134" s="22">
        <f t="shared" si="111"/>
        <v>19.58304940133991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2.4999999999997442</v>
      </c>
      <c r="AJ134" s="13">
        <f>AI134*VLOOKUP('Données projet'!$B$10,Paramètres!$A$1:$I$89,3,0)*VLOOKUP('Données projet'!$B$10,Paramètres!$A$1:$I$89,5,0)</f>
        <v>1.2024999999998769</v>
      </c>
      <c r="AK134" s="13">
        <f t="shared" si="143"/>
        <v>0.54239446125464896</v>
      </c>
      <c r="AL134" s="20">
        <f t="shared" si="112"/>
        <v>3.0390245200182986</v>
      </c>
      <c r="AM134" s="59">
        <f t="shared" si="113"/>
        <v>296.37235785335162</v>
      </c>
      <c r="AN134" s="59">
        <f ca="1">AVERAGE(OFFSET($AM$3,0,0,'Données projet'!$E$10+1,1))-AVERAGE(OFFSET($H$3,0,0,'Données projet'!$E$10+1,1))</f>
        <v>174.18188687702559</v>
      </c>
      <c r="AO134" s="59">
        <f t="shared" si="144"/>
        <v>32.17353897322738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172.75176334758211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172.75176334758211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0.8600000000003547</v>
      </c>
      <c r="BE134" s="13">
        <f>BD134*VLOOKUP('Données projet'!$B$11,Paramètres!$A$1:$I$89,3,0)*VLOOKUP('Données projet'!$B$11,Paramètres!$A$1:$I$89,5,0)</f>
        <v>0.48074000000019829</v>
      </c>
      <c r="BF134" s="13">
        <f t="shared" si="145"/>
        <v>0.24126147010950588</v>
      </c>
      <c r="BG134" s="20">
        <f t="shared" si="115"/>
        <v>1.2574858937744013</v>
      </c>
      <c r="BH134" s="59">
        <f t="shared" si="116"/>
        <v>294.59081922710772</v>
      </c>
      <c r="BI134" s="59">
        <f ca="1">AVERAGE(OFFSET($BH$3,0,0,'Données projet'!$E$11+1,1))-AVERAGE(OFFSET($H$3,0,0,'Données projet'!$E$11+1,1))</f>
        <v>350.01600895263641</v>
      </c>
      <c r="BJ134" s="59">
        <f t="shared" si="146"/>
        <v>464.08921044376882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82.533901985749523</v>
      </c>
      <c r="BQ134" s="21">
        <f>EXP(-LN(2)/25)*BQ133+(1-EXP(-LN(2)/25))/(LN(2)/25)*Calculateur!BL134*Calculateur!BN134*VLOOKUP('Données projet'!$B$11,Paramètres!$A$1:$I$89,3,0)*0.475*44/12</f>
        <v>3.0742748412786933</v>
      </c>
      <c r="BR134" s="21">
        <f>EXP(-LN(2)/2)*BR133+(1-EXP(-LN(2)/2))/(LN(2)/2)*BL134*BO134*VLOOKUP('Données projet'!$B$11,Paramètres!$A$1:$I$89,3,0)*0.475*44/12</f>
        <v>4.6469745708273212E-16</v>
      </c>
      <c r="BS134" s="22">
        <f t="shared" si="117"/>
        <v>85.608176827028217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253.79640000000001</v>
      </c>
      <c r="CA134" s="13">
        <f t="shared" si="147"/>
        <v>61.39816832228076</v>
      </c>
      <c r="CB134" s="20">
        <f t="shared" si="118"/>
        <v>548.96387316130563</v>
      </c>
      <c r="CC134" s="59">
        <f t="shared" si="119"/>
        <v>842.29720649463889</v>
      </c>
      <c r="CD134" s="59">
        <f ca="1">AVERAGE(OFFSET($CC$3,0,0,'Données projet'!$E$12+1,1))-AVERAGE(OFFSET($H$3,0,0,'Données projet'!$E$12+1,1))</f>
        <v>279.49721661620544</v>
      </c>
      <c r="CE134" s="59">
        <f t="shared" si="148"/>
        <v>275.18739333988754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19.364601186390892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19.364601186390892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7.0766666666666636</v>
      </c>
      <c r="CT134" s="12">
        <f>IF('Données projet'!$A$140&gt;35,CT133+CS134-DB133,IF(A134&lt;'Données projet'!$A$140,$CQ$205^A134,IF(A134='Données projet'!$A$140,'Données projet'!$B$140,CT133+CS134-DB133)))</f>
        <v>385.57000000000005</v>
      </c>
      <c r="CU134" s="17">
        <f>CT134*VLOOKUP('Données projet'!$B$13,Paramètres!$A$1:$I$89,3,0)*VLOOKUP('Données projet'!$B$13,Paramètres!$A$1:$I$89,5,0)</f>
        <v>390.96798000000007</v>
      </c>
      <c r="CV134" s="13">
        <f t="shared" si="149"/>
        <v>89.943134950301456</v>
      </c>
      <c r="CW134" s="20">
        <f t="shared" si="121"/>
        <v>837.58685853844179</v>
      </c>
      <c r="CX134" s="59">
        <f t="shared" si="122"/>
        <v>1130.9201918717752</v>
      </c>
      <c r="CY134" s="59">
        <f ca="1">AVERAGE(OFFSET($CX$3,0,0,'Données projet'!$E$13+1,1))-AVERAGE(OFFSET($H$3,0,0,'Données projet'!$E$13+1,1))</f>
        <v>402.54350692668021</v>
      </c>
      <c r="CZ134" s="59">
        <f t="shared" si="150"/>
        <v>163.60655196884522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99.656339246429283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99.656339246429283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404.00000000000017</v>
      </c>
      <c r="DP134" s="17">
        <f>DO134*VLOOKUP('Données projet'!$B$14,Paramètres!$A$1:$I$89,3,0)*VLOOKUP('Données projet'!$B$14,Paramètres!$A$1:$I$89,5,0)</f>
        <v>346.63200000000018</v>
      </c>
      <c r="DQ134" s="13">
        <f t="shared" si="151"/>
        <v>80.868615263336864</v>
      </c>
      <c r="DR134" s="20">
        <f t="shared" si="124"/>
        <v>744.56357158364528</v>
      </c>
      <c r="DS134" s="59">
        <f t="shared" si="125"/>
        <v>1037.8969049169787</v>
      </c>
      <c r="DT134" s="59">
        <f ca="1">AVERAGE(OFFSET($DS$3,0,0,'Données projet'!$E$14+1,1))-AVERAGE(OFFSET($H$3,0,0,'Données projet'!$E$14+1,1))</f>
        <v>352.76625414822473</v>
      </c>
      <c r="DU134" s="59">
        <f t="shared" si="152"/>
        <v>186.48649111821521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80.389291449618227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80.389291449618227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210.25641030000014</v>
      </c>
      <c r="EK134" s="17">
        <f>EJ134*VLOOKUP('Données projet'!$B$15,Paramètres!$A$1:$I$89,3,0)*VLOOKUP('Données projet'!$B$15,Paramètres!$A$1:$I$89,5,0)</f>
        <v>164.00000003400012</v>
      </c>
      <c r="EL134" s="13">
        <f t="shared" si="153"/>
        <v>41.743425916009095</v>
      </c>
      <c r="EM134" s="20">
        <f t="shared" si="127"/>
        <v>358.3364668629327</v>
      </c>
      <c r="EN134" s="59">
        <f t="shared" si="128"/>
        <v>651.66980019626601</v>
      </c>
      <c r="EO134" s="59">
        <f ca="1">AVERAGE(OFFSET($EN$3,0,0,'Données projet'!$E$15+1,1))-AVERAGE(OFFSET($H$3,0,0,'Données projet'!$E$15+1,1))</f>
        <v>130.66539383144681</v>
      </c>
      <c r="EP134" s="59">
        <f t="shared" si="154"/>
        <v>126.36398121441903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9.4598038526500758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9.4598038526500758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7.0766666666666636</v>
      </c>
      <c r="FE134" s="12">
        <f>IF('Données projet'!$A$218&gt;35,FE133+FD134-FM133,IF(A134&lt;'Données projet'!$A$218,$FB$205^A134,IF(A134='Données projet'!$A$218,'Données projet'!$B$218,FE133+FD134-FM133)))</f>
        <v>385.57000000000005</v>
      </c>
      <c r="FF134" s="17">
        <f>FE134*VLOOKUP('Données projet'!$B$16,Paramètres!$A$1:$I$89,3,0)*VLOOKUP('Données projet'!$B$16,Paramètres!$A$1:$I$89,5,0)</f>
        <v>372.92330400000009</v>
      </c>
      <c r="FG134" s="13">
        <f t="shared" si="155"/>
        <v>86.265089186480054</v>
      </c>
      <c r="FH134" s="20">
        <f t="shared" si="130"/>
        <v>799.75311813311953</v>
      </c>
      <c r="FI134" s="59">
        <f t="shared" si="131"/>
        <v>1093.0864514664529</v>
      </c>
      <c r="FJ134" s="59">
        <f ca="1">AVERAGE(OFFSET($FI$3,0,0,'Données projet'!$E$16+1,1))-AVERAGE(OFFSET($H$3,0,0,'Données projet'!$E$16+1,1))</f>
        <v>380.43199889536805</v>
      </c>
      <c r="FK134" s="59">
        <f t="shared" si="156"/>
        <v>154.72646317672996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95.056815896594117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95.056815896594117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304</v>
      </c>
      <c r="O135" s="13">
        <f>N135*VLOOKUP('Données projet'!$B$9,Paramètres!$A$1:$I$89,3,0)*VLOOKUP('Données projet'!$B$9,Paramètres!$A$1:$I$89,5,0)</f>
        <v>189.696</v>
      </c>
      <c r="P135" s="13">
        <f t="shared" si="141"/>
        <v>47.472736505152469</v>
      </c>
      <c r="Q135" s="20">
        <f t="shared" si="108"/>
        <v>413.06888274647389</v>
      </c>
      <c r="R135" s="59">
        <f t="shared" si="109"/>
        <v>706.4022160798072</v>
      </c>
      <c r="S135" s="59">
        <f ca="1">AVERAGE(OFFSET($R$3,0,0,'Données projet'!$E$9+1,1))-AVERAGE(OFFSET($H$3,0,0,'Données projet'!$E$9+1,1))</f>
        <v>179.44051550872138</v>
      </c>
      <c r="T135" s="59">
        <f t="shared" si="142"/>
        <v>272.9500808380069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16.315077009079285</v>
      </c>
      <c r="AA135" s="21">
        <f>EXP(-LN(2)/25)*AA134+(1-EXP(-LN(2)/25))/(LN(2)/25)*Calculateur!V135*Calculateur!X135*VLOOKUP('Données projet'!$B$9,Paramètres!$A$1:$I$89,3,0)*0.475*44/12</f>
        <v>2.8612051681241515</v>
      </c>
      <c r="AB135" s="21">
        <f>EXP(-LN(2)/2)*AB134+(1-EXP(-LN(2)/2))/(LN(2)/2)*V135*Y135*VLOOKUP('Données projet'!$B$9,Paramètres!$A$1:$I$89,3,0)*0.475*44/12</f>
        <v>9.8048368543173658E-17</v>
      </c>
      <c r="AC135" s="22">
        <f t="shared" si="111"/>
        <v>19.176282177203436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2.4999999999997442</v>
      </c>
      <c r="AJ135" s="13">
        <f>AI135*VLOOKUP('Données projet'!$B$10,Paramètres!$A$1:$I$89,3,0)*VLOOKUP('Données projet'!$B$10,Paramètres!$A$1:$I$89,5,0)</f>
        <v>1.2024999999998769</v>
      </c>
      <c r="AK135" s="13">
        <f t="shared" si="143"/>
        <v>0.54239446125464896</v>
      </c>
      <c r="AL135" s="20">
        <f t="shared" si="112"/>
        <v>3.0390245200182986</v>
      </c>
      <c r="AM135" s="59">
        <f t="shared" si="113"/>
        <v>296.37235785335162</v>
      </c>
      <c r="AN135" s="59">
        <f ca="1">AVERAGE(OFFSET($AM$3,0,0,'Données projet'!$E$10+1,1))-AVERAGE(OFFSET($H$3,0,0,'Données projet'!$E$10+1,1))</f>
        <v>174.18188687702559</v>
      </c>
      <c r="AO135" s="59">
        <f t="shared" si="144"/>
        <v>32.17353897322738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169.36420663650742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169.36420663650742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0.8600000000003547</v>
      </c>
      <c r="BE135" s="13">
        <f>BD135*VLOOKUP('Données projet'!$B$11,Paramètres!$A$1:$I$89,3,0)*VLOOKUP('Données projet'!$B$11,Paramètres!$A$1:$I$89,5,0)</f>
        <v>0.48074000000019829</v>
      </c>
      <c r="BF135" s="13">
        <f t="shared" si="145"/>
        <v>0.24126147010950588</v>
      </c>
      <c r="BG135" s="20">
        <f t="shared" si="115"/>
        <v>1.2574858937744013</v>
      </c>
      <c r="BH135" s="59">
        <f t="shared" si="116"/>
        <v>294.59081922710772</v>
      </c>
      <c r="BI135" s="59">
        <f ca="1">AVERAGE(OFFSET($BH$3,0,0,'Données projet'!$E$11+1,1))-AVERAGE(OFFSET($H$3,0,0,'Données projet'!$E$11+1,1))</f>
        <v>350.01600895263641</v>
      </c>
      <c r="BJ135" s="59">
        <f t="shared" si="146"/>
        <v>464.08921044376882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80.915462508518459</v>
      </c>
      <c r="BQ135" s="21">
        <f>EXP(-LN(2)/25)*BQ134+(1-EXP(-LN(2)/25))/(LN(2)/25)*Calculateur!BL135*Calculateur!BN135*VLOOKUP('Données projet'!$B$11,Paramètres!$A$1:$I$89,3,0)*0.475*44/12</f>
        <v>2.9902086340748397</v>
      </c>
      <c r="BR135" s="21">
        <f>EXP(-LN(2)/2)*BR134+(1-EXP(-LN(2)/2))/(LN(2)/2)*BL135*BO135*VLOOKUP('Données projet'!$B$11,Paramètres!$A$1:$I$89,3,0)*0.475*44/12</f>
        <v>3.2859072310334453E-16</v>
      </c>
      <c r="BS135" s="22">
        <f t="shared" si="117"/>
        <v>83.905671142593292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253.79640000000001</v>
      </c>
      <c r="CA135" s="13">
        <f t="shared" si="147"/>
        <v>61.39816832228076</v>
      </c>
      <c r="CB135" s="20">
        <f t="shared" si="118"/>
        <v>548.96387316130563</v>
      </c>
      <c r="CC135" s="59">
        <f t="shared" si="119"/>
        <v>842.29720649463889</v>
      </c>
      <c r="CD135" s="59">
        <f ca="1">AVERAGE(OFFSET($CC$3,0,0,'Données projet'!$E$12+1,1))-AVERAGE(OFFSET($H$3,0,0,'Données projet'!$E$12+1,1))</f>
        <v>279.49721661620544</v>
      </c>
      <c r="CE135" s="59">
        <f t="shared" si="148"/>
        <v>275.18739333988754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18.984873168366228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18.984873168366228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7.0766666666666636</v>
      </c>
      <c r="CT135" s="12">
        <f>IF('Données projet'!$A$140&gt;35,CT134+CS135-DB134,IF(A135&lt;'Données projet'!$A$140,$CQ$205^A135,IF(A135='Données projet'!$A$140,'Données projet'!$B$140,CT134+CS135-DB134)))</f>
        <v>392.6466666666667</v>
      </c>
      <c r="CU135" s="17">
        <f>CT135*VLOOKUP('Données projet'!$B$13,Paramètres!$A$1:$I$89,3,0)*VLOOKUP('Données projet'!$B$13,Paramètres!$A$1:$I$89,5,0)</f>
        <v>398.14372000000009</v>
      </c>
      <c r="CV135" s="13">
        <f t="shared" si="149"/>
        <v>91.400231119617629</v>
      </c>
      <c r="CW135" s="20">
        <f t="shared" si="121"/>
        <v>852.62238153333408</v>
      </c>
      <c r="CX135" s="59">
        <f t="shared" si="122"/>
        <v>1145.9557148666674</v>
      </c>
      <c r="CY135" s="59">
        <f ca="1">AVERAGE(OFFSET($CX$3,0,0,'Données projet'!$E$13+1,1))-AVERAGE(OFFSET($H$3,0,0,'Données projet'!$E$13+1,1))</f>
        <v>402.54350692668021</v>
      </c>
      <c r="CZ135" s="59">
        <f t="shared" si="150"/>
        <v>163.60655196884522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97.702139218171794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97.702139218171794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404.00000000000017</v>
      </c>
      <c r="DP135" s="17">
        <f>DO135*VLOOKUP('Données projet'!$B$14,Paramètres!$A$1:$I$89,3,0)*VLOOKUP('Données projet'!$B$14,Paramètres!$A$1:$I$89,5,0)</f>
        <v>346.63200000000018</v>
      </c>
      <c r="DQ135" s="13">
        <f t="shared" si="151"/>
        <v>80.868615263336864</v>
      </c>
      <c r="DR135" s="20">
        <f t="shared" si="124"/>
        <v>744.56357158364528</v>
      </c>
      <c r="DS135" s="59">
        <f t="shared" si="125"/>
        <v>1037.8969049169787</v>
      </c>
      <c r="DT135" s="59">
        <f ca="1">AVERAGE(OFFSET($DS$3,0,0,'Données projet'!$E$14+1,1))-AVERAGE(OFFSET($H$3,0,0,'Données projet'!$E$14+1,1))</f>
        <v>352.76625414822473</v>
      </c>
      <c r="DU135" s="59">
        <f t="shared" si="152"/>
        <v>186.48649111821521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78.812906476917433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78.812906476917433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210.25641030000014</v>
      </c>
      <c r="EK135" s="17">
        <f>EJ135*VLOOKUP('Données projet'!$B$15,Paramètres!$A$1:$I$89,3,0)*VLOOKUP('Données projet'!$B$15,Paramètres!$A$1:$I$89,5,0)</f>
        <v>164.00000003400012</v>
      </c>
      <c r="EL135" s="13">
        <f t="shared" si="153"/>
        <v>41.743425916009095</v>
      </c>
      <c r="EM135" s="20">
        <f t="shared" si="127"/>
        <v>358.3364668629327</v>
      </c>
      <c r="EN135" s="59">
        <f t="shared" si="128"/>
        <v>651.66980019626601</v>
      </c>
      <c r="EO135" s="59">
        <f ca="1">AVERAGE(OFFSET($EN$3,0,0,'Données projet'!$E$15+1,1))-AVERAGE(OFFSET($H$3,0,0,'Données projet'!$E$15+1,1))</f>
        <v>130.66539383144681</v>
      </c>
      <c r="EP135" s="59">
        <f t="shared" si="154"/>
        <v>126.36398121441903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9.274302869010226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9.274302869010226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7.0766666666666636</v>
      </c>
      <c r="FE135" s="12">
        <f>IF('Données projet'!$A$218&gt;35,FE134+FD135-FM134,IF(A135&lt;'Données projet'!$A$218,$FB$205^A135,IF(A135='Données projet'!$A$218,'Données projet'!$B$218,FE134+FD135-FM134)))</f>
        <v>392.6466666666667</v>
      </c>
      <c r="FF135" s="17">
        <f>FE135*VLOOKUP('Données projet'!$B$16,Paramètres!$A$1:$I$89,3,0)*VLOOKUP('Données projet'!$B$16,Paramètres!$A$1:$I$89,5,0)</f>
        <v>379.76785600000005</v>
      </c>
      <c r="FG135" s="13">
        <f t="shared" si="155"/>
        <v>87.662600303574123</v>
      </c>
      <c r="FH135" s="20">
        <f t="shared" si="130"/>
        <v>814.10804472872496</v>
      </c>
      <c r="FI135" s="59">
        <f t="shared" si="131"/>
        <v>1107.4413780620582</v>
      </c>
      <c r="FJ135" s="59">
        <f ca="1">AVERAGE(OFFSET($FI$3,0,0,'Données projet'!$E$16+1,1))-AVERAGE(OFFSET($H$3,0,0,'Données projet'!$E$16+1,1))</f>
        <v>380.43199889536805</v>
      </c>
      <c r="FK135" s="59">
        <f t="shared" si="156"/>
        <v>154.72646317672996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93.192809715794652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93.192809715794652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304</v>
      </c>
      <c r="O136" s="13">
        <f>N136*VLOOKUP('Données projet'!$B$9,Paramètres!$A$1:$I$89,3,0)*VLOOKUP('Données projet'!$B$9,Paramètres!$A$1:$I$89,5,0)</f>
        <v>189.696</v>
      </c>
      <c r="P136" s="13">
        <f t="shared" si="141"/>
        <v>47.472736505152469</v>
      </c>
      <c r="Q136" s="20">
        <f t="shared" si="108"/>
        <v>413.06888274647389</v>
      </c>
      <c r="R136" s="59">
        <f t="shared" si="109"/>
        <v>706.4022160798072</v>
      </c>
      <c r="S136" s="59">
        <f ca="1">AVERAGE(OFFSET($R$3,0,0,'Données projet'!$E$9+1,1))-AVERAGE(OFFSET($H$3,0,0,'Données projet'!$E$9+1,1))</f>
        <v>179.44051550872138</v>
      </c>
      <c r="T136" s="59">
        <f t="shared" si="142"/>
        <v>272.9500808380069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15.995148300145615</v>
      </c>
      <c r="AA136" s="21">
        <f>EXP(-LN(2)/25)*AA135+(1-EXP(-LN(2)/25))/(LN(2)/25)*Calculateur!V136*Calculateur!X136*VLOOKUP('Données projet'!$B$9,Paramètres!$A$1:$I$89,3,0)*0.475*44/12</f>
        <v>2.7829653623375563</v>
      </c>
      <c r="AB136" s="21">
        <f>EXP(-LN(2)/2)*AB135+(1-EXP(-LN(2)/2))/(LN(2)/2)*V136*Y136*VLOOKUP('Données projet'!$B$9,Paramètres!$A$1:$I$89,3,0)*0.475*44/12</f>
        <v>6.9330666281155865E-17</v>
      </c>
      <c r="AC136" s="22">
        <f t="shared" si="111"/>
        <v>18.778113662483172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2.4999999999997442</v>
      </c>
      <c r="AJ136" s="13">
        <f>AI136*VLOOKUP('Données projet'!$B$10,Paramètres!$A$1:$I$89,3,0)*VLOOKUP('Données projet'!$B$10,Paramètres!$A$1:$I$89,5,0)</f>
        <v>1.2024999999998769</v>
      </c>
      <c r="AK136" s="13">
        <f t="shared" si="143"/>
        <v>0.54239446125464896</v>
      </c>
      <c r="AL136" s="20">
        <f t="shared" si="112"/>
        <v>3.0390245200182986</v>
      </c>
      <c r="AM136" s="59">
        <f t="shared" si="113"/>
        <v>296.37235785335162</v>
      </c>
      <c r="AN136" s="59">
        <f ca="1">AVERAGE(OFFSET($AM$3,0,0,'Données projet'!$E$10+1,1))-AVERAGE(OFFSET($H$3,0,0,'Données projet'!$E$10+1,1))</f>
        <v>174.18188687702559</v>
      </c>
      <c r="AO136" s="59">
        <f t="shared" si="144"/>
        <v>32.17353897322738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166.04307784633133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166.04307784633133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0.8600000000003547</v>
      </c>
      <c r="BE136" s="13">
        <f>BD136*VLOOKUP('Données projet'!$B$11,Paramètres!$A$1:$I$89,3,0)*VLOOKUP('Données projet'!$B$11,Paramètres!$A$1:$I$89,5,0)</f>
        <v>0.48074000000019829</v>
      </c>
      <c r="BF136" s="13">
        <f t="shared" si="145"/>
        <v>0.24126147010950588</v>
      </c>
      <c r="BG136" s="20">
        <f t="shared" si="115"/>
        <v>1.2574858937744013</v>
      </c>
      <c r="BH136" s="59">
        <f t="shared" si="116"/>
        <v>294.59081922710772</v>
      </c>
      <c r="BI136" s="59">
        <f ca="1">AVERAGE(OFFSET($BH$3,0,0,'Données projet'!$E$11+1,1))-AVERAGE(OFFSET($H$3,0,0,'Données projet'!$E$11+1,1))</f>
        <v>350.01600895263641</v>
      </c>
      <c r="BJ136" s="59">
        <f t="shared" si="146"/>
        <v>464.08921044376882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79.328759642285277</v>
      </c>
      <c r="BQ136" s="21">
        <f>EXP(-LN(2)/25)*BQ135+(1-EXP(-LN(2)/25))/(LN(2)/25)*Calculateur!BL136*Calculateur!BN136*VLOOKUP('Données projet'!$B$11,Paramètres!$A$1:$I$89,3,0)*0.475*44/12</f>
        <v>2.9084412217278253</v>
      </c>
      <c r="BR136" s="21">
        <f>EXP(-LN(2)/2)*BR135+(1-EXP(-LN(2)/2))/(LN(2)/2)*BL136*BO136*VLOOKUP('Données projet'!$B$11,Paramètres!$A$1:$I$89,3,0)*0.475*44/12</f>
        <v>2.3234872854136606E-16</v>
      </c>
      <c r="BS136" s="22">
        <f t="shared" si="117"/>
        <v>82.237200864013104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253.79640000000001</v>
      </c>
      <c r="CA136" s="13">
        <f t="shared" si="147"/>
        <v>61.39816832228076</v>
      </c>
      <c r="CB136" s="20">
        <f t="shared" si="118"/>
        <v>548.96387316130563</v>
      </c>
      <c r="CC136" s="59">
        <f t="shared" si="119"/>
        <v>842.29720649463889</v>
      </c>
      <c r="CD136" s="59">
        <f ca="1">AVERAGE(OFFSET($CC$3,0,0,'Données projet'!$E$12+1,1))-AVERAGE(OFFSET($H$3,0,0,'Données projet'!$E$12+1,1))</f>
        <v>279.49721661620544</v>
      </c>
      <c r="CE136" s="59">
        <f t="shared" si="148"/>
        <v>275.18739333988754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18.612591385163807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18.612591385163807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7.0766666666666636</v>
      </c>
      <c r="CT136" s="12">
        <f>IF('Données projet'!$A$140&gt;35,CT135+CS136-DB135,IF(A136&lt;'Données projet'!$A$140,$CQ$205^A136,IF(A136='Données projet'!$A$140,'Données projet'!$B$140,CT135+CS136-DB135)))</f>
        <v>399.72333333333336</v>
      </c>
      <c r="CU136" s="17">
        <f>CT136*VLOOKUP('Données projet'!$B$13,Paramètres!$A$1:$I$89,3,0)*VLOOKUP('Données projet'!$B$13,Paramètres!$A$1:$I$89,5,0)</f>
        <v>405.31946000000005</v>
      </c>
      <c r="CV136" s="13">
        <f t="shared" si="149"/>
        <v>92.854273511301272</v>
      </c>
      <c r="CW136" s="20">
        <f t="shared" si="121"/>
        <v>867.65258586551636</v>
      </c>
      <c r="CX136" s="59">
        <f t="shared" si="122"/>
        <v>1160.9859191988496</v>
      </c>
      <c r="CY136" s="59">
        <f ca="1">AVERAGE(OFFSET($CX$3,0,0,'Données projet'!$E$13+1,1))-AVERAGE(OFFSET($H$3,0,0,'Données projet'!$E$13+1,1))</f>
        <v>402.54350692668021</v>
      </c>
      <c r="CZ136" s="59">
        <f t="shared" si="150"/>
        <v>163.60655196884522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95.786259860524112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95.786259860524112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404.00000000000017</v>
      </c>
      <c r="DP136" s="17">
        <f>DO136*VLOOKUP('Données projet'!$B$14,Paramètres!$A$1:$I$89,3,0)*VLOOKUP('Données projet'!$B$14,Paramètres!$A$1:$I$89,5,0)</f>
        <v>346.63200000000018</v>
      </c>
      <c r="DQ136" s="13">
        <f t="shared" si="151"/>
        <v>80.868615263336864</v>
      </c>
      <c r="DR136" s="20">
        <f t="shared" si="124"/>
        <v>744.56357158364528</v>
      </c>
      <c r="DS136" s="59">
        <f t="shared" si="125"/>
        <v>1037.8969049169787</v>
      </c>
      <c r="DT136" s="59">
        <f ca="1">AVERAGE(OFFSET($DS$3,0,0,'Données projet'!$E$14+1,1))-AVERAGE(OFFSET($H$3,0,0,'Données projet'!$E$14+1,1))</f>
        <v>352.76625414822473</v>
      </c>
      <c r="DU136" s="59">
        <f t="shared" si="152"/>
        <v>186.48649111821521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77.267433452031398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77.267433452031398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210.25641030000014</v>
      </c>
      <c r="EK136" s="17">
        <f>EJ136*VLOOKUP('Données projet'!$B$15,Paramètres!$A$1:$I$89,3,0)*VLOOKUP('Données projet'!$B$15,Paramètres!$A$1:$I$89,5,0)</f>
        <v>164.00000003400012</v>
      </c>
      <c r="EL136" s="13">
        <f t="shared" si="153"/>
        <v>41.743425916009095</v>
      </c>
      <c r="EM136" s="20">
        <f t="shared" si="127"/>
        <v>358.3364668629327</v>
      </c>
      <c r="EN136" s="59">
        <f t="shared" si="128"/>
        <v>651.66980019626601</v>
      </c>
      <c r="EO136" s="59">
        <f ca="1">AVERAGE(OFFSET($EN$3,0,0,'Données projet'!$E$15+1,1))-AVERAGE(OFFSET($H$3,0,0,'Données projet'!$E$15+1,1))</f>
        <v>130.66539383144681</v>
      </c>
      <c r="EP136" s="59">
        <f t="shared" si="154"/>
        <v>126.36398121441903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9.0924394465151259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9.0924394465151259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7.0766666666666636</v>
      </c>
      <c r="FE136" s="12">
        <f>IF('Données projet'!$A$218&gt;35,FE135+FD136-FM135,IF(A136&lt;'Données projet'!$A$218,$FB$205^A136,IF(A136='Données projet'!$A$218,'Données projet'!$B$218,FE135+FD136-FM135)))</f>
        <v>399.72333333333336</v>
      </c>
      <c r="FF136" s="17">
        <f>FE136*VLOOKUP('Données projet'!$B$16,Paramètres!$A$1:$I$89,3,0)*VLOOKUP('Données projet'!$B$16,Paramètres!$A$1:$I$89,5,0)</f>
        <v>386.61240800000002</v>
      </c>
      <c r="FG136" s="13">
        <f t="shared" si="155"/>
        <v>89.057182521203302</v>
      </c>
      <c r="FH136" s="20">
        <f t="shared" si="130"/>
        <v>828.45787015776239</v>
      </c>
      <c r="FI136" s="59">
        <f t="shared" si="131"/>
        <v>1121.7912034910958</v>
      </c>
      <c r="FJ136" s="59">
        <f ca="1">AVERAGE(OFFSET($FI$3,0,0,'Données projet'!$E$16+1,1))-AVERAGE(OFFSET($H$3,0,0,'Données projet'!$E$16+1,1))</f>
        <v>380.43199889536805</v>
      </c>
      <c r="FK136" s="59">
        <f t="shared" si="156"/>
        <v>154.72646317672996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91.365355559269162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91.365355559269162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304</v>
      </c>
      <c r="O137" s="13">
        <f>N137*VLOOKUP('Données projet'!$B$9,Paramètres!$A$1:$I$89,3,0)*VLOOKUP('Données projet'!$B$9,Paramètres!$A$1:$I$89,5,0)</f>
        <v>189.696</v>
      </c>
      <c r="P137" s="13">
        <f t="shared" si="141"/>
        <v>47.472736505152469</v>
      </c>
      <c r="Q137" s="20">
        <f t="shared" si="108"/>
        <v>413.06888274647389</v>
      </c>
      <c r="R137" s="59">
        <f t="shared" si="109"/>
        <v>706.4022160798072</v>
      </c>
      <c r="S137" s="59">
        <f ca="1">AVERAGE(OFFSET($R$3,0,0,'Données projet'!$E$9+1,1))-AVERAGE(OFFSET($H$3,0,0,'Données projet'!$E$9+1,1))</f>
        <v>179.44051550872138</v>
      </c>
      <c r="T137" s="59">
        <f t="shared" si="142"/>
        <v>272.9500808380069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15.68149319805689</v>
      </c>
      <c r="AA137" s="21">
        <f>EXP(-LN(2)/25)*AA136+(1-EXP(-LN(2)/25))/(LN(2)/25)*Calculateur!V137*Calculateur!X137*VLOOKUP('Données projet'!$B$9,Paramètres!$A$1:$I$89,3,0)*0.475*44/12</f>
        <v>2.706865028154648</v>
      </c>
      <c r="AB137" s="21">
        <f>EXP(-LN(2)/2)*AB136+(1-EXP(-LN(2)/2))/(LN(2)/2)*V137*Y137*VLOOKUP('Données projet'!$B$9,Paramètres!$A$1:$I$89,3,0)*0.475*44/12</f>
        <v>4.9024184271586829E-17</v>
      </c>
      <c r="AC137" s="22">
        <f t="shared" si="111"/>
        <v>18.388358226211537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2.4999999999997442</v>
      </c>
      <c r="AJ137" s="13">
        <f>AI137*VLOOKUP('Données projet'!$B$10,Paramètres!$A$1:$I$89,3,0)*VLOOKUP('Données projet'!$B$10,Paramètres!$A$1:$I$89,5,0)</f>
        <v>1.2024999999998769</v>
      </c>
      <c r="AK137" s="13">
        <f t="shared" si="143"/>
        <v>0.54239446125464896</v>
      </c>
      <c r="AL137" s="20">
        <f t="shared" si="112"/>
        <v>3.0390245200182986</v>
      </c>
      <c r="AM137" s="59">
        <f t="shared" si="113"/>
        <v>296.37235785335162</v>
      </c>
      <c r="AN137" s="59">
        <f ca="1">AVERAGE(OFFSET($AM$3,0,0,'Données projet'!$E$10+1,1))-AVERAGE(OFFSET($H$3,0,0,'Données projet'!$E$10+1,1))</f>
        <v>174.18188687702559</v>
      </c>
      <c r="AO137" s="59">
        <f t="shared" si="144"/>
        <v>32.17353897322738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162.78707436604205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162.78707436604205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0.8600000000003547</v>
      </c>
      <c r="BE137" s="13">
        <f>BD137*VLOOKUP('Données projet'!$B$11,Paramètres!$A$1:$I$89,3,0)*VLOOKUP('Données projet'!$B$11,Paramètres!$A$1:$I$89,5,0)</f>
        <v>0.48074000000019829</v>
      </c>
      <c r="BF137" s="13">
        <f t="shared" si="145"/>
        <v>0.24126147010950588</v>
      </c>
      <c r="BG137" s="20">
        <f t="shared" si="115"/>
        <v>1.2574858937744013</v>
      </c>
      <c r="BH137" s="59">
        <f t="shared" si="116"/>
        <v>294.59081922710772</v>
      </c>
      <c r="BI137" s="59">
        <f ca="1">AVERAGE(OFFSET($BH$3,0,0,'Données projet'!$E$11+1,1))-AVERAGE(OFFSET($H$3,0,0,'Données projet'!$E$11+1,1))</f>
        <v>350.01600895263641</v>
      </c>
      <c r="BJ137" s="59">
        <f t="shared" si="146"/>
        <v>464.08921044376882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77.773171051465752</v>
      </c>
      <c r="BQ137" s="21">
        <f>EXP(-LN(2)/25)*BQ136+(1-EXP(-LN(2)/25))/(LN(2)/25)*Calculateur!BL137*Calculateur!BN137*VLOOKUP('Données projet'!$B$11,Paramètres!$A$1:$I$89,3,0)*0.475*44/12</f>
        <v>2.8289097435714012</v>
      </c>
      <c r="BR137" s="21">
        <f>EXP(-LN(2)/2)*BR136+(1-EXP(-LN(2)/2))/(LN(2)/2)*BL137*BO137*VLOOKUP('Données projet'!$B$11,Paramètres!$A$1:$I$89,3,0)*0.475*44/12</f>
        <v>1.6429536155167227E-16</v>
      </c>
      <c r="BS137" s="22">
        <f t="shared" si="117"/>
        <v>80.602080795037153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253.79640000000001</v>
      </c>
      <c r="CA137" s="13">
        <f t="shared" si="147"/>
        <v>61.39816832228076</v>
      </c>
      <c r="CB137" s="20">
        <f t="shared" si="118"/>
        <v>548.96387316130563</v>
      </c>
      <c r="CC137" s="59">
        <f t="shared" si="119"/>
        <v>842.29720649463889</v>
      </c>
      <c r="CD137" s="59">
        <f ca="1">AVERAGE(OFFSET($CC$3,0,0,'Données projet'!$E$12+1,1))-AVERAGE(OFFSET($H$3,0,0,'Données projet'!$E$12+1,1))</f>
        <v>279.49721661620544</v>
      </c>
      <c r="CE137" s="59">
        <f t="shared" si="148"/>
        <v>275.18739333988754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18.247609820660518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18.247609820660518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7.0766666666666636</v>
      </c>
      <c r="CT137" s="12">
        <f>IF('Données projet'!$A$140&gt;35,CT136+CS137-DB136,IF(A137&lt;'Données projet'!$A$140,$CQ$205^A137,IF(A137='Données projet'!$A$140,'Données projet'!$B$140,CT136+CS137-DB136)))</f>
        <v>406.8</v>
      </c>
      <c r="CU137" s="17">
        <f>CT137*VLOOKUP('Données projet'!$B$13,Paramètres!$A$1:$I$89,3,0)*VLOOKUP('Données projet'!$B$13,Paramètres!$A$1:$I$89,5,0)</f>
        <v>412.49520000000001</v>
      </c>
      <c r="CV137" s="13">
        <f t="shared" si="149"/>
        <v>94.305322426393545</v>
      </c>
      <c r="CW137" s="20">
        <f t="shared" si="121"/>
        <v>882.67757655930211</v>
      </c>
      <c r="CX137" s="59">
        <f t="shared" si="122"/>
        <v>1176.0109098926355</v>
      </c>
      <c r="CY137" s="59">
        <f ca="1">AVERAGE(OFFSET($CX$3,0,0,'Données projet'!$E$13+1,1))-AVERAGE(OFFSET($H$3,0,0,'Données projet'!$E$13+1,1))</f>
        <v>402.54350692668021</v>
      </c>
      <c r="CZ137" s="59">
        <f t="shared" si="150"/>
        <v>163.60655196884522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93.907949728508868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93.907949728508868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404.00000000000017</v>
      </c>
      <c r="DP137" s="17">
        <f>DO137*VLOOKUP('Données projet'!$B$14,Paramètres!$A$1:$I$89,3,0)*VLOOKUP('Données projet'!$B$14,Paramètres!$A$1:$I$89,5,0)</f>
        <v>346.63200000000018</v>
      </c>
      <c r="DQ137" s="13">
        <f t="shared" si="151"/>
        <v>80.868615263336864</v>
      </c>
      <c r="DR137" s="20">
        <f t="shared" si="124"/>
        <v>744.56357158364528</v>
      </c>
      <c r="DS137" s="59">
        <f t="shared" si="125"/>
        <v>1037.8969049169787</v>
      </c>
      <c r="DT137" s="59">
        <f ca="1">AVERAGE(OFFSET($DS$3,0,0,'Données projet'!$E$14+1,1))-AVERAGE(OFFSET($H$3,0,0,'Données projet'!$E$14+1,1))</f>
        <v>352.76625414822473</v>
      </c>
      <c r="DU137" s="59">
        <f t="shared" si="152"/>
        <v>186.48649111821521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75.752266210517917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75.752266210517917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210.25641030000014</v>
      </c>
      <c r="EK137" s="17">
        <f>EJ137*VLOOKUP('Données projet'!$B$15,Paramètres!$A$1:$I$89,3,0)*VLOOKUP('Données projet'!$B$15,Paramètres!$A$1:$I$89,5,0)</f>
        <v>164.00000003400012</v>
      </c>
      <c r="EL137" s="13">
        <f t="shared" si="153"/>
        <v>41.743425916009095</v>
      </c>
      <c r="EM137" s="20">
        <f t="shared" si="127"/>
        <v>358.3364668629327</v>
      </c>
      <c r="EN137" s="59">
        <f t="shared" si="128"/>
        <v>651.66980019626601</v>
      </c>
      <c r="EO137" s="59">
        <f ca="1">AVERAGE(OFFSET($EN$3,0,0,'Données projet'!$E$15+1,1))-AVERAGE(OFFSET($H$3,0,0,'Données projet'!$E$15+1,1))</f>
        <v>130.66539383144681</v>
      </c>
      <c r="EP137" s="59">
        <f t="shared" si="154"/>
        <v>126.36398121441903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8.9141422548094198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8.9141422548094198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7.0766666666666636</v>
      </c>
      <c r="FE137" s="12">
        <f>IF('Données projet'!$A$218&gt;35,FE136+FD137-FM136,IF(A137&lt;'Données projet'!$A$218,$FB$205^A137,IF(A137='Données projet'!$A$218,'Données projet'!$B$218,FE136+FD137-FM136)))</f>
        <v>406.8</v>
      </c>
      <c r="FF137" s="17">
        <f>FE137*VLOOKUP('Données projet'!$B$16,Paramètres!$A$1:$I$89,3,0)*VLOOKUP('Données projet'!$B$16,Paramètres!$A$1:$I$89,5,0)</f>
        <v>393.45696000000004</v>
      </c>
      <c r="FG137" s="13">
        <f t="shared" si="155"/>
        <v>90.448893674517521</v>
      </c>
      <c r="FH137" s="20">
        <f t="shared" si="130"/>
        <v>842.80269514978465</v>
      </c>
      <c r="FI137" s="59">
        <f t="shared" si="131"/>
        <v>1136.136028483118</v>
      </c>
      <c r="FJ137" s="59">
        <f ca="1">AVERAGE(OFFSET($FI$3,0,0,'Données projet'!$E$16+1,1))-AVERAGE(OFFSET($H$3,0,0,'Données projet'!$E$16+1,1))</f>
        <v>380.43199889536805</v>
      </c>
      <c r="FK137" s="59">
        <f t="shared" si="156"/>
        <v>154.72646317672996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89.573736664116169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89.573736664116169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304</v>
      </c>
      <c r="O138" s="13">
        <f>N138*VLOOKUP('Données projet'!$B$9,Paramètres!$A$1:$I$89,3,0)*VLOOKUP('Données projet'!$B$9,Paramètres!$A$1:$I$89,5,0)</f>
        <v>189.696</v>
      </c>
      <c r="P138" s="13">
        <f t="shared" si="141"/>
        <v>47.472736505152469</v>
      </c>
      <c r="Q138" s="20">
        <f t="shared" si="108"/>
        <v>413.06888274647389</v>
      </c>
      <c r="R138" s="59">
        <f t="shared" si="109"/>
        <v>706.4022160798072</v>
      </c>
      <c r="S138" s="59">
        <f ca="1">AVERAGE(OFFSET($R$3,0,0,'Données projet'!$E$9+1,1))-AVERAGE(OFFSET($H$3,0,0,'Données projet'!$E$9+1,1))</f>
        <v>179.44051550872138</v>
      </c>
      <c r="T138" s="59">
        <f t="shared" si="142"/>
        <v>272.9500808380069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15.373988681209402</v>
      </c>
      <c r="AA138" s="21">
        <f>EXP(-LN(2)/25)*AA137+(1-EXP(-LN(2)/25))/(LN(2)/25)*Calculateur!V138*Calculateur!X138*VLOOKUP('Données projet'!$B$9,Paramètres!$A$1:$I$89,3,0)*0.475*44/12</f>
        <v>2.6328456616119138</v>
      </c>
      <c r="AB138" s="21">
        <f>EXP(-LN(2)/2)*AB137+(1-EXP(-LN(2)/2))/(LN(2)/2)*V138*Y138*VLOOKUP('Données projet'!$B$9,Paramètres!$A$1:$I$89,3,0)*0.475*44/12</f>
        <v>3.4665333140577932E-17</v>
      </c>
      <c r="AC138" s="22">
        <f t="shared" si="111"/>
        <v>18.006834342821318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2.4999999999997442</v>
      </c>
      <c r="AJ138" s="13">
        <f>AI138*VLOOKUP('Données projet'!$B$10,Paramètres!$A$1:$I$89,3,0)*VLOOKUP('Données projet'!$B$10,Paramètres!$A$1:$I$89,5,0)</f>
        <v>1.2024999999998769</v>
      </c>
      <c r="AK138" s="13">
        <f t="shared" si="143"/>
        <v>0.54239446125464896</v>
      </c>
      <c r="AL138" s="20">
        <f t="shared" si="112"/>
        <v>3.0390245200182986</v>
      </c>
      <c r="AM138" s="59">
        <f t="shared" si="113"/>
        <v>296.37235785335162</v>
      </c>
      <c r="AN138" s="59">
        <f ca="1">AVERAGE(OFFSET($AM$3,0,0,'Données projet'!$E$10+1,1))-AVERAGE(OFFSET($H$3,0,0,'Données projet'!$E$10+1,1))</f>
        <v>174.18188687702559</v>
      </c>
      <c r="AO138" s="59">
        <f t="shared" si="144"/>
        <v>32.17353897322738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159.59491912803523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159.59491912803523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0.8600000000003547</v>
      </c>
      <c r="BE138" s="13">
        <f>BD138*VLOOKUP('Données projet'!$B$11,Paramètres!$A$1:$I$89,3,0)*VLOOKUP('Données projet'!$B$11,Paramètres!$A$1:$I$89,5,0)</f>
        <v>0.48074000000019829</v>
      </c>
      <c r="BF138" s="13">
        <f t="shared" si="145"/>
        <v>0.24126147010950588</v>
      </c>
      <c r="BG138" s="20">
        <f t="shared" si="115"/>
        <v>1.2574858937744013</v>
      </c>
      <c r="BH138" s="59">
        <f t="shared" si="116"/>
        <v>294.59081922710772</v>
      </c>
      <c r="BI138" s="59">
        <f ca="1">AVERAGE(OFFSET($BH$3,0,0,'Données projet'!$E$11+1,1))-AVERAGE(OFFSET($H$3,0,0,'Données projet'!$E$11+1,1))</f>
        <v>350.01600895263641</v>
      </c>
      <c r="BJ138" s="59">
        <f t="shared" si="146"/>
        <v>464.08921044376882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76.248086604096841</v>
      </c>
      <c r="BQ138" s="21">
        <f>EXP(-LN(2)/25)*BQ137+(1-EXP(-LN(2)/25))/(LN(2)/25)*Calculateur!BL138*Calculateur!BN138*VLOOKUP('Données projet'!$B$11,Paramètres!$A$1:$I$89,3,0)*0.475*44/12</f>
        <v>2.7515530578675436</v>
      </c>
      <c r="BR138" s="21">
        <f>EXP(-LN(2)/2)*BR137+(1-EXP(-LN(2)/2))/(LN(2)/2)*BL138*BO138*VLOOKUP('Données projet'!$B$11,Paramètres!$A$1:$I$89,3,0)*0.475*44/12</f>
        <v>1.1617436427068303E-16</v>
      </c>
      <c r="BS138" s="22">
        <f t="shared" si="117"/>
        <v>78.99963966196438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253.79640000000001</v>
      </c>
      <c r="CA138" s="13">
        <f t="shared" si="147"/>
        <v>61.39816832228076</v>
      </c>
      <c r="CB138" s="20">
        <f t="shared" si="118"/>
        <v>548.96387316130563</v>
      </c>
      <c r="CC138" s="59">
        <f t="shared" si="119"/>
        <v>842.29720649463889</v>
      </c>
      <c r="CD138" s="59">
        <f ca="1">AVERAGE(OFFSET($CC$3,0,0,'Données projet'!$E$12+1,1))-AVERAGE(OFFSET($H$3,0,0,'Données projet'!$E$12+1,1))</f>
        <v>279.49721661620544</v>
      </c>
      <c r="CE138" s="59">
        <f t="shared" si="148"/>
        <v>275.18739333988754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17.889785322020366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17.889785322020366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7.0766666666666636</v>
      </c>
      <c r="CT138" s="12">
        <f>IF('Données projet'!$A$140&gt;35,CT137+CS138-DB137,IF(A138&lt;'Données projet'!$A$140,$CQ$205^A138,IF(A138='Données projet'!$A$140,'Données projet'!$B$140,CT137+CS138-DB137)))</f>
        <v>413.87666666666667</v>
      </c>
      <c r="CU138" s="17">
        <f>CT138*VLOOKUP('Données projet'!$B$13,Paramètres!$A$1:$I$89,3,0)*VLOOKUP('Données projet'!$B$13,Paramètres!$A$1:$I$89,5,0)</f>
        <v>419.67094000000003</v>
      </c>
      <c r="CV138" s="13">
        <f t="shared" si="149"/>
        <v>95.753435947758476</v>
      </c>
      <c r="CW138" s="20">
        <f t="shared" si="121"/>
        <v>897.69745477567938</v>
      </c>
      <c r="CX138" s="59">
        <f t="shared" si="122"/>
        <v>1191.0307881090127</v>
      </c>
      <c r="CY138" s="59">
        <f ca="1">AVERAGE(OFFSET($CX$3,0,0,'Données projet'!$E$13+1,1))-AVERAGE(OFFSET($H$3,0,0,'Données projet'!$E$13+1,1))</f>
        <v>402.54350692668021</v>
      </c>
      <c r="CZ138" s="59">
        <f t="shared" si="150"/>
        <v>163.60655196884522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92.066472112526398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92.066472112526398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404.00000000000017</v>
      </c>
      <c r="DP138" s="17">
        <f>DO138*VLOOKUP('Données projet'!$B$14,Paramètres!$A$1:$I$89,3,0)*VLOOKUP('Données projet'!$B$14,Paramètres!$A$1:$I$89,5,0)</f>
        <v>346.63200000000018</v>
      </c>
      <c r="DQ138" s="13">
        <f t="shared" si="151"/>
        <v>80.868615263336864</v>
      </c>
      <c r="DR138" s="20">
        <f t="shared" si="124"/>
        <v>744.56357158364528</v>
      </c>
      <c r="DS138" s="59">
        <f t="shared" si="125"/>
        <v>1037.8969049169787</v>
      </c>
      <c r="DT138" s="59">
        <f ca="1">AVERAGE(OFFSET($DS$3,0,0,'Données projet'!$E$14+1,1))-AVERAGE(OFFSET($H$3,0,0,'Données projet'!$E$14+1,1))</f>
        <v>352.76625414822473</v>
      </c>
      <c r="DU138" s="59">
        <f t="shared" si="152"/>
        <v>186.48649111821521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74.266810474449755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74.266810474449755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210.25641030000014</v>
      </c>
      <c r="EK138" s="17">
        <f>EJ138*VLOOKUP('Données projet'!$B$15,Paramètres!$A$1:$I$89,3,0)*VLOOKUP('Données projet'!$B$15,Paramètres!$A$1:$I$89,5,0)</f>
        <v>164.00000003400012</v>
      </c>
      <c r="EL138" s="13">
        <f t="shared" si="153"/>
        <v>41.743425916009095</v>
      </c>
      <c r="EM138" s="20">
        <f t="shared" si="127"/>
        <v>358.3364668629327</v>
      </c>
      <c r="EN138" s="59">
        <f t="shared" si="128"/>
        <v>651.66980019626601</v>
      </c>
      <c r="EO138" s="59">
        <f ca="1">AVERAGE(OFFSET($EN$3,0,0,'Données projet'!$E$15+1,1))-AVERAGE(OFFSET($H$3,0,0,'Données projet'!$E$15+1,1))</f>
        <v>130.66539383144681</v>
      </c>
      <c r="EP138" s="59">
        <f t="shared" si="154"/>
        <v>126.36398121441903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8.7393413622825147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8.7393413622825147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7.0766666666666636</v>
      </c>
      <c r="FE138" s="12">
        <f>IF('Données projet'!$A$218&gt;35,FE137+FD138-FM137,IF(A138&lt;'Données projet'!$A$218,$FB$205^A138,IF(A138='Données projet'!$A$218,'Données projet'!$B$218,FE137+FD138-FM137)))</f>
        <v>413.87666666666667</v>
      </c>
      <c r="FF138" s="17">
        <f>FE138*VLOOKUP('Données projet'!$B$16,Paramètres!$A$1:$I$89,3,0)*VLOOKUP('Données projet'!$B$16,Paramètres!$A$1:$I$89,5,0)</f>
        <v>400.30151199999995</v>
      </c>
      <c r="FG138" s="13">
        <f t="shared" si="155"/>
        <v>91.837789471197496</v>
      </c>
      <c r="FH138" s="20">
        <f t="shared" si="130"/>
        <v>857.14261672900227</v>
      </c>
      <c r="FI138" s="59">
        <f t="shared" si="131"/>
        <v>1150.4759500623356</v>
      </c>
      <c r="FJ138" s="59">
        <f ca="1">AVERAGE(OFFSET($FI$3,0,0,'Données projet'!$E$16+1,1))-AVERAGE(OFFSET($H$3,0,0,'Données projet'!$E$16+1,1))</f>
        <v>380.43199889536805</v>
      </c>
      <c r="FK138" s="59">
        <f t="shared" si="156"/>
        <v>154.72646317672996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87.817250322717499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87.817250322717499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304</v>
      </c>
      <c r="O139" s="13">
        <f>N139*VLOOKUP('Données projet'!$B$9,Paramètres!$A$1:$I$89,3,0)*VLOOKUP('Données projet'!$B$9,Paramètres!$A$1:$I$89,5,0)</f>
        <v>189.696</v>
      </c>
      <c r="P139" s="13">
        <f t="shared" si="141"/>
        <v>47.472736505152469</v>
      </c>
      <c r="Q139" s="20">
        <f t="shared" si="108"/>
        <v>413.06888274647389</v>
      </c>
      <c r="R139" s="59">
        <f t="shared" si="109"/>
        <v>706.4022160798072</v>
      </c>
      <c r="S139" s="59">
        <f ca="1">AVERAGE(OFFSET($R$3,0,0,'Données projet'!$E$9+1,1))-AVERAGE(OFFSET($H$3,0,0,'Données projet'!$E$9+1,1))</f>
        <v>179.44051550872138</v>
      </c>
      <c r="T139" s="59">
        <f t="shared" si="142"/>
        <v>272.9500808380069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15.072514140378059</v>
      </c>
      <c r="AA139" s="21">
        <f>EXP(-LN(2)/25)*AA138+(1-EXP(-LN(2)/25))/(LN(2)/25)*Calculateur!V139*Calculateur!X139*VLOOKUP('Données projet'!$B$9,Paramètres!$A$1:$I$89,3,0)*0.475*44/12</f>
        <v>2.5608503585397999</v>
      </c>
      <c r="AB139" s="21">
        <f>EXP(-LN(2)/2)*AB138+(1-EXP(-LN(2)/2))/(LN(2)/2)*V139*Y139*VLOOKUP('Données projet'!$B$9,Paramètres!$A$1:$I$89,3,0)*0.475*44/12</f>
        <v>2.4512092135793415E-17</v>
      </c>
      <c r="AC139" s="22">
        <f t="shared" si="111"/>
        <v>17.63336449891786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2.4999999999997442</v>
      </c>
      <c r="AJ139" s="13">
        <f>AI139*VLOOKUP('Données projet'!$B$10,Paramètres!$A$1:$I$89,3,0)*VLOOKUP('Données projet'!$B$10,Paramètres!$A$1:$I$89,5,0)</f>
        <v>1.2024999999998769</v>
      </c>
      <c r="AK139" s="13">
        <f t="shared" si="143"/>
        <v>0.54239446125464896</v>
      </c>
      <c r="AL139" s="20">
        <f t="shared" si="112"/>
        <v>3.0390245200182986</v>
      </c>
      <c r="AM139" s="59">
        <f t="shared" si="113"/>
        <v>296.37235785335162</v>
      </c>
      <c r="AN139" s="59">
        <f ca="1">AVERAGE(OFFSET($AM$3,0,0,'Données projet'!$E$10+1,1))-AVERAGE(OFFSET($H$3,0,0,'Données projet'!$E$10+1,1))</f>
        <v>174.18188687702559</v>
      </c>
      <c r="AO139" s="59">
        <f t="shared" si="144"/>
        <v>32.17353897322738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156.46536010722326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156.46536010722326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0.8600000000003547</v>
      </c>
      <c r="BE139" s="13">
        <f>BD139*VLOOKUP('Données projet'!$B$11,Paramètres!$A$1:$I$89,3,0)*VLOOKUP('Données projet'!$B$11,Paramètres!$A$1:$I$89,5,0)</f>
        <v>0.48074000000019829</v>
      </c>
      <c r="BF139" s="13">
        <f t="shared" si="145"/>
        <v>0.24126147010950588</v>
      </c>
      <c r="BG139" s="20">
        <f t="shared" si="115"/>
        <v>1.2574858937744013</v>
      </c>
      <c r="BH139" s="59">
        <f t="shared" si="116"/>
        <v>294.59081922710772</v>
      </c>
      <c r="BI139" s="59">
        <f ca="1">AVERAGE(OFFSET($BH$3,0,0,'Données projet'!$E$11+1,1))-AVERAGE(OFFSET($H$3,0,0,'Données projet'!$E$11+1,1))</f>
        <v>350.01600895263641</v>
      </c>
      <c r="BJ139" s="59">
        <f t="shared" si="146"/>
        <v>464.08921044376882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74.752908132531175</v>
      </c>
      <c r="BQ139" s="21">
        <f>EXP(-LN(2)/25)*BQ138+(1-EXP(-LN(2)/25))/(LN(2)/25)*Calculateur!BL139*Calculateur!BN139*VLOOKUP('Données projet'!$B$11,Paramètres!$A$1:$I$89,3,0)*0.475*44/12</f>
        <v>2.6763116948022692</v>
      </c>
      <c r="BR139" s="21">
        <f>EXP(-LN(2)/2)*BR138+(1-EXP(-LN(2)/2))/(LN(2)/2)*BL139*BO139*VLOOKUP('Données projet'!$B$11,Paramètres!$A$1:$I$89,3,0)*0.475*44/12</f>
        <v>8.2147680775836134E-17</v>
      </c>
      <c r="BS139" s="22">
        <f t="shared" si="117"/>
        <v>77.429219827333441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253.79640000000001</v>
      </c>
      <c r="CA139" s="13">
        <f t="shared" si="147"/>
        <v>61.39816832228076</v>
      </c>
      <c r="CB139" s="20">
        <f t="shared" si="118"/>
        <v>548.96387316130563</v>
      </c>
      <c r="CC139" s="59">
        <f t="shared" si="119"/>
        <v>842.29720649463889</v>
      </c>
      <c r="CD139" s="59">
        <f ca="1">AVERAGE(OFFSET($CC$3,0,0,'Données projet'!$E$12+1,1))-AVERAGE(OFFSET($H$3,0,0,'Données projet'!$E$12+1,1))</f>
        <v>279.49721661620544</v>
      </c>
      <c r="CE139" s="59">
        <f t="shared" si="148"/>
        <v>275.18739333988754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17.538977543547151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17.538977543547151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7.0766666666666636</v>
      </c>
      <c r="CT139" s="12">
        <f>IF('Données projet'!$A$140&gt;35,CT138+CS139-DB138,IF(A139&lt;'Données projet'!$A$140,$CQ$205^A139,IF(A139='Données projet'!$A$140,'Données projet'!$B$140,CT138+CS139-DB138)))</f>
        <v>420.95333333333332</v>
      </c>
      <c r="CU139" s="17">
        <f>CT139*VLOOKUP('Données projet'!$B$13,Paramètres!$A$1:$I$89,3,0)*VLOOKUP('Données projet'!$B$13,Paramètres!$A$1:$I$89,5,0)</f>
        <v>426.84667999999999</v>
      </c>
      <c r="CV139" s="13">
        <f t="shared" si="149"/>
        <v>97.198670058184987</v>
      </c>
      <c r="CW139" s="20">
        <f t="shared" si="121"/>
        <v>912.71231801800559</v>
      </c>
      <c r="CX139" s="59">
        <f t="shared" si="122"/>
        <v>1206.0456513513388</v>
      </c>
      <c r="CY139" s="59">
        <f ca="1">AVERAGE(OFFSET($CX$3,0,0,'Données projet'!$E$13+1,1))-AVERAGE(OFFSET($H$3,0,0,'Données projet'!$E$13+1,1))</f>
        <v>402.54350692668021</v>
      </c>
      <c r="CZ139" s="59">
        <f t="shared" si="150"/>
        <v>163.60655196884522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90.261104749402904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90.261104749402904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404.00000000000017</v>
      </c>
      <c r="DP139" s="17">
        <f>DO139*VLOOKUP('Données projet'!$B$14,Paramètres!$A$1:$I$89,3,0)*VLOOKUP('Données projet'!$B$14,Paramètres!$A$1:$I$89,5,0)</f>
        <v>346.63200000000018</v>
      </c>
      <c r="DQ139" s="13">
        <f t="shared" si="151"/>
        <v>80.868615263336864</v>
      </c>
      <c r="DR139" s="20">
        <f t="shared" si="124"/>
        <v>744.56357158364528</v>
      </c>
      <c r="DS139" s="59">
        <f t="shared" si="125"/>
        <v>1037.8969049169787</v>
      </c>
      <c r="DT139" s="59">
        <f ca="1">AVERAGE(OFFSET($DS$3,0,0,'Données projet'!$E$14+1,1))-AVERAGE(OFFSET($H$3,0,0,'Données projet'!$E$14+1,1))</f>
        <v>352.76625414822473</v>
      </c>
      <c r="DU139" s="59">
        <f t="shared" si="152"/>
        <v>186.48649111821521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72.810483619327357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72.810483619327357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210.25641030000014</v>
      </c>
      <c r="EK139" s="17">
        <f>EJ139*VLOOKUP('Données projet'!$B$15,Paramètres!$A$1:$I$89,3,0)*VLOOKUP('Données projet'!$B$15,Paramètres!$A$1:$I$89,5,0)</f>
        <v>164.00000003400012</v>
      </c>
      <c r="EL139" s="13">
        <f t="shared" si="153"/>
        <v>41.743425916009095</v>
      </c>
      <c r="EM139" s="20">
        <f t="shared" si="127"/>
        <v>358.3364668629327</v>
      </c>
      <c r="EN139" s="59">
        <f t="shared" si="128"/>
        <v>651.66980019626601</v>
      </c>
      <c r="EO139" s="59">
        <f ca="1">AVERAGE(OFFSET($EN$3,0,0,'Données projet'!$E$15+1,1))-AVERAGE(OFFSET($H$3,0,0,'Données projet'!$E$15+1,1))</f>
        <v>130.66539383144681</v>
      </c>
      <c r="EP139" s="59">
        <f t="shared" si="154"/>
        <v>126.36398121441903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8.5679682086400444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8.5679682086400444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7.0766666666666636</v>
      </c>
      <c r="FE139" s="12">
        <f>IF('Données projet'!$A$218&gt;35,FE138+FD139-FM138,IF(A139&lt;'Données projet'!$A$218,$FB$205^A139,IF(A139='Données projet'!$A$218,'Données projet'!$B$218,FE138+FD139-FM138)))</f>
        <v>420.95333333333332</v>
      </c>
      <c r="FF139" s="17">
        <f>FE139*VLOOKUP('Données projet'!$B$16,Paramètres!$A$1:$I$89,3,0)*VLOOKUP('Données projet'!$B$16,Paramètres!$A$1:$I$89,5,0)</f>
        <v>407.14606399999997</v>
      </c>
      <c r="FG139" s="13">
        <f t="shared" si="155"/>
        <v>93.223923604727247</v>
      </c>
      <c r="FH139" s="20">
        <f t="shared" si="130"/>
        <v>871.47772841156655</v>
      </c>
      <c r="FI139" s="59">
        <f t="shared" si="131"/>
        <v>1164.8110617448999</v>
      </c>
      <c r="FJ139" s="59">
        <f ca="1">AVERAGE(OFFSET($FI$3,0,0,'Données projet'!$E$16+1,1))-AVERAGE(OFFSET($H$3,0,0,'Données projet'!$E$16+1,1))</f>
        <v>380.43199889536805</v>
      </c>
      <c r="FK139" s="59">
        <f t="shared" si="156"/>
        <v>154.72646317672996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86.095207607122774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86.095207607122774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304</v>
      </c>
      <c r="O140" s="13">
        <f>N140*VLOOKUP('Données projet'!$B$9,Paramètres!$A$1:$I$89,3,0)*VLOOKUP('Données projet'!$B$9,Paramètres!$A$1:$I$89,5,0)</f>
        <v>189.696</v>
      </c>
      <c r="P140" s="13">
        <f t="shared" si="141"/>
        <v>47.472736505152469</v>
      </c>
      <c r="Q140" s="20">
        <f t="shared" si="108"/>
        <v>413.06888274647389</v>
      </c>
      <c r="R140" s="59">
        <f t="shared" si="109"/>
        <v>706.4022160798072</v>
      </c>
      <c r="S140" s="59">
        <f ca="1">AVERAGE(OFFSET($R$3,0,0,'Données projet'!$E$9+1,1))-AVERAGE(OFFSET($H$3,0,0,'Données projet'!$E$9+1,1))</f>
        <v>179.44051550872138</v>
      </c>
      <c r="T140" s="59">
        <f t="shared" si="142"/>
        <v>272.9500808380069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14.776951331411105</v>
      </c>
      <c r="AA140" s="21">
        <f>EXP(-LN(2)/25)*AA139+(1-EXP(-LN(2)/25))/(LN(2)/25)*Calculateur!V140*Calculateur!X140*VLOOKUP('Données projet'!$B$9,Paramètres!$A$1:$I$89,3,0)*0.475*44/12</f>
        <v>2.4908237708162617</v>
      </c>
      <c r="AB140" s="21">
        <f>EXP(-LN(2)/2)*AB139+(1-EXP(-LN(2)/2))/(LN(2)/2)*V140*Y140*VLOOKUP('Données projet'!$B$9,Paramètres!$A$1:$I$89,3,0)*0.475*44/12</f>
        <v>1.7332666570288966E-17</v>
      </c>
      <c r="AC140" s="22">
        <f t="shared" si="111"/>
        <v>17.267775102227368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2.4999999999997442</v>
      </c>
      <c r="AJ140" s="13">
        <f>AI140*VLOOKUP('Données projet'!$B$10,Paramètres!$A$1:$I$89,3,0)*VLOOKUP('Données projet'!$B$10,Paramètres!$A$1:$I$89,5,0)</f>
        <v>1.2024999999998769</v>
      </c>
      <c r="AK140" s="13">
        <f t="shared" si="143"/>
        <v>0.54239446125464896</v>
      </c>
      <c r="AL140" s="20">
        <f t="shared" si="112"/>
        <v>3.0390245200182986</v>
      </c>
      <c r="AM140" s="59">
        <f t="shared" si="113"/>
        <v>296.37235785335162</v>
      </c>
      <c r="AN140" s="59">
        <f ca="1">AVERAGE(OFFSET($AM$3,0,0,'Données projet'!$E$10+1,1))-AVERAGE(OFFSET($H$3,0,0,'Données projet'!$E$10+1,1))</f>
        <v>174.18188687702559</v>
      </c>
      <c r="AO140" s="59">
        <f t="shared" si="144"/>
        <v>32.17353897322738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153.39716982996691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153.39716982996691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0.8600000000003547</v>
      </c>
      <c r="BE140" s="13">
        <f>BD140*VLOOKUP('Données projet'!$B$11,Paramètres!$A$1:$I$89,3,0)*VLOOKUP('Données projet'!$B$11,Paramètres!$A$1:$I$89,5,0)</f>
        <v>0.48074000000019829</v>
      </c>
      <c r="BF140" s="13">
        <f t="shared" si="145"/>
        <v>0.24126147010950588</v>
      </c>
      <c r="BG140" s="20">
        <f t="shared" si="115"/>
        <v>1.2574858937744013</v>
      </c>
      <c r="BH140" s="59">
        <f t="shared" si="116"/>
        <v>294.59081922710772</v>
      </c>
      <c r="BI140" s="59">
        <f ca="1">AVERAGE(OFFSET($BH$3,0,0,'Données projet'!$E$11+1,1))-AVERAGE(OFFSET($H$3,0,0,'Données projet'!$E$11+1,1))</f>
        <v>350.01600895263641</v>
      </c>
      <c r="BJ140" s="59">
        <f t="shared" si="146"/>
        <v>464.08921044376882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73.287049198824093</v>
      </c>
      <c r="BQ140" s="21">
        <f>EXP(-LN(2)/25)*BQ139+(1-EXP(-LN(2)/25))/(LN(2)/25)*Calculateur!BL140*Calculateur!BN140*VLOOKUP('Données projet'!$B$11,Paramètres!$A$1:$I$89,3,0)*0.475*44/12</f>
        <v>2.6031278107667859</v>
      </c>
      <c r="BR140" s="21">
        <f>EXP(-LN(2)/2)*BR139+(1-EXP(-LN(2)/2))/(LN(2)/2)*BL140*BO140*VLOOKUP('Données projet'!$B$11,Paramètres!$A$1:$I$89,3,0)*0.475*44/12</f>
        <v>5.8087182135341516E-17</v>
      </c>
      <c r="BS140" s="22">
        <f t="shared" si="117"/>
        <v>75.890177009590872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253.79640000000001</v>
      </c>
      <c r="CA140" s="13">
        <f t="shared" si="147"/>
        <v>61.39816832228076</v>
      </c>
      <c r="CB140" s="20">
        <f t="shared" si="118"/>
        <v>548.96387316130563</v>
      </c>
      <c r="CC140" s="59">
        <f t="shared" si="119"/>
        <v>842.29720649463889</v>
      </c>
      <c r="CD140" s="59">
        <f ca="1">AVERAGE(OFFSET($CC$3,0,0,'Données projet'!$E$12+1,1))-AVERAGE(OFFSET($H$3,0,0,'Données projet'!$E$12+1,1))</f>
        <v>279.49721661620544</v>
      </c>
      <c r="CE140" s="59">
        <f t="shared" si="148"/>
        <v>275.18739333988754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17.19504889163818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17.19504889163818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428.03</v>
      </c>
      <c r="CR140" s="12">
        <f>VLOOKUP(A140,'Données projet'!$A$139:$I$159,9,0)</f>
        <v>7.0766666666666636</v>
      </c>
      <c r="CS140" s="12">
        <f t="array" ref="CS140">INDEX(CR:CR,MIN(IF(ISNUMBER(CR140:CR336),ROW(CR140:CR336),"")))</f>
        <v>7.0766666666666636</v>
      </c>
      <c r="CT140" s="12">
        <f>IF('Données projet'!$A$140&gt;35,CT139+CS140-DB139,IF(A140&lt;'Données projet'!$A$140,$CQ$205^A140,IF(A140='Données projet'!$A$140,'Données projet'!$B$140,CT139+CS140-DB139)))</f>
        <v>428.03</v>
      </c>
      <c r="CU140" s="17">
        <f>CT140*VLOOKUP('Données projet'!$B$13,Paramètres!$A$1:$I$89,3,0)*VLOOKUP('Données projet'!$B$13,Paramètres!$A$1:$I$89,5,0)</f>
        <v>434.02242000000001</v>
      </c>
      <c r="CV140" s="13">
        <f t="shared" si="149"/>
        <v>98.64107875032343</v>
      </c>
      <c r="CW140" s="20">
        <f t="shared" si="121"/>
        <v>927.72226032347999</v>
      </c>
      <c r="CX140" s="59">
        <f t="shared" si="122"/>
        <v>1221.0555936568132</v>
      </c>
      <c r="CY140" s="59">
        <f ca="1">AVERAGE(OFFSET($CX$3,0,0,'Données projet'!$E$13+1,1))-AVERAGE(OFFSET($H$3,0,0,'Données projet'!$E$13+1,1))</f>
        <v>402.54350692668021</v>
      </c>
      <c r="CZ140" s="59">
        <f t="shared" si="150"/>
        <v>163.60655196884522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65.53</v>
      </c>
      <c r="DC140" s="16">
        <f>IF(ISNA(VLOOKUP(A140,'Données projet'!$A$139:$I$159,5,0)),0%,VLOOKUP(A140,'Données projet'!$A$139:$I$159,5,0)*VLOOKUP('Données projet'!$B$13,Paramètres!$A$1:$I$89,7,0))</f>
        <v>0.43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120.07707101985059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120.07707101985059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404.00000000000017</v>
      </c>
      <c r="DP140" s="17">
        <f>DO140*VLOOKUP('Données projet'!$B$14,Paramètres!$A$1:$I$89,3,0)*VLOOKUP('Données projet'!$B$14,Paramètres!$A$1:$I$89,5,0)</f>
        <v>346.63200000000018</v>
      </c>
      <c r="DQ140" s="13">
        <f t="shared" si="151"/>
        <v>80.868615263336864</v>
      </c>
      <c r="DR140" s="20">
        <f t="shared" si="124"/>
        <v>744.56357158364528</v>
      </c>
      <c r="DS140" s="59">
        <f t="shared" si="125"/>
        <v>1037.8969049169787</v>
      </c>
      <c r="DT140" s="59">
        <f ca="1">AVERAGE(OFFSET($DS$3,0,0,'Données projet'!$E$14+1,1))-AVERAGE(OFFSET($H$3,0,0,'Données projet'!$E$14+1,1))</f>
        <v>352.76625414822473</v>
      </c>
      <c r="DU140" s="59">
        <f t="shared" si="152"/>
        <v>186.48649111821521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71.382714445562229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71.382714445562229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210.25641030000014</v>
      </c>
      <c r="EK140" s="17">
        <f>EJ140*VLOOKUP('Données projet'!$B$15,Paramètres!$A$1:$I$89,3,0)*VLOOKUP('Données projet'!$B$15,Paramètres!$A$1:$I$89,5,0)</f>
        <v>164.00000003400012</v>
      </c>
      <c r="EL140" s="13">
        <f t="shared" si="153"/>
        <v>41.743425916009095</v>
      </c>
      <c r="EM140" s="20">
        <f t="shared" si="127"/>
        <v>358.3364668629327</v>
      </c>
      <c r="EN140" s="59">
        <f t="shared" si="128"/>
        <v>651.66980019626601</v>
      </c>
      <c r="EO140" s="59">
        <f ca="1">AVERAGE(OFFSET($EN$3,0,0,'Données projet'!$E$15+1,1))-AVERAGE(OFFSET($H$3,0,0,'Données projet'!$E$15+1,1))</f>
        <v>130.66539383144681</v>
      </c>
      <c r="EP140" s="59">
        <f t="shared" si="154"/>
        <v>126.36398121441903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8.399955578013202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8.399955578013202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>
        <f>VLOOKUP(A140,'Données projet'!$A$217:$I$237,2,0)</f>
        <v>428.03</v>
      </c>
      <c r="FC140" s="12">
        <f>VLOOKUP(A140,'Données projet'!$A$217:$I$237,9,0)</f>
        <v>7.0766666666666636</v>
      </c>
      <c r="FD140" s="12">
        <f t="array" ref="FD140">INDEX(FC:FC,MIN(IF(ISNUMBER(FC140:FC336),ROW(FC140:FC336),"")))</f>
        <v>7.0766666666666636</v>
      </c>
      <c r="FE140" s="12">
        <f>IF('Données projet'!$A$218&gt;35,FE139+FD140-FM139,IF(A140&lt;'Données projet'!$A$218,$FB$205^A140,IF(A140='Données projet'!$A$218,'Données projet'!$B$218,FE139+FD140-FM139)))</f>
        <v>428.03</v>
      </c>
      <c r="FF140" s="17">
        <f>FE140*VLOOKUP('Données projet'!$B$16,Paramètres!$A$1:$I$89,3,0)*VLOOKUP('Données projet'!$B$16,Paramètres!$A$1:$I$89,5,0)</f>
        <v>413.99061600000005</v>
      </c>
      <c r="FG140" s="13">
        <f t="shared" si="155"/>
        <v>94.607347859834917</v>
      </c>
      <c r="FH140" s="20">
        <f t="shared" si="130"/>
        <v>885.8081203892126</v>
      </c>
      <c r="FI140" s="59">
        <f t="shared" si="131"/>
        <v>1179.141453722546</v>
      </c>
      <c r="FJ140" s="59">
        <f ca="1">AVERAGE(OFFSET($FI$3,0,0,'Données projet'!$E$16+1,1))-AVERAGE(OFFSET($H$3,0,0,'Données projet'!$E$16+1,1))</f>
        <v>380.43199889536805</v>
      </c>
      <c r="FK140" s="59">
        <f t="shared" si="156"/>
        <v>154.72646317672996</v>
      </c>
      <c r="FL140" s="15">
        <f>IF(ISNA(VLOOKUP(A140,'Données projet'!$A$217:$I$237,3,0)),0,VLOOKUP(A140,'Données projet'!$A$217:$I$237,3,0))</f>
        <v>11</v>
      </c>
      <c r="FM140" s="15">
        <f>IF(ISNA(VLOOKUP(A140,'Données projet'!$A$217:$I$237,4,0)),0,VLOOKUP(A140,'Données projet'!$A$217:$I$237,4,0))</f>
        <v>65.53</v>
      </c>
      <c r="FN140" s="16">
        <f>IF(ISNA(VLOOKUP(A140,'Données projet'!$A$217:$I$237,5,0)),0%,VLOOKUP(A140,'Données projet'!$A$217:$I$237,5,0)*VLOOKUP('Données projet'!$B$16,Paramètres!$A$1:$I$89,7,0))</f>
        <v>0.43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114.53505235739595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114.53505235739595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304</v>
      </c>
      <c r="O141" s="13">
        <f>N141*VLOOKUP('Données projet'!$B$9,Paramètres!$A$1:$I$89,3,0)*VLOOKUP('Données projet'!$B$9,Paramètres!$A$1:$I$89,5,0)</f>
        <v>189.696</v>
      </c>
      <c r="P141" s="13">
        <f t="shared" si="141"/>
        <v>47.472736505152469</v>
      </c>
      <c r="Q141" s="20">
        <f t="shared" si="108"/>
        <v>413.06888274647389</v>
      </c>
      <c r="R141" s="59">
        <f t="shared" si="109"/>
        <v>706.4022160798072</v>
      </c>
      <c r="S141" s="59">
        <f ca="1">AVERAGE(OFFSET($R$3,0,0,'Données projet'!$E$9+1,1))-AVERAGE(OFFSET($H$3,0,0,'Données projet'!$E$9+1,1))</f>
        <v>179.44051550872138</v>
      </c>
      <c r="T141" s="59">
        <f t="shared" si="142"/>
        <v>272.9500808380069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14.48718432885248</v>
      </c>
      <c r="AA141" s="21">
        <f>EXP(-LN(2)/25)*AA140+(1-EXP(-LN(2)/25))/(LN(2)/25)*Calculateur!V141*Calculateur!X141*VLOOKUP('Données projet'!$B$9,Paramètres!$A$1:$I$89,3,0)*0.475*44/12</f>
        <v>2.4227120638165616</v>
      </c>
      <c r="AB141" s="21">
        <f>EXP(-LN(2)/2)*AB140+(1-EXP(-LN(2)/2))/(LN(2)/2)*V141*Y141*VLOOKUP('Données projet'!$B$9,Paramètres!$A$1:$I$89,3,0)*0.475*44/12</f>
        <v>1.2256046067896707E-17</v>
      </c>
      <c r="AC141" s="22">
        <f t="shared" si="111"/>
        <v>16.90989639266904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2.4999999999997442</v>
      </c>
      <c r="AJ141" s="13">
        <f>AI141*VLOOKUP('Données projet'!$B$10,Paramètres!$A$1:$I$89,3,0)*VLOOKUP('Données projet'!$B$10,Paramètres!$A$1:$I$89,5,0)</f>
        <v>1.2024999999998769</v>
      </c>
      <c r="AK141" s="13">
        <f t="shared" si="143"/>
        <v>0.54239446125464896</v>
      </c>
      <c r="AL141" s="20">
        <f t="shared" si="112"/>
        <v>3.0390245200182986</v>
      </c>
      <c r="AM141" s="59">
        <f t="shared" si="113"/>
        <v>296.37235785335162</v>
      </c>
      <c r="AN141" s="59">
        <f ca="1">AVERAGE(OFFSET($AM$3,0,0,'Données projet'!$E$10+1,1))-AVERAGE(OFFSET($H$3,0,0,'Données projet'!$E$10+1,1))</f>
        <v>174.18188687702559</v>
      </c>
      <c r="AO141" s="59">
        <f t="shared" si="144"/>
        <v>32.17353897322738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150.38914489263627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150.38914489263627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0.8600000000003547</v>
      </c>
      <c r="BE141" s="13">
        <f>BD141*VLOOKUP('Données projet'!$B$11,Paramètres!$A$1:$I$89,3,0)*VLOOKUP('Données projet'!$B$11,Paramètres!$A$1:$I$89,5,0)</f>
        <v>0.48074000000019829</v>
      </c>
      <c r="BF141" s="13">
        <f t="shared" si="145"/>
        <v>0.24126147010950588</v>
      </c>
      <c r="BG141" s="20">
        <f t="shared" si="115"/>
        <v>1.2574858937744013</v>
      </c>
      <c r="BH141" s="59">
        <f t="shared" si="116"/>
        <v>294.59081922710772</v>
      </c>
      <c r="BI141" s="59">
        <f ca="1">AVERAGE(OFFSET($BH$3,0,0,'Données projet'!$E$11+1,1))-AVERAGE(OFFSET($H$3,0,0,'Données projet'!$E$11+1,1))</f>
        <v>350.01600895263641</v>
      </c>
      <c r="BJ141" s="59">
        <f t="shared" si="146"/>
        <v>464.08921044376882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71.849934864721334</v>
      </c>
      <c r="BQ141" s="21">
        <f>EXP(-LN(2)/25)*BQ140+(1-EXP(-LN(2)/25))/(LN(2)/25)*Calculateur!BL141*Calculateur!BN141*VLOOKUP('Données projet'!$B$11,Paramètres!$A$1:$I$89,3,0)*0.475*44/12</f>
        <v>2.5319451438888261</v>
      </c>
      <c r="BR141" s="21">
        <f>EXP(-LN(2)/2)*BR140+(1-EXP(-LN(2)/2))/(LN(2)/2)*BL141*BO141*VLOOKUP('Données projet'!$B$11,Paramètres!$A$1:$I$89,3,0)*0.475*44/12</f>
        <v>4.1073840387918067E-17</v>
      </c>
      <c r="BS141" s="22">
        <f t="shared" si="117"/>
        <v>74.381880008610153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253.79640000000001</v>
      </c>
      <c r="CA141" s="13">
        <f t="shared" si="147"/>
        <v>61.39816832228076</v>
      </c>
      <c r="CB141" s="20">
        <f t="shared" si="118"/>
        <v>548.96387316130563</v>
      </c>
      <c r="CC141" s="59">
        <f t="shared" si="119"/>
        <v>842.29720649463889</v>
      </c>
      <c r="CD141" s="59">
        <f ca="1">AVERAGE(OFFSET($CC$3,0,0,'Données projet'!$E$12+1,1))-AVERAGE(OFFSET($H$3,0,0,'Données projet'!$E$12+1,1))</f>
        <v>279.49721661620544</v>
      </c>
      <c r="CE141" s="59">
        <f t="shared" si="148"/>
        <v>275.18739333988754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16.857864470817379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16.857864470817379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6.8383333333333338</v>
      </c>
      <c r="CT141" s="12">
        <f>IF('Données projet'!$A$140&gt;35,CT140+CS141-DB140,IF(A141&lt;'Données projet'!$A$140,$CQ$205^A141,IF(A141='Données projet'!$A$140,'Données projet'!$B$140,CT140+CS141-DB140)))</f>
        <v>369.33833333333325</v>
      </c>
      <c r="CU141" s="17">
        <f>CT141*VLOOKUP('Données projet'!$B$13,Paramètres!$A$1:$I$89,3,0)*VLOOKUP('Données projet'!$B$13,Paramètres!$A$1:$I$89,5,0)</f>
        <v>374.50906999999995</v>
      </c>
      <c r="CV141" s="13">
        <f t="shared" si="149"/>
        <v>86.58913248043946</v>
      </c>
      <c r="CW141" s="20">
        <f t="shared" si="121"/>
        <v>803.07936932009852</v>
      </c>
      <c r="CX141" s="59">
        <f t="shared" si="122"/>
        <v>1096.4127026534318</v>
      </c>
      <c r="CY141" s="59">
        <f ca="1">AVERAGE(OFFSET($CX$3,0,0,'Données projet'!$E$13+1,1))-AVERAGE(OFFSET($H$3,0,0,'Données projet'!$E$13+1,1))</f>
        <v>402.54350692668021</v>
      </c>
      <c r="CZ141" s="59">
        <f t="shared" si="150"/>
        <v>163.60655196884522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117.72243289693282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117.72243289693282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404.00000000000017</v>
      </c>
      <c r="DP141" s="17">
        <f>DO141*VLOOKUP('Données projet'!$B$14,Paramètres!$A$1:$I$89,3,0)*VLOOKUP('Données projet'!$B$14,Paramètres!$A$1:$I$89,5,0)</f>
        <v>346.63200000000018</v>
      </c>
      <c r="DQ141" s="13">
        <f t="shared" si="151"/>
        <v>80.868615263336864</v>
      </c>
      <c r="DR141" s="20">
        <f t="shared" si="124"/>
        <v>744.56357158364528</v>
      </c>
      <c r="DS141" s="59">
        <f t="shared" si="125"/>
        <v>1037.8969049169787</v>
      </c>
      <c r="DT141" s="59">
        <f ca="1">AVERAGE(OFFSET($DS$3,0,0,'Données projet'!$E$14+1,1))-AVERAGE(OFFSET($H$3,0,0,'Données projet'!$E$14+1,1))</f>
        <v>352.76625414822473</v>
      </c>
      <c r="DU141" s="59">
        <f t="shared" si="152"/>
        <v>186.48649111821521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69.982942954441427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69.982942954441427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210.25641030000014</v>
      </c>
      <c r="EK141" s="17">
        <f>EJ141*VLOOKUP('Données projet'!$B$15,Paramètres!$A$1:$I$89,3,0)*VLOOKUP('Données projet'!$B$15,Paramètres!$A$1:$I$89,5,0)</f>
        <v>164.00000003400012</v>
      </c>
      <c r="EL141" s="13">
        <f t="shared" si="153"/>
        <v>41.743425916009095</v>
      </c>
      <c r="EM141" s="20">
        <f t="shared" si="127"/>
        <v>358.3364668629327</v>
      </c>
      <c r="EN141" s="59">
        <f t="shared" si="128"/>
        <v>651.66980019626601</v>
      </c>
      <c r="EO141" s="59">
        <f ca="1">AVERAGE(OFFSET($EN$3,0,0,'Données projet'!$E$15+1,1))-AVERAGE(OFFSET($H$3,0,0,'Données projet'!$E$15+1,1))</f>
        <v>130.66539383144681</v>
      </c>
      <c r="EP141" s="59">
        <f t="shared" si="154"/>
        <v>126.36398121441903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8.2352375725953646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8.2352375725953646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6.8383333333333338</v>
      </c>
      <c r="FE141" s="12">
        <f>IF('Données projet'!$A$218&gt;35,FE140+FD141-FM140,IF(A141&lt;'Données projet'!$A$218,$FB$205^A141,IF(A141='Données projet'!$A$218,'Données projet'!$B$218,FE140+FD141-FM140)))</f>
        <v>369.33833333333325</v>
      </c>
      <c r="FF141" s="17">
        <f>FE141*VLOOKUP('Données projet'!$B$16,Paramètres!$A$1:$I$89,3,0)*VLOOKUP('Données projet'!$B$16,Paramètres!$A$1:$I$89,5,0)</f>
        <v>357.2240359999999</v>
      </c>
      <c r="FG141" s="13">
        <f t="shared" si="155"/>
        <v>83.048241982363891</v>
      </c>
      <c r="FH141" s="20">
        <f t="shared" si="130"/>
        <v>766.80755081928362</v>
      </c>
      <c r="FI141" s="59">
        <f t="shared" si="131"/>
        <v>1060.140884152617</v>
      </c>
      <c r="FJ141" s="59">
        <f ca="1">AVERAGE(OFFSET($FI$3,0,0,'Données projet'!$E$16+1,1))-AVERAGE(OFFSET($H$3,0,0,'Données projet'!$E$16+1,1))</f>
        <v>380.43199889536805</v>
      </c>
      <c r="FK141" s="59">
        <f t="shared" si="156"/>
        <v>154.72646317672996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112.28908984015131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112.28908984015131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304</v>
      </c>
      <c r="O142" s="13">
        <f>N142*VLOOKUP('Données projet'!$B$9,Paramètres!$A$1:$I$89,3,0)*VLOOKUP('Données projet'!$B$9,Paramètres!$A$1:$I$89,5,0)</f>
        <v>189.696</v>
      </c>
      <c r="P142" s="13">
        <f t="shared" si="141"/>
        <v>47.472736505152469</v>
      </c>
      <c r="Q142" s="20">
        <f t="shared" si="108"/>
        <v>413.06888274647389</v>
      </c>
      <c r="R142" s="59">
        <f t="shared" si="109"/>
        <v>706.4022160798072</v>
      </c>
      <c r="S142" s="59">
        <f ca="1">AVERAGE(OFFSET($R$3,0,0,'Données projet'!$E$9+1,1))-AVERAGE(OFFSET($H$3,0,0,'Données projet'!$E$9+1,1))</f>
        <v>179.44051550872138</v>
      </c>
      <c r="T142" s="59">
        <f t="shared" si="142"/>
        <v>272.9500808380069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14.203099480473611</v>
      </c>
      <c r="AA142" s="21">
        <f>EXP(-LN(2)/25)*AA141+(1-EXP(-LN(2)/25))/(LN(2)/25)*Calculateur!V142*Calculateur!X142*VLOOKUP('Données projet'!$B$9,Paramètres!$A$1:$I$89,3,0)*0.475*44/12</f>
        <v>2.3564628750266072</v>
      </c>
      <c r="AB142" s="21">
        <f>EXP(-LN(2)/2)*AB141+(1-EXP(-LN(2)/2))/(LN(2)/2)*V142*Y142*VLOOKUP('Données projet'!$B$9,Paramètres!$A$1:$I$89,3,0)*0.475*44/12</f>
        <v>8.6663332851444831E-18</v>
      </c>
      <c r="AC142" s="22">
        <f t="shared" si="111"/>
        <v>16.559562355500219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2.4999999999997442</v>
      </c>
      <c r="AJ142" s="13">
        <f>AI142*VLOOKUP('Données projet'!$B$10,Paramètres!$A$1:$I$89,3,0)*VLOOKUP('Données projet'!$B$10,Paramètres!$A$1:$I$89,5,0)</f>
        <v>1.2024999999998769</v>
      </c>
      <c r="AK142" s="13">
        <f t="shared" si="143"/>
        <v>0.54239446125464896</v>
      </c>
      <c r="AL142" s="20">
        <f t="shared" si="112"/>
        <v>3.0390245200182986</v>
      </c>
      <c r="AM142" s="59">
        <f t="shared" si="113"/>
        <v>296.37235785335162</v>
      </c>
      <c r="AN142" s="59">
        <f ca="1">AVERAGE(OFFSET($AM$3,0,0,'Données projet'!$E$10+1,1))-AVERAGE(OFFSET($H$3,0,0,'Données projet'!$E$10+1,1))</f>
        <v>174.18188687702559</v>
      </c>
      <c r="AO142" s="59">
        <f t="shared" si="144"/>
        <v>32.17353897322738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147.44010548961265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147.44010548961265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0.8600000000003547</v>
      </c>
      <c r="BE142" s="13">
        <f>BD142*VLOOKUP('Données projet'!$B$11,Paramètres!$A$1:$I$89,3,0)*VLOOKUP('Données projet'!$B$11,Paramètres!$A$1:$I$89,5,0)</f>
        <v>0.48074000000019829</v>
      </c>
      <c r="BF142" s="13">
        <f t="shared" si="145"/>
        <v>0.24126147010950588</v>
      </c>
      <c r="BG142" s="20">
        <f t="shared" si="115"/>
        <v>1.2574858937744013</v>
      </c>
      <c r="BH142" s="59">
        <f t="shared" si="116"/>
        <v>294.59081922710772</v>
      </c>
      <c r="BI142" s="59">
        <f ca="1">AVERAGE(OFFSET($BH$3,0,0,'Données projet'!$E$11+1,1))-AVERAGE(OFFSET($H$3,0,0,'Données projet'!$E$11+1,1))</f>
        <v>350.01600895263641</v>
      </c>
      <c r="BJ142" s="59">
        <f t="shared" si="146"/>
        <v>464.08921044376882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70.441001466157147</v>
      </c>
      <c r="BQ142" s="21">
        <f>EXP(-LN(2)/25)*BQ141+(1-EXP(-LN(2)/25))/(LN(2)/25)*Calculateur!BL142*Calculateur!BN142*VLOOKUP('Données projet'!$B$11,Paramètres!$A$1:$I$89,3,0)*0.475*44/12</f>
        <v>2.4627089707799779</v>
      </c>
      <c r="BR142" s="21">
        <f>EXP(-LN(2)/2)*BR141+(1-EXP(-LN(2)/2))/(LN(2)/2)*BL142*BO142*VLOOKUP('Données projet'!$B$11,Paramètres!$A$1:$I$89,3,0)*0.475*44/12</f>
        <v>2.9043591067670758E-17</v>
      </c>
      <c r="BS142" s="22">
        <f t="shared" si="117"/>
        <v>72.903710436937118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253.79640000000001</v>
      </c>
      <c r="CA142" s="13">
        <f t="shared" si="147"/>
        <v>61.39816832228076</v>
      </c>
      <c r="CB142" s="20">
        <f t="shared" si="118"/>
        <v>548.96387316130563</v>
      </c>
      <c r="CC142" s="59">
        <f t="shared" si="119"/>
        <v>842.29720649463889</v>
      </c>
      <c r="CD142" s="59">
        <f ca="1">AVERAGE(OFFSET($CC$3,0,0,'Données projet'!$E$12+1,1))-AVERAGE(OFFSET($H$3,0,0,'Données projet'!$E$12+1,1))</f>
        <v>279.49721661620544</v>
      </c>
      <c r="CE142" s="59">
        <f t="shared" si="148"/>
        <v>275.18739333988754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16.527292030826686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16.527292030826686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6.8383333333333338</v>
      </c>
      <c r="CT142" s="12">
        <f>IF('Données projet'!$A$140&gt;35,CT141+CS142-DB141,IF(A142&lt;'Données projet'!$A$140,$CQ$205^A142,IF(A142='Données projet'!$A$140,'Données projet'!$B$140,CT141+CS142-DB141)))</f>
        <v>376.17666666666656</v>
      </c>
      <c r="CU142" s="17">
        <f>CT142*VLOOKUP('Données projet'!$B$13,Paramètres!$A$1:$I$89,3,0)*VLOOKUP('Données projet'!$B$13,Paramètres!$A$1:$I$89,5,0)</f>
        <v>381.44313999999991</v>
      </c>
      <c r="CV142" s="13">
        <f t="shared" si="149"/>
        <v>88.004209034255823</v>
      </c>
      <c r="CW142" s="20">
        <f t="shared" si="121"/>
        <v>817.6207995679955</v>
      </c>
      <c r="CX142" s="59">
        <f t="shared" si="122"/>
        <v>1110.9541329013289</v>
      </c>
      <c r="CY142" s="59">
        <f ca="1">AVERAGE(OFFSET($CX$3,0,0,'Données projet'!$E$13+1,1))-AVERAGE(OFFSET($H$3,0,0,'Données projet'!$E$13+1,1))</f>
        <v>402.54350692668021</v>
      </c>
      <c r="CZ142" s="59">
        <f t="shared" si="150"/>
        <v>163.60655196884522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115.41396779141802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115.41396779141802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404.00000000000017</v>
      </c>
      <c r="DP142" s="17">
        <f>DO142*VLOOKUP('Données projet'!$B$14,Paramètres!$A$1:$I$89,3,0)*VLOOKUP('Données projet'!$B$14,Paramètres!$A$1:$I$89,5,0)</f>
        <v>346.63200000000018</v>
      </c>
      <c r="DQ142" s="13">
        <f t="shared" si="151"/>
        <v>80.868615263336864</v>
      </c>
      <c r="DR142" s="20">
        <f t="shared" si="124"/>
        <v>744.56357158364528</v>
      </c>
      <c r="DS142" s="59">
        <f t="shared" si="125"/>
        <v>1037.8969049169787</v>
      </c>
      <c r="DT142" s="59">
        <f ca="1">AVERAGE(OFFSET($DS$3,0,0,'Données projet'!$E$14+1,1))-AVERAGE(OFFSET($H$3,0,0,'Données projet'!$E$14+1,1))</f>
        <v>352.76625414822473</v>
      </c>
      <c r="DU142" s="59">
        <f t="shared" si="152"/>
        <v>186.48649111821521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68.610620128485195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68.610620128485195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210.25641030000014</v>
      </c>
      <c r="EK142" s="17">
        <f>EJ142*VLOOKUP('Données projet'!$B$15,Paramètres!$A$1:$I$89,3,0)*VLOOKUP('Données projet'!$B$15,Paramètres!$A$1:$I$89,5,0)</f>
        <v>164.00000003400012</v>
      </c>
      <c r="EL142" s="13">
        <f t="shared" si="153"/>
        <v>41.743425916009095</v>
      </c>
      <c r="EM142" s="20">
        <f t="shared" si="127"/>
        <v>358.3364668629327</v>
      </c>
      <c r="EN142" s="59">
        <f t="shared" si="128"/>
        <v>651.66980019626601</v>
      </c>
      <c r="EO142" s="59">
        <f ca="1">AVERAGE(OFFSET($EN$3,0,0,'Données projet'!$E$15+1,1))-AVERAGE(OFFSET($H$3,0,0,'Données projet'!$E$15+1,1))</f>
        <v>130.66539383144681</v>
      </c>
      <c r="EP142" s="59">
        <f t="shared" si="154"/>
        <v>126.36398121441903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8.0737495867957083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8.0737495867957083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6.8383333333333338</v>
      </c>
      <c r="FE142" s="12">
        <f>IF('Données projet'!$A$218&gt;35,FE141+FD142-FM141,IF(A142&lt;'Données projet'!$A$218,$FB$205^A142,IF(A142='Données projet'!$A$218,'Données projet'!$B$218,FE141+FD142-FM141)))</f>
        <v>376.17666666666656</v>
      </c>
      <c r="FF142" s="17">
        <f>FE142*VLOOKUP('Données projet'!$B$16,Paramètres!$A$1:$I$89,3,0)*VLOOKUP('Données projet'!$B$16,Paramètres!$A$1:$I$89,5,0)</f>
        <v>363.83807199999995</v>
      </c>
      <c r="FG142" s="13">
        <f t="shared" si="155"/>
        <v>84.405451792630316</v>
      </c>
      <c r="FH142" s="20">
        <f t="shared" si="130"/>
        <v>780.69080393883121</v>
      </c>
      <c r="FI142" s="59">
        <f t="shared" si="131"/>
        <v>1074.0241372721646</v>
      </c>
      <c r="FJ142" s="59">
        <f ca="1">AVERAGE(OFFSET($FI$3,0,0,'Données projet'!$E$16+1,1))-AVERAGE(OFFSET($H$3,0,0,'Données projet'!$E$16+1,1))</f>
        <v>380.43199889536805</v>
      </c>
      <c r="FK142" s="59">
        <f t="shared" si="156"/>
        <v>154.72646317672996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110.08716927796796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110.08716927796796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304</v>
      </c>
      <c r="O143" s="13">
        <f>N143*VLOOKUP('Données projet'!$B$9,Paramètres!$A$1:$I$89,3,0)*VLOOKUP('Données projet'!$B$9,Paramètres!$A$1:$I$89,5,0)</f>
        <v>189.696</v>
      </c>
      <c r="P143" s="13">
        <f t="shared" si="141"/>
        <v>47.472736505152469</v>
      </c>
      <c r="Q143" s="20">
        <f t="shared" si="108"/>
        <v>413.06888274647389</v>
      </c>
      <c r="R143" s="59">
        <f t="shared" si="109"/>
        <v>706.4022160798072</v>
      </c>
      <c r="S143" s="59">
        <f ca="1">AVERAGE(OFFSET($R$3,0,0,'Données projet'!$E$9+1,1))-AVERAGE(OFFSET($H$3,0,0,'Données projet'!$E$9+1,1))</f>
        <v>179.44051550872138</v>
      </c>
      <c r="T143" s="59">
        <f t="shared" si="142"/>
        <v>272.9500808380069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13.924585362696803</v>
      </c>
      <c r="AA143" s="21">
        <f>EXP(-LN(2)/25)*AA142+(1-EXP(-LN(2)/25))/(LN(2)/25)*Calculateur!V143*Calculateur!X143*VLOOKUP('Données projet'!$B$9,Paramètres!$A$1:$I$89,3,0)*0.475*44/12</f>
        <v>2.292025273788008</v>
      </c>
      <c r="AB143" s="21">
        <f>EXP(-LN(2)/2)*AB142+(1-EXP(-LN(2)/2))/(LN(2)/2)*V143*Y143*VLOOKUP('Données projet'!$B$9,Paramètres!$A$1:$I$89,3,0)*0.475*44/12</f>
        <v>6.1280230339483536E-18</v>
      </c>
      <c r="AC143" s="22">
        <f t="shared" si="111"/>
        <v>16.216610636484809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2.4999999999997442</v>
      </c>
      <c r="AJ143" s="13">
        <f>AI143*VLOOKUP('Données projet'!$B$10,Paramètres!$A$1:$I$89,3,0)*VLOOKUP('Données projet'!$B$10,Paramètres!$A$1:$I$89,5,0)</f>
        <v>1.2024999999998769</v>
      </c>
      <c r="AK143" s="13">
        <f t="shared" si="143"/>
        <v>0.54239446125464896</v>
      </c>
      <c r="AL143" s="20">
        <f t="shared" si="112"/>
        <v>3.0390245200182986</v>
      </c>
      <c r="AM143" s="59">
        <f t="shared" si="113"/>
        <v>296.37235785335162</v>
      </c>
      <c r="AN143" s="59">
        <f ca="1">AVERAGE(OFFSET($AM$3,0,0,'Données projet'!$E$10+1,1))-AVERAGE(OFFSET($H$3,0,0,'Données projet'!$E$10+1,1))</f>
        <v>174.18188687702559</v>
      </c>
      <c r="AO143" s="59">
        <f t="shared" si="144"/>
        <v>32.17353897322738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144.54889495054587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144.54889495054587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0.8600000000003547</v>
      </c>
      <c r="BE143" s="13">
        <f>BD143*VLOOKUP('Données projet'!$B$11,Paramètres!$A$1:$I$89,3,0)*VLOOKUP('Données projet'!$B$11,Paramètres!$A$1:$I$89,5,0)</f>
        <v>0.48074000000019829</v>
      </c>
      <c r="BF143" s="13">
        <f t="shared" si="145"/>
        <v>0.24126147010950588</v>
      </c>
      <c r="BG143" s="20">
        <f t="shared" si="115"/>
        <v>1.2574858937744013</v>
      </c>
      <c r="BH143" s="59">
        <f t="shared" si="116"/>
        <v>294.59081922710772</v>
      </c>
      <c r="BI143" s="59">
        <f ca="1">AVERAGE(OFFSET($BH$3,0,0,'Données projet'!$E$11+1,1))-AVERAGE(OFFSET($H$3,0,0,'Données projet'!$E$11+1,1))</f>
        <v>350.01600895263641</v>
      </c>
      <c r="BJ143" s="59">
        <f t="shared" si="146"/>
        <v>464.08921044376882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69.059696392174274</v>
      </c>
      <c r="BQ143" s="21">
        <f>EXP(-LN(2)/25)*BQ142+(1-EXP(-LN(2)/25))/(LN(2)/25)*Calculateur!BL143*Calculateur!BN143*VLOOKUP('Données projet'!$B$11,Paramètres!$A$1:$I$89,3,0)*0.475*44/12</f>
        <v>2.3953660644657631</v>
      </c>
      <c r="BR143" s="21">
        <f>EXP(-LN(2)/2)*BR142+(1-EXP(-LN(2)/2))/(LN(2)/2)*BL143*BO143*VLOOKUP('Données projet'!$B$11,Paramètres!$A$1:$I$89,3,0)*0.475*44/12</f>
        <v>2.0536920193959033E-17</v>
      </c>
      <c r="BS143" s="22">
        <f t="shared" si="117"/>
        <v>71.455062456640036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253.79640000000001</v>
      </c>
      <c r="CA143" s="13">
        <f t="shared" si="147"/>
        <v>61.39816832228076</v>
      </c>
      <c r="CB143" s="20">
        <f t="shared" si="118"/>
        <v>548.96387316130563</v>
      </c>
      <c r="CC143" s="59">
        <f t="shared" si="119"/>
        <v>842.29720649463889</v>
      </c>
      <c r="CD143" s="59">
        <f ca="1">AVERAGE(OFFSET($CC$3,0,0,'Données projet'!$E$12+1,1))-AVERAGE(OFFSET($H$3,0,0,'Données projet'!$E$12+1,1))</f>
        <v>279.49721661620544</v>
      </c>
      <c r="CE143" s="59">
        <f t="shared" si="148"/>
        <v>275.18739333988754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16.203201914754931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16.203201914754931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6.8383333333333338</v>
      </c>
      <c r="CT143" s="12">
        <f>IF('Données projet'!$A$140&gt;35,CT142+CS143-DB142,IF(A143&lt;'Données projet'!$A$140,$CQ$205^A143,IF(A143='Données projet'!$A$140,'Données projet'!$B$140,CT142+CS143-DB142)))</f>
        <v>383.01499999999987</v>
      </c>
      <c r="CU143" s="17">
        <f>CT143*VLOOKUP('Données projet'!$B$13,Paramètres!$A$1:$I$89,3,0)*VLOOKUP('Données projet'!$B$13,Paramètres!$A$1:$I$89,5,0)</f>
        <v>388.37720999999988</v>
      </c>
      <c r="CV143" s="13">
        <f t="shared" si="149"/>
        <v>89.41629430703523</v>
      </c>
      <c r="CW143" s="20">
        <f t="shared" si="121"/>
        <v>832.15702000141948</v>
      </c>
      <c r="CX143" s="59">
        <f t="shared" si="122"/>
        <v>1125.4903533347529</v>
      </c>
      <c r="CY143" s="59">
        <f ca="1">AVERAGE(OFFSET($CX$3,0,0,'Données projet'!$E$13+1,1))-AVERAGE(OFFSET($H$3,0,0,'Données projet'!$E$13+1,1))</f>
        <v>402.54350692668021</v>
      </c>
      <c r="CZ143" s="59">
        <f t="shared" si="150"/>
        <v>163.60655196884522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113.15077027859768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113.15077027859768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404.00000000000017</v>
      </c>
      <c r="DP143" s="17">
        <f>DO143*VLOOKUP('Données projet'!$B$14,Paramètres!$A$1:$I$89,3,0)*VLOOKUP('Données projet'!$B$14,Paramètres!$A$1:$I$89,5,0)</f>
        <v>346.63200000000018</v>
      </c>
      <c r="DQ143" s="13">
        <f t="shared" si="151"/>
        <v>80.868615263336864</v>
      </c>
      <c r="DR143" s="20">
        <f t="shared" si="124"/>
        <v>744.56357158364528</v>
      </c>
      <c r="DS143" s="59">
        <f t="shared" si="125"/>
        <v>1037.8969049169787</v>
      </c>
      <c r="DT143" s="59">
        <f ca="1">AVERAGE(OFFSET($DS$3,0,0,'Données projet'!$E$14+1,1))-AVERAGE(OFFSET($H$3,0,0,'Données projet'!$E$14+1,1))</f>
        <v>352.76625414822473</v>
      </c>
      <c r="DU143" s="59">
        <f t="shared" si="152"/>
        <v>186.48649111821521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67.265207716111703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67.265207716111703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210.25641030000014</v>
      </c>
      <c r="EK143" s="17">
        <f>EJ143*VLOOKUP('Données projet'!$B$15,Paramètres!$A$1:$I$89,3,0)*VLOOKUP('Données projet'!$B$15,Paramètres!$A$1:$I$89,5,0)</f>
        <v>164.00000003400012</v>
      </c>
      <c r="EL143" s="13">
        <f t="shared" si="153"/>
        <v>41.743425916009095</v>
      </c>
      <c r="EM143" s="20">
        <f t="shared" si="127"/>
        <v>358.3364668629327</v>
      </c>
      <c r="EN143" s="59">
        <f t="shared" si="128"/>
        <v>651.66980019626601</v>
      </c>
      <c r="EO143" s="59">
        <f ca="1">AVERAGE(OFFSET($EN$3,0,0,'Données projet'!$E$15+1,1))-AVERAGE(OFFSET($H$3,0,0,'Données projet'!$E$15+1,1))</f>
        <v>130.66539383144681</v>
      </c>
      <c r="EP143" s="59">
        <f t="shared" si="154"/>
        <v>126.36398121441903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7.9154282818996382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7.9154282818996382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6.8383333333333338</v>
      </c>
      <c r="FE143" s="12">
        <f>IF('Données projet'!$A$218&gt;35,FE142+FD143-FM142,IF(A143&lt;'Données projet'!$A$218,$FB$205^A143,IF(A143='Données projet'!$A$218,'Données projet'!$B$218,FE142+FD143-FM142)))</f>
        <v>383.01499999999987</v>
      </c>
      <c r="FF143" s="17">
        <f>FE143*VLOOKUP('Données projet'!$B$16,Paramètres!$A$1:$I$89,3,0)*VLOOKUP('Données projet'!$B$16,Paramètres!$A$1:$I$89,5,0)</f>
        <v>370.4521079999999</v>
      </c>
      <c r="FG143" s="13">
        <f t="shared" si="155"/>
        <v>85.759792644353254</v>
      </c>
      <c r="FH143" s="20">
        <f t="shared" si="130"/>
        <v>794.56906028891501</v>
      </c>
      <c r="FI143" s="59">
        <f t="shared" si="131"/>
        <v>1087.9023936222484</v>
      </c>
      <c r="FJ143" s="59">
        <f ca="1">AVERAGE(OFFSET($FI$3,0,0,'Données projet'!$E$16+1,1))-AVERAGE(OFFSET($H$3,0,0,'Données projet'!$E$16+1,1))</f>
        <v>380.43199889536805</v>
      </c>
      <c r="FK143" s="59">
        <f t="shared" si="156"/>
        <v>154.72646317672996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107.9284270349701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107.9284270349701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304</v>
      </c>
      <c r="O144" s="13">
        <f>N144*VLOOKUP('Données projet'!$B$9,Paramètres!$A$1:$I$89,3,0)*VLOOKUP('Données projet'!$B$9,Paramètres!$A$1:$I$89,5,0)</f>
        <v>189.696</v>
      </c>
      <c r="P144" s="13">
        <f t="shared" si="141"/>
        <v>47.472736505152469</v>
      </c>
      <c r="Q144" s="20">
        <f t="shared" si="108"/>
        <v>413.06888274647389</v>
      </c>
      <c r="R144" s="59">
        <f t="shared" si="109"/>
        <v>706.4022160798072</v>
      </c>
      <c r="S144" s="59">
        <f ca="1">AVERAGE(OFFSET($R$3,0,0,'Données projet'!$E$9+1,1))-AVERAGE(OFFSET($H$3,0,0,'Données projet'!$E$9+1,1))</f>
        <v>179.44051550872138</v>
      </c>
      <c r="T144" s="59">
        <f t="shared" si="142"/>
        <v>272.9500808380069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13.65153273689276</v>
      </c>
      <c r="AA144" s="21">
        <f>EXP(-LN(2)/25)*AA143+(1-EXP(-LN(2)/25))/(LN(2)/25)*Calculateur!V144*Calculateur!X144*VLOOKUP('Données projet'!$B$9,Paramètres!$A$1:$I$89,3,0)*0.475*44/12</f>
        <v>2.2293497221439043</v>
      </c>
      <c r="AB144" s="21">
        <f>EXP(-LN(2)/2)*AB143+(1-EXP(-LN(2)/2))/(LN(2)/2)*V144*Y144*VLOOKUP('Données projet'!$B$9,Paramètres!$A$1:$I$89,3,0)*0.475*44/12</f>
        <v>4.3331666425722415E-18</v>
      </c>
      <c r="AC144" s="22">
        <f t="shared" si="111"/>
        <v>15.880882459036664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2.4999999999997442</v>
      </c>
      <c r="AJ144" s="13">
        <f>AI144*VLOOKUP('Données projet'!$B$10,Paramètres!$A$1:$I$89,3,0)*VLOOKUP('Données projet'!$B$10,Paramètres!$A$1:$I$89,5,0)</f>
        <v>1.2024999999998769</v>
      </c>
      <c r="AK144" s="13">
        <f t="shared" si="143"/>
        <v>0.54239446125464896</v>
      </c>
      <c r="AL144" s="20">
        <f t="shared" si="112"/>
        <v>3.0390245200182986</v>
      </c>
      <c r="AM144" s="59">
        <f t="shared" si="113"/>
        <v>296.37235785335162</v>
      </c>
      <c r="AN144" s="59">
        <f ca="1">AVERAGE(OFFSET($AM$3,0,0,'Données projet'!$E$10+1,1))-AVERAGE(OFFSET($H$3,0,0,'Données projet'!$E$10+1,1))</f>
        <v>174.18188687702559</v>
      </c>
      <c r="AO144" s="59">
        <f t="shared" si="144"/>
        <v>32.17353897322738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141.7143792866859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141.7143792866859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0.8600000000003547</v>
      </c>
      <c r="BE144" s="13">
        <f>BD144*VLOOKUP('Données projet'!$B$11,Paramètres!$A$1:$I$89,3,0)*VLOOKUP('Données projet'!$B$11,Paramètres!$A$1:$I$89,5,0)</f>
        <v>0.48074000000019829</v>
      </c>
      <c r="BF144" s="13">
        <f t="shared" si="145"/>
        <v>0.24126147010950588</v>
      </c>
      <c r="BG144" s="20">
        <f t="shared" si="115"/>
        <v>1.2574858937744013</v>
      </c>
      <c r="BH144" s="59">
        <f t="shared" si="116"/>
        <v>294.59081922710772</v>
      </c>
      <c r="BI144" s="59">
        <f ca="1">AVERAGE(OFFSET($BH$3,0,0,'Données projet'!$E$11+1,1))-AVERAGE(OFFSET($H$3,0,0,'Données projet'!$E$11+1,1))</f>
        <v>350.01600895263641</v>
      </c>
      <c r="BJ144" s="59">
        <f t="shared" si="146"/>
        <v>464.08921044376882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67.705477868179315</v>
      </c>
      <c r="BQ144" s="21">
        <f>EXP(-LN(2)/25)*BQ143+(1-EXP(-LN(2)/25))/(LN(2)/25)*Calculateur!BL144*Calculateur!BN144*VLOOKUP('Données projet'!$B$11,Paramètres!$A$1:$I$89,3,0)*0.475*44/12</f>
        <v>2.32986465346612</v>
      </c>
      <c r="BR144" s="21">
        <f>EXP(-LN(2)/2)*BR143+(1-EXP(-LN(2)/2))/(LN(2)/2)*BL144*BO144*VLOOKUP('Données projet'!$B$11,Paramètres!$A$1:$I$89,3,0)*0.475*44/12</f>
        <v>1.4521795533835379E-17</v>
      </c>
      <c r="BS144" s="22">
        <f t="shared" si="117"/>
        <v>70.035342521645433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253.79640000000001</v>
      </c>
      <c r="CA144" s="13">
        <f t="shared" si="147"/>
        <v>61.39816832228076</v>
      </c>
      <c r="CB144" s="20">
        <f t="shared" si="118"/>
        <v>548.96387316130563</v>
      </c>
      <c r="CC144" s="59">
        <f t="shared" si="119"/>
        <v>842.29720649463889</v>
      </c>
      <c r="CD144" s="59">
        <f ca="1">AVERAGE(OFFSET($CC$3,0,0,'Données projet'!$E$12+1,1))-AVERAGE(OFFSET($H$3,0,0,'Données projet'!$E$12+1,1))</f>
        <v>279.49721661620544</v>
      </c>
      <c r="CE144" s="59">
        <f t="shared" si="148"/>
        <v>275.18739333988754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15.885467008183893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15.885467008183893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6.8383333333333338</v>
      </c>
      <c r="CT144" s="12">
        <f>IF('Données projet'!$A$140&gt;35,CT143+CS144-DB143,IF(A144&lt;'Données projet'!$A$140,$CQ$205^A144,IF(A144='Données projet'!$A$140,'Données projet'!$B$140,CT143+CS144-DB143)))</f>
        <v>389.85333333333318</v>
      </c>
      <c r="CU144" s="17">
        <f>CT144*VLOOKUP('Données projet'!$B$13,Paramètres!$A$1:$I$89,3,0)*VLOOKUP('Données projet'!$B$13,Paramètres!$A$1:$I$89,5,0)</f>
        <v>395.31127999999984</v>
      </c>
      <c r="CV144" s="13">
        <f t="shared" si="149"/>
        <v>90.825447865932077</v>
      </c>
      <c r="CW144" s="20">
        <f t="shared" si="121"/>
        <v>846.68813436649805</v>
      </c>
      <c r="CX144" s="59">
        <f t="shared" si="122"/>
        <v>1140.0214676998314</v>
      </c>
      <c r="CY144" s="59">
        <f ca="1">AVERAGE(OFFSET($CX$3,0,0,'Données projet'!$E$13+1,1))-AVERAGE(OFFSET($H$3,0,0,'Données projet'!$E$13+1,1))</f>
        <v>402.54350692668021</v>
      </c>
      <c r="CZ144" s="59">
        <f t="shared" si="150"/>
        <v>163.60655196884522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110.93195268858956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110.93195268858956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404.00000000000017</v>
      </c>
      <c r="DP144" s="17">
        <f>DO144*VLOOKUP('Données projet'!$B$14,Paramètres!$A$1:$I$89,3,0)*VLOOKUP('Données projet'!$B$14,Paramètres!$A$1:$I$89,5,0)</f>
        <v>346.63200000000018</v>
      </c>
      <c r="DQ144" s="13">
        <f t="shared" si="151"/>
        <v>80.868615263336864</v>
      </c>
      <c r="DR144" s="20">
        <f t="shared" si="124"/>
        <v>744.56357158364528</v>
      </c>
      <c r="DS144" s="59">
        <f t="shared" si="125"/>
        <v>1037.8969049169787</v>
      </c>
      <c r="DT144" s="59">
        <f ca="1">AVERAGE(OFFSET($DS$3,0,0,'Données projet'!$E$14+1,1))-AVERAGE(OFFSET($H$3,0,0,'Données projet'!$E$14+1,1))</f>
        <v>352.76625414822473</v>
      </c>
      <c r="DU144" s="59">
        <f t="shared" si="152"/>
        <v>186.48649111821521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65.946178020524314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65.946178020524314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210.25641030000014</v>
      </c>
      <c r="EK144" s="17">
        <f>EJ144*VLOOKUP('Données projet'!$B$15,Paramètres!$A$1:$I$89,3,0)*VLOOKUP('Données projet'!$B$15,Paramètres!$A$1:$I$89,5,0)</f>
        <v>164.00000003400012</v>
      </c>
      <c r="EL144" s="13">
        <f t="shared" si="153"/>
        <v>41.743425916009095</v>
      </c>
      <c r="EM144" s="20">
        <f t="shared" si="127"/>
        <v>358.3364668629327</v>
      </c>
      <c r="EN144" s="59">
        <f t="shared" si="128"/>
        <v>651.66980019626601</v>
      </c>
      <c r="EO144" s="59">
        <f ca="1">AVERAGE(OFFSET($EN$3,0,0,'Données projet'!$E$15+1,1))-AVERAGE(OFFSET($H$3,0,0,'Données projet'!$E$15+1,1))</f>
        <v>130.66539383144681</v>
      </c>
      <c r="EP144" s="59">
        <f t="shared" si="154"/>
        <v>126.36398121441903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7.7602115612261189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7.7602115612261189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6.8383333333333338</v>
      </c>
      <c r="FE144" s="12">
        <f>IF('Données projet'!$A$218&gt;35,FE143+FD144-FM143,IF(A144&lt;'Données projet'!$A$218,$FB$205^A144,IF(A144='Données projet'!$A$218,'Données projet'!$B$218,FE143+FD144-FM143)))</f>
        <v>389.85333333333318</v>
      </c>
      <c r="FF144" s="17">
        <f>FE144*VLOOKUP('Données projet'!$B$16,Paramètres!$A$1:$I$89,3,0)*VLOOKUP('Données projet'!$B$16,Paramètres!$A$1:$I$89,5,0)</f>
        <v>377.06614399999984</v>
      </c>
      <c r="FG144" s="13">
        <f t="shared" si="155"/>
        <v>87.111321668806895</v>
      </c>
      <c r="FH144" s="20">
        <f t="shared" si="130"/>
        <v>808.44241937317167</v>
      </c>
      <c r="FI144" s="59">
        <f t="shared" si="131"/>
        <v>1101.775752706505</v>
      </c>
      <c r="FJ144" s="59">
        <f ca="1">AVERAGE(OFFSET($FI$3,0,0,'Données projet'!$E$16+1,1))-AVERAGE(OFFSET($H$3,0,0,'Données projet'!$E$16+1,1))</f>
        <v>380.43199889536805</v>
      </c>
      <c r="FK144" s="59">
        <f t="shared" si="156"/>
        <v>154.72646317672996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105.81201641065466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105.81201641065466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304</v>
      </c>
      <c r="O145" s="13">
        <f>N145*VLOOKUP('Données projet'!$B$9,Paramètres!$A$1:$I$89,3,0)*VLOOKUP('Données projet'!$B$9,Paramètres!$A$1:$I$89,5,0)</f>
        <v>189.696</v>
      </c>
      <c r="P145" s="13">
        <f t="shared" si="141"/>
        <v>47.472736505152469</v>
      </c>
      <c r="Q145" s="20">
        <f t="shared" si="108"/>
        <v>413.06888274647389</v>
      </c>
      <c r="R145" s="59">
        <f t="shared" si="109"/>
        <v>706.4022160798072</v>
      </c>
      <c r="S145" s="59">
        <f ca="1">AVERAGE(OFFSET($R$3,0,0,'Données projet'!$E$9+1,1))-AVERAGE(OFFSET($H$3,0,0,'Données projet'!$E$9+1,1))</f>
        <v>179.44051550872138</v>
      </c>
      <c r="T145" s="59">
        <f t="shared" si="142"/>
        <v>272.9500808380069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13.383834506535077</v>
      </c>
      <c r="AA145" s="21">
        <f>EXP(-LN(2)/25)*AA144+(1-EXP(-LN(2)/25))/(LN(2)/25)*Calculateur!V145*Calculateur!X145*VLOOKUP('Données projet'!$B$9,Paramètres!$A$1:$I$89,3,0)*0.475*44/12</f>
        <v>2.1683880367554726</v>
      </c>
      <c r="AB145" s="21">
        <f>EXP(-LN(2)/2)*AB144+(1-EXP(-LN(2)/2))/(LN(2)/2)*V145*Y145*VLOOKUP('Données projet'!$B$9,Paramètres!$A$1:$I$89,3,0)*0.475*44/12</f>
        <v>3.0640115169741768E-18</v>
      </c>
      <c r="AC145" s="22">
        <f t="shared" si="111"/>
        <v>15.552222543290551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2.4999999999997442</v>
      </c>
      <c r="AJ145" s="13">
        <f>AI145*VLOOKUP('Données projet'!$B$10,Paramètres!$A$1:$I$89,3,0)*VLOOKUP('Données projet'!$B$10,Paramètres!$A$1:$I$89,5,0)</f>
        <v>1.2024999999998769</v>
      </c>
      <c r="AK145" s="13">
        <f t="shared" si="143"/>
        <v>0.54239446125464896</v>
      </c>
      <c r="AL145" s="20">
        <f t="shared" si="112"/>
        <v>3.0390245200182986</v>
      </c>
      <c r="AM145" s="59">
        <f t="shared" si="113"/>
        <v>296.37235785335162</v>
      </c>
      <c r="AN145" s="59">
        <f ca="1">AVERAGE(OFFSET($AM$3,0,0,'Données projet'!$E$10+1,1))-AVERAGE(OFFSET($H$3,0,0,'Données projet'!$E$10+1,1))</f>
        <v>174.18188687702559</v>
      </c>
      <c r="AO145" s="59">
        <f t="shared" si="144"/>
        <v>32.17353897322738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138.93544674611039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138.93544674611039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0.8600000000003547</v>
      </c>
      <c r="BE145" s="13">
        <f>BD145*VLOOKUP('Données projet'!$B$11,Paramètres!$A$1:$I$89,3,0)*VLOOKUP('Données projet'!$B$11,Paramètres!$A$1:$I$89,5,0)</f>
        <v>0.48074000000019829</v>
      </c>
      <c r="BF145" s="13">
        <f t="shared" si="145"/>
        <v>0.24126147010950588</v>
      </c>
      <c r="BG145" s="20">
        <f t="shared" si="115"/>
        <v>1.2574858937744013</v>
      </c>
      <c r="BH145" s="59">
        <f t="shared" si="116"/>
        <v>294.59081922710772</v>
      </c>
      <c r="BI145" s="59">
        <f ca="1">AVERAGE(OFFSET($BH$3,0,0,'Données projet'!$E$11+1,1))-AVERAGE(OFFSET($H$3,0,0,'Données projet'!$E$11+1,1))</f>
        <v>350.01600895263641</v>
      </c>
      <c r="BJ145" s="59">
        <f t="shared" si="146"/>
        <v>464.08921044376882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66.377814743448155</v>
      </c>
      <c r="BQ145" s="21">
        <f>EXP(-LN(2)/25)*BQ144+(1-EXP(-LN(2)/25))/(LN(2)/25)*Calculateur!BL145*Calculateur!BN145*VLOOKUP('Données projet'!$B$11,Paramètres!$A$1:$I$89,3,0)*0.475*44/12</f>
        <v>2.266154381994832</v>
      </c>
      <c r="BR145" s="21">
        <f>EXP(-LN(2)/2)*BR144+(1-EXP(-LN(2)/2))/(LN(2)/2)*BL145*BO145*VLOOKUP('Données projet'!$B$11,Paramètres!$A$1:$I$89,3,0)*0.475*44/12</f>
        <v>1.0268460096979517E-17</v>
      </c>
      <c r="BS145" s="22">
        <f t="shared" si="117"/>
        <v>68.643969125442993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253.79640000000001</v>
      </c>
      <c r="CA145" s="13">
        <f t="shared" si="147"/>
        <v>61.39816832228076</v>
      </c>
      <c r="CB145" s="20">
        <f t="shared" si="118"/>
        <v>548.96387316130563</v>
      </c>
      <c r="CC145" s="59">
        <f t="shared" si="119"/>
        <v>842.29720649463889</v>
      </c>
      <c r="CD145" s="59">
        <f ca="1">AVERAGE(OFFSET($CC$3,0,0,'Données projet'!$E$12+1,1))-AVERAGE(OFFSET($H$3,0,0,'Données projet'!$E$12+1,1))</f>
        <v>279.49721661620544</v>
      </c>
      <c r="CE145" s="59">
        <f t="shared" si="148"/>
        <v>275.18739333988754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15.573962689331555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15.573962689331555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6.8383333333333338</v>
      </c>
      <c r="CT145" s="12">
        <f>IF('Données projet'!$A$140&gt;35,CT144+CS145-DB144,IF(A145&lt;'Données projet'!$A$140,$CQ$205^A145,IF(A145='Données projet'!$A$140,'Données projet'!$B$140,CT144+CS145-DB144)))</f>
        <v>396.69166666666649</v>
      </c>
      <c r="CU145" s="17">
        <f>CT145*VLOOKUP('Données projet'!$B$13,Paramètres!$A$1:$I$89,3,0)*VLOOKUP('Données projet'!$B$13,Paramètres!$A$1:$I$89,5,0)</f>
        <v>402.2453499999998</v>
      </c>
      <c r="CV145" s="13">
        <f t="shared" si="149"/>
        <v>92.231727068687661</v>
      </c>
      <c r="CW145" s="20">
        <f t="shared" si="121"/>
        <v>861.21424256129728</v>
      </c>
      <c r="CX145" s="59">
        <f t="shared" si="122"/>
        <v>1154.5475758946307</v>
      </c>
      <c r="CY145" s="59">
        <f ca="1">AVERAGE(OFFSET($CX$3,0,0,'Données projet'!$E$13+1,1))-AVERAGE(OFFSET($H$3,0,0,'Données projet'!$E$13+1,1))</f>
        <v>402.54350692668021</v>
      </c>
      <c r="CZ145" s="59">
        <f t="shared" si="150"/>
        <v>163.60655196884522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108.75664475817641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108.75664475817641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404.00000000000017</v>
      </c>
      <c r="DP145" s="17">
        <f>DO145*VLOOKUP('Données projet'!$B$14,Paramètres!$A$1:$I$89,3,0)*VLOOKUP('Données projet'!$B$14,Paramètres!$A$1:$I$89,5,0)</f>
        <v>346.63200000000018</v>
      </c>
      <c r="DQ145" s="13">
        <f t="shared" si="151"/>
        <v>80.868615263336864</v>
      </c>
      <c r="DR145" s="20">
        <f t="shared" si="124"/>
        <v>744.56357158364528</v>
      </c>
      <c r="DS145" s="59">
        <f t="shared" si="125"/>
        <v>1037.8969049169787</v>
      </c>
      <c r="DT145" s="59">
        <f ca="1">AVERAGE(OFFSET($DS$3,0,0,'Données projet'!$E$14+1,1))-AVERAGE(OFFSET($H$3,0,0,'Données projet'!$E$14+1,1))</f>
        <v>352.76625414822473</v>
      </c>
      <c r="DU145" s="59">
        <f t="shared" si="152"/>
        <v>186.48649111821521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64.65301369273871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64.65301369273871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210.25641030000014</v>
      </c>
      <c r="EK145" s="17">
        <f>EJ145*VLOOKUP('Données projet'!$B$15,Paramètres!$A$1:$I$89,3,0)*VLOOKUP('Données projet'!$B$15,Paramètres!$A$1:$I$89,5,0)</f>
        <v>164.00000003400012</v>
      </c>
      <c r="EL145" s="13">
        <f t="shared" si="153"/>
        <v>41.743425916009095</v>
      </c>
      <c r="EM145" s="20">
        <f t="shared" si="127"/>
        <v>358.3364668629327</v>
      </c>
      <c r="EN145" s="59">
        <f t="shared" si="128"/>
        <v>651.66980019626601</v>
      </c>
      <c r="EO145" s="59">
        <f ca="1">AVERAGE(OFFSET($EN$3,0,0,'Données projet'!$E$15+1,1))-AVERAGE(OFFSET($H$3,0,0,'Données projet'!$E$15+1,1))</f>
        <v>130.66539383144681</v>
      </c>
      <c r="EP145" s="59">
        <f t="shared" si="154"/>
        <v>126.36398121441903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7.608038545772156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7.608038545772156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6.8383333333333338</v>
      </c>
      <c r="FE145" s="12">
        <f>IF('Données projet'!$A$218&gt;35,FE144+FD145-FM144,IF(A145&lt;'Données projet'!$A$218,$FB$205^A145,IF(A145='Données projet'!$A$218,'Données projet'!$B$218,FE144+FD145-FM144)))</f>
        <v>396.69166666666649</v>
      </c>
      <c r="FF145" s="17">
        <f>FE145*VLOOKUP('Données projet'!$B$16,Paramètres!$A$1:$I$89,3,0)*VLOOKUP('Données projet'!$B$16,Paramètres!$A$1:$I$89,5,0)</f>
        <v>383.68017999999984</v>
      </c>
      <c r="FG145" s="13">
        <f t="shared" si="155"/>
        <v>88.460093878201732</v>
      </c>
      <c r="FH145" s="20">
        <f t="shared" si="130"/>
        <v>822.31097700453438</v>
      </c>
      <c r="FI145" s="59">
        <f t="shared" si="131"/>
        <v>1115.6443103378676</v>
      </c>
      <c r="FJ145" s="59">
        <f ca="1">AVERAGE(OFFSET($FI$3,0,0,'Données projet'!$E$16+1,1))-AVERAGE(OFFSET($H$3,0,0,'Données projet'!$E$16+1,1))</f>
        <v>380.43199889536805</v>
      </c>
      <c r="FK145" s="59">
        <f t="shared" si="156"/>
        <v>154.72646317672996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103.73710730779905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103.73710730779905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304</v>
      </c>
      <c r="O146" s="13">
        <f>N146*VLOOKUP('Données projet'!$B$9,Paramètres!$A$1:$I$89,3,0)*VLOOKUP('Données projet'!$B$9,Paramètres!$A$1:$I$89,5,0)</f>
        <v>189.696</v>
      </c>
      <c r="P146" s="13">
        <f t="shared" si="141"/>
        <v>47.472736505152469</v>
      </c>
      <c r="Q146" s="20">
        <f t="shared" si="108"/>
        <v>413.06888274647389</v>
      </c>
      <c r="R146" s="59">
        <f t="shared" si="109"/>
        <v>706.4022160798072</v>
      </c>
      <c r="S146" s="59">
        <f ca="1">AVERAGE(OFFSET($R$3,0,0,'Données projet'!$E$9+1,1))-AVERAGE(OFFSET($H$3,0,0,'Données projet'!$E$9+1,1))</f>
        <v>179.44051550872138</v>
      </c>
      <c r="T146" s="59">
        <f t="shared" si="142"/>
        <v>272.9500808380069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13.121385675194912</v>
      </c>
      <c r="AA146" s="21">
        <f>EXP(-LN(2)/25)*AA145+(1-EXP(-LN(2)/25))/(LN(2)/25)*Calculateur!V146*Calculateur!X146*VLOOKUP('Données projet'!$B$9,Paramètres!$A$1:$I$89,3,0)*0.475*44/12</f>
        <v>2.1090933518598232</v>
      </c>
      <c r="AB146" s="21">
        <f>EXP(-LN(2)/2)*AB145+(1-EXP(-LN(2)/2))/(LN(2)/2)*V146*Y146*VLOOKUP('Données projet'!$B$9,Paramètres!$A$1:$I$89,3,0)*0.475*44/12</f>
        <v>2.1665833212861208E-18</v>
      </c>
      <c r="AC146" s="22">
        <f t="shared" si="111"/>
        <v>15.230479027054734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2.4999999999997442</v>
      </c>
      <c r="AJ146" s="13">
        <f>AI146*VLOOKUP('Données projet'!$B$10,Paramètres!$A$1:$I$89,3,0)*VLOOKUP('Données projet'!$B$10,Paramètres!$A$1:$I$89,5,0)</f>
        <v>1.2024999999998769</v>
      </c>
      <c r="AK146" s="13">
        <f t="shared" si="143"/>
        <v>0.54239446125464896</v>
      </c>
      <c r="AL146" s="20">
        <f t="shared" si="112"/>
        <v>3.0390245200182986</v>
      </c>
      <c r="AM146" s="59">
        <f t="shared" si="113"/>
        <v>296.37235785335162</v>
      </c>
      <c r="AN146" s="59">
        <f ca="1">AVERAGE(OFFSET($AM$3,0,0,'Données projet'!$E$10+1,1))-AVERAGE(OFFSET($H$3,0,0,'Données projet'!$E$10+1,1))</f>
        <v>174.18188687702559</v>
      </c>
      <c r="AO146" s="59">
        <f t="shared" si="144"/>
        <v>32.17353897322738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136.21100737767406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136.21100737767406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0.8600000000003547</v>
      </c>
      <c r="BE146" s="13">
        <f>BD146*VLOOKUP('Données projet'!$B$11,Paramètres!$A$1:$I$89,3,0)*VLOOKUP('Données projet'!$B$11,Paramètres!$A$1:$I$89,5,0)</f>
        <v>0.48074000000019829</v>
      </c>
      <c r="BF146" s="13">
        <f t="shared" si="145"/>
        <v>0.24126147010950588</v>
      </c>
      <c r="BG146" s="20">
        <f t="shared" si="115"/>
        <v>1.2574858937744013</v>
      </c>
      <c r="BH146" s="59">
        <f t="shared" si="116"/>
        <v>294.59081922710772</v>
      </c>
      <c r="BI146" s="59">
        <f ca="1">AVERAGE(OFFSET($BH$3,0,0,'Données projet'!$E$11+1,1))-AVERAGE(OFFSET($H$3,0,0,'Données projet'!$E$11+1,1))</f>
        <v>350.01600895263641</v>
      </c>
      <c r="BJ146" s="59">
        <f t="shared" si="146"/>
        <v>464.08921044376882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65.076186282798417</v>
      </c>
      <c r="BQ146" s="21">
        <f>EXP(-LN(2)/25)*BQ145+(1-EXP(-LN(2)/25))/(LN(2)/25)*Calculateur!BL146*Calculateur!BN146*VLOOKUP('Données projet'!$B$11,Paramètres!$A$1:$I$89,3,0)*0.475*44/12</f>
        <v>2.2041862712473037</v>
      </c>
      <c r="BR146" s="21">
        <f>EXP(-LN(2)/2)*BR145+(1-EXP(-LN(2)/2))/(LN(2)/2)*BL146*BO146*VLOOKUP('Données projet'!$B$11,Paramètres!$A$1:$I$89,3,0)*0.475*44/12</f>
        <v>7.2608977669176894E-18</v>
      </c>
      <c r="BS146" s="22">
        <f t="shared" si="117"/>
        <v>67.280372554045726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253.79640000000001</v>
      </c>
      <c r="CA146" s="13">
        <f t="shared" si="147"/>
        <v>61.39816832228076</v>
      </c>
      <c r="CB146" s="20">
        <f t="shared" si="118"/>
        <v>548.96387316130563</v>
      </c>
      <c r="CC146" s="59">
        <f t="shared" si="119"/>
        <v>842.29720649463889</v>
      </c>
      <c r="CD146" s="59">
        <f ca="1">AVERAGE(OFFSET($CC$3,0,0,'Données projet'!$E$12+1,1))-AVERAGE(OFFSET($H$3,0,0,'Données projet'!$E$12+1,1))</f>
        <v>279.49721661620544</v>
      </c>
      <c r="CE146" s="59">
        <f t="shared" si="148"/>
        <v>275.18739333988754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15.268566780173037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15.268566780173037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6.8383333333333338</v>
      </c>
      <c r="CT146" s="12">
        <f>IF('Données projet'!$A$140&gt;35,CT145+CS146-DB145,IF(A146&lt;'Données projet'!$A$140,$CQ$205^A146,IF(A146='Données projet'!$A$140,'Données projet'!$B$140,CT145+CS146-DB145)))</f>
        <v>403.5299999999998</v>
      </c>
      <c r="CU146" s="17">
        <f>CT146*VLOOKUP('Données projet'!$B$13,Paramètres!$A$1:$I$89,3,0)*VLOOKUP('Données projet'!$B$13,Paramètres!$A$1:$I$89,5,0)</f>
        <v>409.17941999999977</v>
      </c>
      <c r="CV146" s="13">
        <f t="shared" si="149"/>
        <v>93.635187182227867</v>
      </c>
      <c r="CW146" s="20">
        <f t="shared" si="121"/>
        <v>875.73544084237983</v>
      </c>
      <c r="CX146" s="59">
        <f t="shared" si="122"/>
        <v>1169.0687741757131</v>
      </c>
      <c r="CY146" s="59">
        <f ca="1">AVERAGE(OFFSET($CX$3,0,0,'Données projet'!$E$13+1,1))-AVERAGE(OFFSET($H$3,0,0,'Données projet'!$E$13+1,1))</f>
        <v>402.54350692668021</v>
      </c>
      <c r="CZ146" s="59">
        <f t="shared" si="150"/>
        <v>163.60655196884522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106.62399328947183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106.62399328947183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404.00000000000017</v>
      </c>
      <c r="DP146" s="17">
        <f>DO146*VLOOKUP('Données projet'!$B$14,Paramètres!$A$1:$I$89,3,0)*VLOOKUP('Données projet'!$B$14,Paramètres!$A$1:$I$89,5,0)</f>
        <v>346.63200000000018</v>
      </c>
      <c r="DQ146" s="13">
        <f t="shared" si="151"/>
        <v>80.868615263336864</v>
      </c>
      <c r="DR146" s="20">
        <f t="shared" si="124"/>
        <v>744.56357158364528</v>
      </c>
      <c r="DS146" s="59">
        <f t="shared" si="125"/>
        <v>1037.8969049169787</v>
      </c>
      <c r="DT146" s="59">
        <f ca="1">AVERAGE(OFFSET($DS$3,0,0,'Données projet'!$E$14+1,1))-AVERAGE(OFFSET($H$3,0,0,'Données projet'!$E$14+1,1))</f>
        <v>352.76625414822473</v>
      </c>
      <c r="DU146" s="59">
        <f t="shared" si="152"/>
        <v>186.48649111821521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63.38520752866863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63.38520752866863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210.25641030000014</v>
      </c>
      <c r="EK146" s="17">
        <f>EJ146*VLOOKUP('Données projet'!$B$15,Paramètres!$A$1:$I$89,3,0)*VLOOKUP('Données projet'!$B$15,Paramètres!$A$1:$I$89,5,0)</f>
        <v>164.00000003400012</v>
      </c>
      <c r="EL146" s="13">
        <f t="shared" si="153"/>
        <v>41.743425916009095</v>
      </c>
      <c r="EM146" s="20">
        <f t="shared" si="127"/>
        <v>358.3364668629327</v>
      </c>
      <c r="EN146" s="59">
        <f t="shared" si="128"/>
        <v>651.66980019626601</v>
      </c>
      <c r="EO146" s="59">
        <f ca="1">AVERAGE(OFFSET($EN$3,0,0,'Données projet'!$E$15+1,1))-AVERAGE(OFFSET($H$3,0,0,'Données projet'!$E$15+1,1))</f>
        <v>130.66539383144681</v>
      </c>
      <c r="EP146" s="59">
        <f t="shared" si="154"/>
        <v>126.36398121441903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7.4588495503348708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7.4588495503348708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6.8383333333333338</v>
      </c>
      <c r="FE146" s="12">
        <f>IF('Données projet'!$A$218&gt;35,FE145+FD146-FM145,IF(A146&lt;'Données projet'!$A$218,$FB$205^A146,IF(A146='Données projet'!$A$218,'Données projet'!$B$218,FE145+FD146-FM145)))</f>
        <v>403.5299999999998</v>
      </c>
      <c r="FF146" s="17">
        <f>FE146*VLOOKUP('Données projet'!$B$16,Paramètres!$A$1:$I$89,3,0)*VLOOKUP('Données projet'!$B$16,Paramètres!$A$1:$I$89,5,0)</f>
        <v>390.29421599999978</v>
      </c>
      <c r="FG146" s="13">
        <f t="shared" si="155"/>
        <v>89.806162279432172</v>
      </c>
      <c r="FH146" s="20">
        <f t="shared" si="130"/>
        <v>836.17482550334387</v>
      </c>
      <c r="FI146" s="59">
        <f t="shared" si="131"/>
        <v>1129.5081588366772</v>
      </c>
      <c r="FJ146" s="59">
        <f ca="1">AVERAGE(OFFSET($FI$3,0,0,'Données projet'!$E$16+1,1))-AVERAGE(OFFSET($H$3,0,0,'Données projet'!$E$16+1,1))</f>
        <v>380.43199889536805</v>
      </c>
      <c r="FK146" s="59">
        <f t="shared" si="156"/>
        <v>154.72646317672996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101.70288590688084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101.70288590688084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304</v>
      </c>
      <c r="O147" s="13">
        <f>N147*VLOOKUP('Données projet'!$B$9,Paramètres!$A$1:$I$89,3,0)*VLOOKUP('Données projet'!$B$9,Paramètres!$A$1:$I$89,5,0)</f>
        <v>189.696</v>
      </c>
      <c r="P147" s="13">
        <f t="shared" si="141"/>
        <v>47.472736505152469</v>
      </c>
      <c r="Q147" s="20">
        <f t="shared" si="108"/>
        <v>413.06888274647389</v>
      </c>
      <c r="R147" s="59">
        <f t="shared" si="109"/>
        <v>706.4022160798072</v>
      </c>
      <c r="S147" s="59">
        <f ca="1">AVERAGE(OFFSET($R$3,0,0,'Données projet'!$E$9+1,1))-AVERAGE(OFFSET($H$3,0,0,'Données projet'!$E$9+1,1))</f>
        <v>179.44051550872138</v>
      </c>
      <c r="T147" s="59">
        <f t="shared" si="142"/>
        <v>272.9500808380069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12.864083305359346</v>
      </c>
      <c r="AA147" s="21">
        <f>EXP(-LN(2)/25)*AA146+(1-EXP(-LN(2)/25))/(LN(2)/25)*Calculateur!V147*Calculateur!X147*VLOOKUP('Données projet'!$B$9,Paramètres!$A$1:$I$89,3,0)*0.475*44/12</f>
        <v>2.0514200832408171</v>
      </c>
      <c r="AB147" s="21">
        <f>EXP(-LN(2)/2)*AB146+(1-EXP(-LN(2)/2))/(LN(2)/2)*V147*Y147*VLOOKUP('Données projet'!$B$9,Paramètres!$A$1:$I$89,3,0)*0.475*44/12</f>
        <v>1.5320057584870884E-18</v>
      </c>
      <c r="AC147" s="22">
        <f t="shared" si="111"/>
        <v>14.915503388600163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2.4999999999997442</v>
      </c>
      <c r="AJ147" s="13">
        <f>AI147*VLOOKUP('Données projet'!$B$10,Paramètres!$A$1:$I$89,3,0)*VLOOKUP('Données projet'!$B$10,Paramètres!$A$1:$I$89,5,0)</f>
        <v>1.2024999999998769</v>
      </c>
      <c r="AK147" s="13">
        <f t="shared" si="143"/>
        <v>0.54239446125464896</v>
      </c>
      <c r="AL147" s="20">
        <f t="shared" si="112"/>
        <v>3.0390245200182986</v>
      </c>
      <c r="AM147" s="59">
        <f t="shared" si="113"/>
        <v>296.37235785335162</v>
      </c>
      <c r="AN147" s="59">
        <f ca="1">AVERAGE(OFFSET($AM$3,0,0,'Données projet'!$E$10+1,1))-AVERAGE(OFFSET($H$3,0,0,'Données projet'!$E$10+1,1))</f>
        <v>174.18188687702559</v>
      </c>
      <c r="AO147" s="59">
        <f t="shared" si="144"/>
        <v>32.17353897322738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133.53999260350886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133.53999260350886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0.8600000000003547</v>
      </c>
      <c r="BE147" s="13">
        <f>BD147*VLOOKUP('Données projet'!$B$11,Paramètres!$A$1:$I$89,3,0)*VLOOKUP('Données projet'!$B$11,Paramètres!$A$1:$I$89,5,0)</f>
        <v>0.48074000000019829</v>
      </c>
      <c r="BF147" s="13">
        <f t="shared" si="145"/>
        <v>0.24126147010950588</v>
      </c>
      <c r="BG147" s="20">
        <f t="shared" si="115"/>
        <v>1.2574858937744013</v>
      </c>
      <c r="BH147" s="59">
        <f t="shared" si="116"/>
        <v>294.59081922710772</v>
      </c>
      <c r="BI147" s="59">
        <f ca="1">AVERAGE(OFFSET($BH$3,0,0,'Données projet'!$E$11+1,1))-AVERAGE(OFFSET($H$3,0,0,'Données projet'!$E$11+1,1))</f>
        <v>350.01600895263641</v>
      </c>
      <c r="BJ147" s="59">
        <f t="shared" si="146"/>
        <v>464.08921044376882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63.800081962347058</v>
      </c>
      <c r="BQ147" s="21">
        <f>EXP(-LN(2)/25)*BQ146+(1-EXP(-LN(2)/25))/(LN(2)/25)*Calculateur!BL147*Calculateur!BN147*VLOOKUP('Données projet'!$B$11,Paramètres!$A$1:$I$89,3,0)*0.475*44/12</f>
        <v>2.1439126817469281</v>
      </c>
      <c r="BR147" s="21">
        <f>EXP(-LN(2)/2)*BR146+(1-EXP(-LN(2)/2))/(LN(2)/2)*BL147*BO147*VLOOKUP('Données projet'!$B$11,Paramètres!$A$1:$I$89,3,0)*0.475*44/12</f>
        <v>5.1342300484897583E-18</v>
      </c>
      <c r="BS147" s="22">
        <f t="shared" si="117"/>
        <v>65.943994644093991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253.79640000000001</v>
      </c>
      <c r="CA147" s="13">
        <f t="shared" si="147"/>
        <v>61.39816832228076</v>
      </c>
      <c r="CB147" s="20">
        <f t="shared" si="118"/>
        <v>548.96387316130563</v>
      </c>
      <c r="CC147" s="59">
        <f t="shared" si="119"/>
        <v>842.29720649463889</v>
      </c>
      <c r="CD147" s="59">
        <f ca="1">AVERAGE(OFFSET($CC$3,0,0,'Données projet'!$E$12+1,1))-AVERAGE(OFFSET($H$3,0,0,'Données projet'!$E$12+1,1))</f>
        <v>279.49721661620544</v>
      </c>
      <c r="CE147" s="59">
        <f t="shared" si="148"/>
        <v>275.18739333988754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14.969159498520007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14.969159498520007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6.8383333333333338</v>
      </c>
      <c r="CT147" s="12">
        <f>IF('Données projet'!$A$140&gt;35,CT146+CS147-DB146,IF(A147&lt;'Données projet'!$A$140,$CQ$205^A147,IF(A147='Données projet'!$A$140,'Données projet'!$B$140,CT146+CS147-DB146)))</f>
        <v>410.36833333333311</v>
      </c>
      <c r="CU147" s="17">
        <f>CT147*VLOOKUP('Données projet'!$B$13,Paramètres!$A$1:$I$89,3,0)*VLOOKUP('Données projet'!$B$13,Paramètres!$A$1:$I$89,5,0)</f>
        <v>416.11348999999984</v>
      </c>
      <c r="CV147" s="13">
        <f t="shared" si="149"/>
        <v>95.035881492994079</v>
      </c>
      <c r="CW147" s="20">
        <f t="shared" si="121"/>
        <v>890.25182201696441</v>
      </c>
      <c r="CX147" s="59">
        <f t="shared" si="122"/>
        <v>1183.5851553502978</v>
      </c>
      <c r="CY147" s="59">
        <f ca="1">AVERAGE(OFFSET($CX$3,0,0,'Données projet'!$E$13+1,1))-AVERAGE(OFFSET($H$3,0,0,'Données projet'!$E$13+1,1))</f>
        <v>402.54350692668021</v>
      </c>
      <c r="CZ147" s="59">
        <f t="shared" si="150"/>
        <v>163.60655196884522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104.5331618152796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104.5331618152796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404.00000000000017</v>
      </c>
      <c r="DP147" s="17">
        <f>DO147*VLOOKUP('Données projet'!$B$14,Paramètres!$A$1:$I$89,3,0)*VLOOKUP('Données projet'!$B$14,Paramètres!$A$1:$I$89,5,0)</f>
        <v>346.63200000000018</v>
      </c>
      <c r="DQ147" s="13">
        <f t="shared" si="151"/>
        <v>80.868615263336864</v>
      </c>
      <c r="DR147" s="20">
        <f t="shared" si="124"/>
        <v>744.56357158364528</v>
      </c>
      <c r="DS147" s="59">
        <f t="shared" si="125"/>
        <v>1037.8969049169787</v>
      </c>
      <c r="DT147" s="59">
        <f ca="1">AVERAGE(OFFSET($DS$3,0,0,'Données projet'!$E$14+1,1))-AVERAGE(OFFSET($H$3,0,0,'Données projet'!$E$14+1,1))</f>
        <v>352.76625414822473</v>
      </c>
      <c r="DU147" s="59">
        <f t="shared" si="152"/>
        <v>186.48649111821521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62.142262270190557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62.142262270190557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210.25641030000014</v>
      </c>
      <c r="EK147" s="17">
        <f>EJ147*VLOOKUP('Données projet'!$B$15,Paramètres!$A$1:$I$89,3,0)*VLOOKUP('Données projet'!$B$15,Paramètres!$A$1:$I$89,5,0)</f>
        <v>164.00000003400012</v>
      </c>
      <c r="EL147" s="13">
        <f t="shared" si="153"/>
        <v>41.743425916009095</v>
      </c>
      <c r="EM147" s="20">
        <f t="shared" si="127"/>
        <v>358.3364668629327</v>
      </c>
      <c r="EN147" s="59">
        <f t="shared" si="128"/>
        <v>651.66980019626601</v>
      </c>
      <c r="EO147" s="59">
        <f ca="1">AVERAGE(OFFSET($EN$3,0,0,'Données projet'!$E$15+1,1))-AVERAGE(OFFSET($H$3,0,0,'Données projet'!$E$15+1,1))</f>
        <v>130.66539383144681</v>
      </c>
      <c r="EP147" s="59">
        <f t="shared" si="154"/>
        <v>126.36398121441903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7.3125860601018093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7.3125860601018093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6.8383333333333338</v>
      </c>
      <c r="FE147" s="12">
        <f>IF('Données projet'!$A$218&gt;35,FE146+FD147-FM146,IF(A147&lt;'Données projet'!$A$218,$FB$205^A147,IF(A147='Données projet'!$A$218,'Données projet'!$B$218,FE146+FD147-FM146)))</f>
        <v>410.36833333333311</v>
      </c>
      <c r="FF147" s="17">
        <f>FE147*VLOOKUP('Données projet'!$B$16,Paramètres!$A$1:$I$89,3,0)*VLOOKUP('Données projet'!$B$16,Paramètres!$A$1:$I$89,5,0)</f>
        <v>396.90825199999983</v>
      </c>
      <c r="FG147" s="13">
        <f t="shared" si="155"/>
        <v>91.14957797989679</v>
      </c>
      <c r="FH147" s="20">
        <f t="shared" si="130"/>
        <v>850.03405388165322</v>
      </c>
      <c r="FI147" s="59">
        <f t="shared" si="131"/>
        <v>1143.3673872149866</v>
      </c>
      <c r="FJ147" s="59">
        <f ca="1">AVERAGE(OFFSET($FI$3,0,0,'Données projet'!$E$16+1,1))-AVERAGE(OFFSET($H$3,0,0,'Données projet'!$E$16+1,1))</f>
        <v>380.43199889536805</v>
      </c>
      <c r="FK147" s="59">
        <f t="shared" si="156"/>
        <v>154.72646317672996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99.708554346882096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99.708554346882096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304</v>
      </c>
      <c r="O148" s="13">
        <f>N148*VLOOKUP('Données projet'!$B$9,Paramètres!$A$1:$I$89,3,0)*VLOOKUP('Données projet'!$B$9,Paramètres!$A$1:$I$89,5,0)</f>
        <v>189.696</v>
      </c>
      <c r="P148" s="13">
        <f t="shared" si="141"/>
        <v>47.472736505152469</v>
      </c>
      <c r="Q148" s="20">
        <f t="shared" si="108"/>
        <v>413.06888274647389</v>
      </c>
      <c r="R148" s="59">
        <f t="shared" si="109"/>
        <v>706.4022160798072</v>
      </c>
      <c r="S148" s="59">
        <f ca="1">AVERAGE(OFFSET($R$3,0,0,'Données projet'!$E$9+1,1))-AVERAGE(OFFSET($H$3,0,0,'Données projet'!$E$9+1,1))</f>
        <v>179.44051550872138</v>
      </c>
      <c r="T148" s="59">
        <f t="shared" si="142"/>
        <v>272.9500808380069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12.611826478057306</v>
      </c>
      <c r="AA148" s="21">
        <f>EXP(-LN(2)/25)*AA147+(1-EXP(-LN(2)/25))/(LN(2)/25)*Calculateur!V148*Calculateur!X148*VLOOKUP('Données projet'!$B$9,Paramètres!$A$1:$I$89,3,0)*0.475*44/12</f>
        <v>1.9953238931851034</v>
      </c>
      <c r="AB148" s="21">
        <f>EXP(-LN(2)/2)*AB147+(1-EXP(-LN(2)/2))/(LN(2)/2)*V148*Y148*VLOOKUP('Données projet'!$B$9,Paramètres!$A$1:$I$89,3,0)*0.475*44/12</f>
        <v>1.0832916606430604E-18</v>
      </c>
      <c r="AC148" s="22">
        <f t="shared" si="111"/>
        <v>14.60715037124241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2.4999999999997442</v>
      </c>
      <c r="AJ148" s="13">
        <f>AI148*VLOOKUP('Données projet'!$B$10,Paramètres!$A$1:$I$89,3,0)*VLOOKUP('Données projet'!$B$10,Paramètres!$A$1:$I$89,5,0)</f>
        <v>1.2024999999998769</v>
      </c>
      <c r="AK148" s="13">
        <f t="shared" si="143"/>
        <v>0.54239446125464896</v>
      </c>
      <c r="AL148" s="20">
        <f t="shared" si="112"/>
        <v>3.0390245200182986</v>
      </c>
      <c r="AM148" s="59">
        <f t="shared" si="113"/>
        <v>296.37235785335162</v>
      </c>
      <c r="AN148" s="59">
        <f ca="1">AVERAGE(OFFSET($AM$3,0,0,'Données projet'!$E$10+1,1))-AVERAGE(OFFSET($H$3,0,0,'Données projet'!$E$10+1,1))</f>
        <v>174.18188687702559</v>
      </c>
      <c r="AO148" s="59">
        <f t="shared" si="144"/>
        <v>32.17353897322738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130.92135479990688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130.92135479990688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0.8600000000003547</v>
      </c>
      <c r="BE148" s="13">
        <f>BD148*VLOOKUP('Données projet'!$B$11,Paramètres!$A$1:$I$89,3,0)*VLOOKUP('Données projet'!$B$11,Paramètres!$A$1:$I$89,5,0)</f>
        <v>0.48074000000019829</v>
      </c>
      <c r="BF148" s="13">
        <f t="shared" si="145"/>
        <v>0.24126147010950588</v>
      </c>
      <c r="BG148" s="20">
        <f t="shared" si="115"/>
        <v>1.2574858937744013</v>
      </c>
      <c r="BH148" s="59">
        <f t="shared" si="116"/>
        <v>294.59081922710772</v>
      </c>
      <c r="BI148" s="59">
        <f ca="1">AVERAGE(OFFSET($BH$3,0,0,'Données projet'!$E$11+1,1))-AVERAGE(OFFSET($H$3,0,0,'Données projet'!$E$11+1,1))</f>
        <v>350.01600895263641</v>
      </c>
      <c r="BJ148" s="59">
        <f t="shared" si="146"/>
        <v>464.08921044376882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62.549001269272971</v>
      </c>
      <c r="BQ148" s="21">
        <f>EXP(-LN(2)/25)*BQ147+(1-EXP(-LN(2)/25))/(LN(2)/25)*Calculateur!BL148*Calculateur!BN148*VLOOKUP('Données projet'!$B$11,Paramètres!$A$1:$I$89,3,0)*0.475*44/12</f>
        <v>2.0852872767210902</v>
      </c>
      <c r="BR148" s="21">
        <f>EXP(-LN(2)/2)*BR147+(1-EXP(-LN(2)/2))/(LN(2)/2)*BL148*BO148*VLOOKUP('Données projet'!$B$11,Paramètres!$A$1:$I$89,3,0)*0.475*44/12</f>
        <v>3.6304488834588447E-18</v>
      </c>
      <c r="BS148" s="22">
        <f t="shared" si="117"/>
        <v>64.634288545994067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253.79640000000001</v>
      </c>
      <c r="CA148" s="13">
        <f t="shared" si="147"/>
        <v>61.39816832228076</v>
      </c>
      <c r="CB148" s="20">
        <f t="shared" si="118"/>
        <v>548.96387316130563</v>
      </c>
      <c r="CC148" s="59">
        <f t="shared" si="119"/>
        <v>842.29720649463889</v>
      </c>
      <c r="CD148" s="59">
        <f ca="1">AVERAGE(OFFSET($CC$3,0,0,'Données projet'!$E$12+1,1))-AVERAGE(OFFSET($H$3,0,0,'Données projet'!$E$12+1,1))</f>
        <v>279.49721661620544</v>
      </c>
      <c r="CE148" s="59">
        <f t="shared" si="148"/>
        <v>275.18739333988754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14.675623411039783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14.675623411039783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6.8383333333333338</v>
      </c>
      <c r="CT148" s="12">
        <f>IF('Données projet'!$A$140&gt;35,CT147+CS148-DB147,IF(A148&lt;'Données projet'!$A$140,$CQ$205^A148,IF(A148='Données projet'!$A$140,'Données projet'!$B$140,CT147+CS148-DB147)))</f>
        <v>417.20666666666642</v>
      </c>
      <c r="CU148" s="17">
        <f>CT148*VLOOKUP('Données projet'!$B$13,Paramètres!$A$1:$I$89,3,0)*VLOOKUP('Données projet'!$B$13,Paramètres!$A$1:$I$89,5,0)</f>
        <v>423.04755999999981</v>
      </c>
      <c r="CV148" s="13">
        <f t="shared" si="149"/>
        <v>96.433861409712151</v>
      </c>
      <c r="CW148" s="20">
        <f t="shared" si="121"/>
        <v>904.76347562191495</v>
      </c>
      <c r="CX148" s="59">
        <f t="shared" si="122"/>
        <v>1198.0968089552482</v>
      </c>
      <c r="CY148" s="59">
        <f ca="1">AVERAGE(OFFSET($CX$3,0,0,'Données projet'!$E$13+1,1))-AVERAGE(OFFSET($H$3,0,0,'Données projet'!$E$13+1,1))</f>
        <v>402.54350692668021</v>
      </c>
      <c r="CZ148" s="59">
        <f t="shared" si="150"/>
        <v>163.60655196884522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102.48333027101501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102.48333027101501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404.00000000000017</v>
      </c>
      <c r="DP148" s="17">
        <f>DO148*VLOOKUP('Données projet'!$B$14,Paramètres!$A$1:$I$89,3,0)*VLOOKUP('Données projet'!$B$14,Paramètres!$A$1:$I$89,5,0)</f>
        <v>346.63200000000018</v>
      </c>
      <c r="DQ148" s="13">
        <f t="shared" si="151"/>
        <v>80.868615263336864</v>
      </c>
      <c r="DR148" s="20">
        <f t="shared" si="124"/>
        <v>744.56357158364528</v>
      </c>
      <c r="DS148" s="59">
        <f t="shared" si="125"/>
        <v>1037.8969049169787</v>
      </c>
      <c r="DT148" s="59">
        <f ca="1">AVERAGE(OFFSET($DS$3,0,0,'Données projet'!$E$14+1,1))-AVERAGE(OFFSET($H$3,0,0,'Données projet'!$E$14+1,1))</f>
        <v>352.76625414822473</v>
      </c>
      <c r="DU148" s="59">
        <f t="shared" si="152"/>
        <v>186.48649111821521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60.923690410109494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60.923690410109494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210.25641030000014</v>
      </c>
      <c r="EK148" s="17">
        <f>EJ148*VLOOKUP('Données projet'!$B$15,Paramètres!$A$1:$I$89,3,0)*VLOOKUP('Données projet'!$B$15,Paramètres!$A$1:$I$89,5,0)</f>
        <v>164.00000003400012</v>
      </c>
      <c r="EL148" s="13">
        <f t="shared" si="153"/>
        <v>41.743425916009095</v>
      </c>
      <c r="EM148" s="20">
        <f t="shared" si="127"/>
        <v>358.3364668629327</v>
      </c>
      <c r="EN148" s="59">
        <f t="shared" si="128"/>
        <v>651.66980019626601</v>
      </c>
      <c r="EO148" s="59">
        <f ca="1">AVERAGE(OFFSET($EN$3,0,0,'Données projet'!$E$15+1,1))-AVERAGE(OFFSET($H$3,0,0,'Données projet'!$E$15+1,1))</f>
        <v>130.66539383144681</v>
      </c>
      <c r="EP148" s="59">
        <f t="shared" si="154"/>
        <v>126.36398121441903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7.1691907077002979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7.1691907077002979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6.8383333333333338</v>
      </c>
      <c r="FE148" s="12">
        <f>IF('Données projet'!$A$218&gt;35,FE147+FD148-FM147,IF(A148&lt;'Données projet'!$A$218,$FB$205^A148,IF(A148='Données projet'!$A$218,'Données projet'!$B$218,FE147+FD148-FM147)))</f>
        <v>417.20666666666642</v>
      </c>
      <c r="FF148" s="17">
        <f>FE148*VLOOKUP('Données projet'!$B$16,Paramètres!$A$1:$I$89,3,0)*VLOOKUP('Données projet'!$B$16,Paramètres!$A$1:$I$89,5,0)</f>
        <v>403.52228799999978</v>
      </c>
      <c r="FG148" s="13">
        <f t="shared" si="155"/>
        <v>92.490390286063672</v>
      </c>
      <c r="FH148" s="20">
        <f t="shared" si="130"/>
        <v>863.88874801489374</v>
      </c>
      <c r="FI148" s="59">
        <f t="shared" si="131"/>
        <v>1157.222081348227</v>
      </c>
      <c r="FJ148" s="59">
        <f ca="1">AVERAGE(OFFSET($FI$3,0,0,'Données projet'!$E$16+1,1))-AVERAGE(OFFSET($H$3,0,0,'Données projet'!$E$16+1,1))</f>
        <v>380.43199889536805</v>
      </c>
      <c r="FK148" s="59">
        <f t="shared" si="156"/>
        <v>154.72646317672996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97.753330412352781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97.753330412352781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304</v>
      </c>
      <c r="O149" s="13">
        <f>N149*VLOOKUP('Données projet'!$B$9,Paramètres!$A$1:$I$89,3,0)*VLOOKUP('Données projet'!$B$9,Paramètres!$A$1:$I$89,5,0)</f>
        <v>189.696</v>
      </c>
      <c r="P149" s="13">
        <f t="shared" si="141"/>
        <v>47.472736505152469</v>
      </c>
      <c r="Q149" s="20">
        <f t="shared" si="108"/>
        <v>413.06888274647389</v>
      </c>
      <c r="R149" s="59">
        <f t="shared" si="109"/>
        <v>706.4022160798072</v>
      </c>
      <c r="S149" s="59">
        <f ca="1">AVERAGE(OFFSET($R$3,0,0,'Données projet'!$E$9+1,1))-AVERAGE(OFFSET($H$3,0,0,'Données projet'!$E$9+1,1))</f>
        <v>179.44051550872138</v>
      </c>
      <c r="T149" s="59">
        <f t="shared" si="142"/>
        <v>272.9500808380069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12.364516253277188</v>
      </c>
      <c r="AA149" s="21">
        <f>EXP(-LN(2)/25)*AA148+(1-EXP(-LN(2)/25))/(LN(2)/25)*Calculateur!V149*Calculateur!X149*VLOOKUP('Données projet'!$B$9,Paramètres!$A$1:$I$89,3,0)*0.475*44/12</f>
        <v>1.9407616563964336</v>
      </c>
      <c r="AB149" s="21">
        <f>EXP(-LN(2)/2)*AB148+(1-EXP(-LN(2)/2))/(LN(2)/2)*V149*Y149*VLOOKUP('Données projet'!$B$9,Paramètres!$A$1:$I$89,3,0)*0.475*44/12</f>
        <v>7.6600287924354421E-19</v>
      </c>
      <c r="AC149" s="22">
        <f t="shared" si="111"/>
        <v>14.305277909673622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2.4999999999997442</v>
      </c>
      <c r="AJ149" s="13">
        <f>AI149*VLOOKUP('Données projet'!$B$10,Paramètres!$A$1:$I$89,3,0)*VLOOKUP('Données projet'!$B$10,Paramètres!$A$1:$I$89,5,0)</f>
        <v>1.2024999999998769</v>
      </c>
      <c r="AK149" s="13">
        <f t="shared" si="143"/>
        <v>0.54239446125464896</v>
      </c>
      <c r="AL149" s="20">
        <f t="shared" si="112"/>
        <v>3.0390245200182986</v>
      </c>
      <c r="AM149" s="59">
        <f t="shared" si="113"/>
        <v>296.37235785335162</v>
      </c>
      <c r="AN149" s="59">
        <f ca="1">AVERAGE(OFFSET($AM$3,0,0,'Données projet'!$E$10+1,1))-AVERAGE(OFFSET($H$3,0,0,'Données projet'!$E$10+1,1))</f>
        <v>174.18188687702559</v>
      </c>
      <c r="AO149" s="59">
        <f t="shared" si="144"/>
        <v>32.17353897322738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128.3540668864222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128.3540668864222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0.8600000000003547</v>
      </c>
      <c r="BE149" s="13">
        <f>BD149*VLOOKUP('Données projet'!$B$11,Paramètres!$A$1:$I$89,3,0)*VLOOKUP('Données projet'!$B$11,Paramètres!$A$1:$I$89,5,0)</f>
        <v>0.48074000000019829</v>
      </c>
      <c r="BF149" s="13">
        <f t="shared" si="145"/>
        <v>0.24126147010950588</v>
      </c>
      <c r="BG149" s="20">
        <f t="shared" si="115"/>
        <v>1.2574858937744013</v>
      </c>
      <c r="BH149" s="59">
        <f t="shared" si="116"/>
        <v>294.59081922710772</v>
      </c>
      <c r="BI149" s="59">
        <f ca="1">AVERAGE(OFFSET($BH$3,0,0,'Données projet'!$E$11+1,1))-AVERAGE(OFFSET($H$3,0,0,'Données projet'!$E$11+1,1))</f>
        <v>350.01600895263641</v>
      </c>
      <c r="BJ149" s="59">
        <f t="shared" si="146"/>
        <v>464.08921044376882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61.322453505506189</v>
      </c>
      <c r="BQ149" s="21">
        <f>EXP(-LN(2)/25)*BQ148+(1-EXP(-LN(2)/25))/(LN(2)/25)*Calculateur!BL149*Calculateur!BN149*VLOOKUP('Données projet'!$B$11,Paramètres!$A$1:$I$89,3,0)*0.475*44/12</f>
        <v>2.0282649864786602</v>
      </c>
      <c r="BR149" s="21">
        <f>EXP(-LN(2)/2)*BR148+(1-EXP(-LN(2)/2))/(LN(2)/2)*BL149*BO149*VLOOKUP('Données projet'!$B$11,Paramètres!$A$1:$I$89,3,0)*0.475*44/12</f>
        <v>2.5671150242448792E-18</v>
      </c>
      <c r="BS149" s="22">
        <f t="shared" si="117"/>
        <v>63.35071849198485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253.79640000000001</v>
      </c>
      <c r="CA149" s="13">
        <f t="shared" si="147"/>
        <v>61.39816832228076</v>
      </c>
      <c r="CB149" s="20">
        <f t="shared" si="118"/>
        <v>548.96387316130563</v>
      </c>
      <c r="CC149" s="59">
        <f t="shared" si="119"/>
        <v>842.29720649463889</v>
      </c>
      <c r="CD149" s="59">
        <f ca="1">AVERAGE(OFFSET($CC$3,0,0,'Données projet'!$E$12+1,1))-AVERAGE(OFFSET($H$3,0,0,'Données projet'!$E$12+1,1))</f>
        <v>279.49721661620544</v>
      </c>
      <c r="CE149" s="59">
        <f t="shared" si="148"/>
        <v>275.18739333988754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14.387843387195712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14.387843387195712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6.8383333333333338</v>
      </c>
      <c r="CT149" s="12">
        <f>IF('Données projet'!$A$140&gt;35,CT148+CS149-DB148,IF(A149&lt;'Données projet'!$A$140,$CQ$205^A149,IF(A149='Données projet'!$A$140,'Données projet'!$B$140,CT148+CS149-DB148)))</f>
        <v>424.04499999999973</v>
      </c>
      <c r="CU149" s="17">
        <f>CT149*VLOOKUP('Données projet'!$B$13,Paramètres!$A$1:$I$89,3,0)*VLOOKUP('Données projet'!$B$13,Paramètres!$A$1:$I$89,5,0)</f>
        <v>429.98162999999977</v>
      </c>
      <c r="CV149" s="13">
        <f t="shared" si="149"/>
        <v>97.829176559231584</v>
      </c>
      <c r="CW149" s="20">
        <f t="shared" si="121"/>
        <v>919.27048809066116</v>
      </c>
      <c r="CX149" s="59">
        <f t="shared" si="122"/>
        <v>1212.6038214239945</v>
      </c>
      <c r="CY149" s="59">
        <f ca="1">AVERAGE(OFFSET($CX$3,0,0,'Données projet'!$E$13+1,1))-AVERAGE(OFFSET($H$3,0,0,'Données projet'!$E$13+1,1))</f>
        <v>402.54350692668021</v>
      </c>
      <c r="CZ149" s="59">
        <f t="shared" si="150"/>
        <v>163.60655196884522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100.47369467305965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100.47369467305965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404.00000000000017</v>
      </c>
      <c r="DP149" s="17">
        <f>DO149*VLOOKUP('Données projet'!$B$14,Paramètres!$A$1:$I$89,3,0)*VLOOKUP('Données projet'!$B$14,Paramètres!$A$1:$I$89,5,0)</f>
        <v>346.63200000000018</v>
      </c>
      <c r="DQ149" s="13">
        <f t="shared" si="151"/>
        <v>80.868615263336864</v>
      </c>
      <c r="DR149" s="20">
        <f t="shared" si="124"/>
        <v>744.56357158364528</v>
      </c>
      <c r="DS149" s="59">
        <f t="shared" si="125"/>
        <v>1037.8969049169787</v>
      </c>
      <c r="DT149" s="59">
        <f ca="1">AVERAGE(OFFSET($DS$3,0,0,'Données projet'!$E$14+1,1))-AVERAGE(OFFSET($H$3,0,0,'Données projet'!$E$14+1,1))</f>
        <v>352.76625414822473</v>
      </c>
      <c r="DU149" s="59">
        <f t="shared" si="152"/>
        <v>186.48649111821521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59.729014000949171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59.729014000949171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210.25641030000014</v>
      </c>
      <c r="EK149" s="17">
        <f>EJ149*VLOOKUP('Données projet'!$B$15,Paramètres!$A$1:$I$89,3,0)*VLOOKUP('Données projet'!$B$15,Paramètres!$A$1:$I$89,5,0)</f>
        <v>164.00000003400012</v>
      </c>
      <c r="EL149" s="13">
        <f t="shared" si="153"/>
        <v>41.743425916009095</v>
      </c>
      <c r="EM149" s="20">
        <f t="shared" si="127"/>
        <v>358.3364668629327</v>
      </c>
      <c r="EN149" s="59">
        <f t="shared" si="128"/>
        <v>651.66980019626601</v>
      </c>
      <c r="EO149" s="59">
        <f ca="1">AVERAGE(OFFSET($EN$3,0,0,'Données projet'!$E$15+1,1))-AVERAGE(OFFSET($H$3,0,0,'Données projet'!$E$15+1,1))</f>
        <v>130.66539383144681</v>
      </c>
      <c r="EP149" s="59">
        <f t="shared" si="154"/>
        <v>126.36398121441903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7.0286072506968509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7.0286072506968509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6.8383333333333338</v>
      </c>
      <c r="FE149" s="12">
        <f>IF('Données projet'!$A$218&gt;35,FE148+FD149-FM148,IF(A149&lt;'Données projet'!$A$218,$FB$205^A149,IF(A149='Données projet'!$A$218,'Données projet'!$B$218,FE148+FD149-FM148)))</f>
        <v>424.04499999999973</v>
      </c>
      <c r="FF149" s="17">
        <f>FE149*VLOOKUP('Données projet'!$B$16,Paramètres!$A$1:$I$89,3,0)*VLOOKUP('Données projet'!$B$16,Paramètres!$A$1:$I$89,5,0)</f>
        <v>410.13632399999972</v>
      </c>
      <c r="FG149" s="13">
        <f t="shared" si="155"/>
        <v>93.828646795390853</v>
      </c>
      <c r="FH149" s="20">
        <f t="shared" si="130"/>
        <v>877.7389908019718</v>
      </c>
      <c r="FI149" s="59">
        <f t="shared" si="131"/>
        <v>1171.0723241353051</v>
      </c>
      <c r="FJ149" s="59">
        <f ca="1">AVERAGE(OFFSET($FI$3,0,0,'Données projet'!$E$16+1,1))-AVERAGE(OFFSET($H$3,0,0,'Données projet'!$E$16+1,1))</f>
        <v>380.43199889536805</v>
      </c>
      <c r="FK149" s="59">
        <f t="shared" si="156"/>
        <v>154.72646317672996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95.836447226610744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95.836447226610744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304</v>
      </c>
      <c r="O150" s="13">
        <f>N150*VLOOKUP('Données projet'!$B$9,Paramètres!$A$1:$I$89,3,0)*VLOOKUP('Données projet'!$B$9,Paramètres!$A$1:$I$89,5,0)</f>
        <v>189.696</v>
      </c>
      <c r="P150" s="13">
        <f t="shared" si="141"/>
        <v>47.472736505152469</v>
      </c>
      <c r="Q150" s="20">
        <f t="shared" si="108"/>
        <v>413.06888274647389</v>
      </c>
      <c r="R150" s="59">
        <f t="shared" si="109"/>
        <v>706.4022160798072</v>
      </c>
      <c r="S150" s="59">
        <f ca="1">AVERAGE(OFFSET($R$3,0,0,'Données projet'!$E$9+1,1))-AVERAGE(OFFSET($H$3,0,0,'Données projet'!$E$9+1,1))</f>
        <v>179.44051550872138</v>
      </c>
      <c r="T150" s="59">
        <f t="shared" si="142"/>
        <v>272.9500808380069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12.122055631160665</v>
      </c>
      <c r="AA150" s="21">
        <f>EXP(-LN(2)/25)*AA149+(1-EXP(-LN(2)/25))/(LN(2)/25)*Calculateur!V150*Calculateur!X150*VLOOKUP('Données projet'!$B$9,Paramètres!$A$1:$I$89,3,0)*0.475*44/12</f>
        <v>1.8876914268420533</v>
      </c>
      <c r="AB150" s="21">
        <f>EXP(-LN(2)/2)*AB149+(1-EXP(-LN(2)/2))/(LN(2)/2)*V150*Y150*VLOOKUP('Données projet'!$B$9,Paramètres!$A$1:$I$89,3,0)*0.475*44/12</f>
        <v>5.4164583032153019E-19</v>
      </c>
      <c r="AC150" s="22">
        <f t="shared" si="111"/>
        <v>14.009747058002718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2.4999999999997442</v>
      </c>
      <c r="AJ150" s="13">
        <f>AI150*VLOOKUP('Données projet'!$B$10,Paramètres!$A$1:$I$89,3,0)*VLOOKUP('Données projet'!$B$10,Paramètres!$A$1:$I$89,5,0)</f>
        <v>1.2024999999998769</v>
      </c>
      <c r="AK150" s="13">
        <f t="shared" si="143"/>
        <v>0.54239446125464896</v>
      </c>
      <c r="AL150" s="20">
        <f t="shared" si="112"/>
        <v>3.0390245200182986</v>
      </c>
      <c r="AM150" s="59">
        <f t="shared" si="113"/>
        <v>296.37235785335162</v>
      </c>
      <c r="AN150" s="59">
        <f ca="1">AVERAGE(OFFSET($AM$3,0,0,'Données projet'!$E$10+1,1))-AVERAGE(OFFSET($H$3,0,0,'Données projet'!$E$10+1,1))</f>
        <v>174.18188687702559</v>
      </c>
      <c r="AO150" s="59">
        <f t="shared" si="144"/>
        <v>32.17353897322738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125.83712192302994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125.83712192302994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0.8600000000003547</v>
      </c>
      <c r="BE150" s="13">
        <f>BD150*VLOOKUP('Données projet'!$B$11,Paramètres!$A$1:$I$89,3,0)*VLOOKUP('Données projet'!$B$11,Paramètres!$A$1:$I$89,5,0)</f>
        <v>0.48074000000019829</v>
      </c>
      <c r="BF150" s="13">
        <f t="shared" si="145"/>
        <v>0.24126147010950588</v>
      </c>
      <c r="BG150" s="20">
        <f t="shared" si="115"/>
        <v>1.2574858937744013</v>
      </c>
      <c r="BH150" s="59">
        <f t="shared" si="116"/>
        <v>294.59081922710772</v>
      </c>
      <c r="BI150" s="59">
        <f ca="1">AVERAGE(OFFSET($BH$3,0,0,'Données projet'!$E$11+1,1))-AVERAGE(OFFSET($H$3,0,0,'Données projet'!$E$11+1,1))</f>
        <v>350.01600895263641</v>
      </c>
      <c r="BJ150" s="59">
        <f t="shared" si="146"/>
        <v>464.08921044376882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60.119957595266612</v>
      </c>
      <c r="BQ150" s="21">
        <f>EXP(-LN(2)/25)*BQ149+(1-EXP(-LN(2)/25))/(LN(2)/25)*Calculateur!BL150*Calculateur!BN150*VLOOKUP('Données projet'!$B$11,Paramètres!$A$1:$I$89,3,0)*0.475*44/12</f>
        <v>1.9728019737615812</v>
      </c>
      <c r="BR150" s="21">
        <f>EXP(-LN(2)/2)*BR149+(1-EXP(-LN(2)/2))/(LN(2)/2)*BL150*BO150*VLOOKUP('Données projet'!$B$11,Paramètres!$A$1:$I$89,3,0)*0.475*44/12</f>
        <v>1.8152244417294224E-18</v>
      </c>
      <c r="BS150" s="22">
        <f t="shared" si="117"/>
        <v>62.092759569028196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253.79640000000001</v>
      </c>
      <c r="CA150" s="13">
        <f t="shared" si="147"/>
        <v>61.39816832228076</v>
      </c>
      <c r="CB150" s="20">
        <f t="shared" si="118"/>
        <v>548.96387316130563</v>
      </c>
      <c r="CC150" s="59">
        <f t="shared" si="119"/>
        <v>842.29720649463889</v>
      </c>
      <c r="CD150" s="59">
        <f ca="1">AVERAGE(OFFSET($CC$3,0,0,'Données projet'!$E$12+1,1))-AVERAGE(OFFSET($H$3,0,0,'Données projet'!$E$12+1,1))</f>
        <v>279.49721661620544</v>
      </c>
      <c r="CE150" s="59">
        <f t="shared" si="148"/>
        <v>275.18739333988754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14.105706554090741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14.105706554090741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6.8383333333333338</v>
      </c>
      <c r="CT150" s="12">
        <f>IF('Données projet'!$A$140&gt;35,CT149+CS150-DB149,IF(A150&lt;'Données projet'!$A$140,$CQ$205^A150,IF(A150='Données projet'!$A$140,'Données projet'!$B$140,CT149+CS150-DB149)))</f>
        <v>430.88333333333304</v>
      </c>
      <c r="CU150" s="17">
        <f>CT150*VLOOKUP('Données projet'!$B$13,Paramètres!$A$1:$I$89,3,0)*VLOOKUP('Données projet'!$B$13,Paramètres!$A$1:$I$89,5,0)</f>
        <v>436.91569999999973</v>
      </c>
      <c r="CV150" s="13">
        <f t="shared" si="149"/>
        <v>99.221874876007959</v>
      </c>
      <c r="CW150" s="20">
        <f t="shared" si="121"/>
        <v>933.77294290904672</v>
      </c>
      <c r="CX150" s="59">
        <f t="shared" si="122"/>
        <v>1227.1062762423801</v>
      </c>
      <c r="CY150" s="59">
        <f ca="1">AVERAGE(OFFSET($CX$3,0,0,'Données projet'!$E$13+1,1))-AVERAGE(OFFSET($H$3,0,0,'Données projet'!$E$13+1,1))</f>
        <v>402.54350692668021</v>
      </c>
      <c r="CZ150" s="59">
        <f t="shared" si="150"/>
        <v>163.60655196884522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98.503466803423521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98.503466803423521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404.00000000000017</v>
      </c>
      <c r="DP150" s="17">
        <f>DO150*VLOOKUP('Données projet'!$B$14,Paramètres!$A$1:$I$89,3,0)*VLOOKUP('Données projet'!$B$14,Paramètres!$A$1:$I$89,5,0)</f>
        <v>346.63200000000018</v>
      </c>
      <c r="DQ150" s="13">
        <f t="shared" si="151"/>
        <v>80.868615263336864</v>
      </c>
      <c r="DR150" s="20">
        <f t="shared" si="124"/>
        <v>744.56357158364528</v>
      </c>
      <c r="DS150" s="59">
        <f t="shared" si="125"/>
        <v>1037.8969049169787</v>
      </c>
      <c r="DT150" s="59">
        <f ca="1">AVERAGE(OFFSET($DS$3,0,0,'Données projet'!$E$14+1,1))-AVERAGE(OFFSET($H$3,0,0,'Données projet'!$E$14+1,1))</f>
        <v>352.76625414822473</v>
      </c>
      <c r="DU150" s="59">
        <f t="shared" si="152"/>
        <v>186.48649111821521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58.557764467491829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58.557764467491829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210.25641030000014</v>
      </c>
      <c r="EK150" s="17">
        <f>EJ150*VLOOKUP('Données projet'!$B$15,Paramètres!$A$1:$I$89,3,0)*VLOOKUP('Données projet'!$B$15,Paramètres!$A$1:$I$89,5,0)</f>
        <v>164.00000003400012</v>
      </c>
      <c r="EL150" s="13">
        <f t="shared" si="153"/>
        <v>41.743425916009095</v>
      </c>
      <c r="EM150" s="20">
        <f t="shared" si="127"/>
        <v>358.3364668629327</v>
      </c>
      <c r="EN150" s="59">
        <f t="shared" si="128"/>
        <v>651.66980019626601</v>
      </c>
      <c r="EO150" s="59">
        <f ca="1">AVERAGE(OFFSET($EN$3,0,0,'Données projet'!$E$15+1,1))-AVERAGE(OFFSET($H$3,0,0,'Données projet'!$E$15+1,1))</f>
        <v>130.66539383144681</v>
      </c>
      <c r="EP150" s="59">
        <f t="shared" si="154"/>
        <v>126.36398121441903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6.8907805495377996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6.8907805495377996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6.8383333333333338</v>
      </c>
      <c r="FE150" s="12">
        <f>IF('Données projet'!$A$218&gt;35,FE149+FD150-FM149,IF(A150&lt;'Données projet'!$A$218,$FB$205^A150,IF(A150='Données projet'!$A$218,'Données projet'!$B$218,FE149+FD150-FM149)))</f>
        <v>430.88333333333304</v>
      </c>
      <c r="FF150" s="17">
        <f>FE150*VLOOKUP('Données projet'!$B$16,Paramètres!$A$1:$I$89,3,0)*VLOOKUP('Données projet'!$B$16,Paramètres!$A$1:$I$89,5,0)</f>
        <v>416.75035999999977</v>
      </c>
      <c r="FG150" s="13">
        <f t="shared" si="155"/>
        <v>95.164393482149833</v>
      </c>
      <c r="FH150" s="20">
        <f t="shared" si="130"/>
        <v>891.58486231474387</v>
      </c>
      <c r="FI150" s="59">
        <f t="shared" si="131"/>
        <v>1184.9181956480772</v>
      </c>
      <c r="FJ150" s="59">
        <f ca="1">AVERAGE(OFFSET($FI$3,0,0,'Données projet'!$E$16+1,1))-AVERAGE(OFFSET($H$3,0,0,'Données projet'!$E$16+1,1))</f>
        <v>380.43199889536805</v>
      </c>
      <c r="FK150" s="59">
        <f t="shared" si="156"/>
        <v>154.72646317672996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93.95715295095782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93.95715295095782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304</v>
      </c>
      <c r="O151" s="13">
        <f>N151*VLOOKUP('Données projet'!$B$9,Paramètres!$A$1:$I$89,3,0)*VLOOKUP('Données projet'!$B$9,Paramètres!$A$1:$I$89,5,0)</f>
        <v>189.696</v>
      </c>
      <c r="P151" s="13">
        <f t="shared" si="141"/>
        <v>47.472736505152469</v>
      </c>
      <c r="Q151" s="20">
        <f t="shared" si="108"/>
        <v>413.06888274647389</v>
      </c>
      <c r="R151" s="59">
        <f t="shared" si="109"/>
        <v>706.4022160798072</v>
      </c>
      <c r="S151" s="59">
        <f ca="1">AVERAGE(OFFSET($R$3,0,0,'Données projet'!$E$9+1,1))-AVERAGE(OFFSET($H$3,0,0,'Données projet'!$E$9+1,1))</f>
        <v>179.44051550872138</v>
      </c>
      <c r="T151" s="59">
        <f t="shared" si="142"/>
        <v>272.9500808380069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11.884349513957469</v>
      </c>
      <c r="AA151" s="21">
        <f>EXP(-LN(2)/25)*AA150+(1-EXP(-LN(2)/25))/(LN(2)/25)*Calculateur!V151*Calculateur!X151*VLOOKUP('Données projet'!$B$9,Paramètres!$A$1:$I$89,3,0)*0.475*44/12</f>
        <v>1.8360724055056796</v>
      </c>
      <c r="AB151" s="21">
        <f>EXP(-LN(2)/2)*AB150+(1-EXP(-LN(2)/2))/(LN(2)/2)*V151*Y151*VLOOKUP('Données projet'!$B$9,Paramètres!$A$1:$I$89,3,0)*0.475*44/12</f>
        <v>3.830014396217721E-19</v>
      </c>
      <c r="AC151" s="22">
        <f t="shared" si="111"/>
        <v>13.720421919463149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2.4999999999997442</v>
      </c>
      <c r="AJ151" s="13">
        <f>AI151*VLOOKUP('Données projet'!$B$10,Paramètres!$A$1:$I$89,3,0)*VLOOKUP('Données projet'!$B$10,Paramètres!$A$1:$I$89,5,0)</f>
        <v>1.2024999999998769</v>
      </c>
      <c r="AK151" s="13">
        <f t="shared" si="143"/>
        <v>0.54239446125464896</v>
      </c>
      <c r="AL151" s="20">
        <f t="shared" si="112"/>
        <v>3.0390245200182986</v>
      </c>
      <c r="AM151" s="59">
        <f t="shared" si="113"/>
        <v>296.37235785335162</v>
      </c>
      <c r="AN151" s="59">
        <f ca="1">AVERAGE(OFFSET($AM$3,0,0,'Données projet'!$E$10+1,1))-AVERAGE(OFFSET($H$3,0,0,'Données projet'!$E$10+1,1))</f>
        <v>174.18188687702559</v>
      </c>
      <c r="AO151" s="59">
        <f t="shared" si="144"/>
        <v>32.17353897322738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123.36953271518496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123.36953271518496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0.8600000000003547</v>
      </c>
      <c r="BE151" s="13">
        <f>BD151*VLOOKUP('Données projet'!$B$11,Paramètres!$A$1:$I$89,3,0)*VLOOKUP('Données projet'!$B$11,Paramètres!$A$1:$I$89,5,0)</f>
        <v>0.48074000000019829</v>
      </c>
      <c r="BF151" s="13">
        <f t="shared" si="145"/>
        <v>0.24126147010950588</v>
      </c>
      <c r="BG151" s="20">
        <f t="shared" si="115"/>
        <v>1.2574858937744013</v>
      </c>
      <c r="BH151" s="59">
        <f t="shared" si="116"/>
        <v>294.59081922710772</v>
      </c>
      <c r="BI151" s="59">
        <f ca="1">AVERAGE(OFFSET($BH$3,0,0,'Données projet'!$E$11+1,1))-AVERAGE(OFFSET($H$3,0,0,'Données projet'!$E$11+1,1))</f>
        <v>350.01600895263641</v>
      </c>
      <c r="BJ151" s="59">
        <f t="shared" si="146"/>
        <v>464.08921044376882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58.941041896376753</v>
      </c>
      <c r="BQ151" s="21">
        <f>EXP(-LN(2)/25)*BQ150+(1-EXP(-LN(2)/25))/(LN(2)/25)*Calculateur!BL151*Calculateur!BN151*VLOOKUP('Données projet'!$B$11,Paramètres!$A$1:$I$89,3,0)*0.475*44/12</f>
        <v>1.9188556000439239</v>
      </c>
      <c r="BR151" s="21">
        <f>EXP(-LN(2)/2)*BR150+(1-EXP(-LN(2)/2))/(LN(2)/2)*BL151*BO151*VLOOKUP('Données projet'!$B$11,Paramètres!$A$1:$I$89,3,0)*0.475*44/12</f>
        <v>1.2835575121224396E-18</v>
      </c>
      <c r="BS151" s="22">
        <f t="shared" si="117"/>
        <v>60.859897496420679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253.79640000000001</v>
      </c>
      <c r="CA151" s="13">
        <f t="shared" si="147"/>
        <v>61.39816832228076</v>
      </c>
      <c r="CB151" s="20">
        <f t="shared" si="118"/>
        <v>548.96387316130563</v>
      </c>
      <c r="CC151" s="59">
        <f t="shared" si="119"/>
        <v>842.29720649463889</v>
      </c>
      <c r="CD151" s="59">
        <f ca="1">AVERAGE(OFFSET($CC$3,0,0,'Données projet'!$E$12+1,1))-AVERAGE(OFFSET($H$3,0,0,'Données projet'!$E$12+1,1))</f>
        <v>279.49721661620544</v>
      </c>
      <c r="CE151" s="59">
        <f t="shared" si="148"/>
        <v>275.18739333988754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13.829102252196481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13.829102252196481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6.8383333333333338</v>
      </c>
      <c r="CT151" s="12">
        <f>IF('Données projet'!$A$140&gt;35,CT150+CS151-DB150,IF(A151&lt;'Données projet'!$A$140,$CQ$205^A151,IF(A151='Données projet'!$A$140,'Données projet'!$B$140,CT150+CS151-DB150)))</f>
        <v>437.72166666666635</v>
      </c>
      <c r="CU151" s="17">
        <f>CT151*VLOOKUP('Données projet'!$B$13,Paramètres!$A$1:$I$89,3,0)*VLOOKUP('Données projet'!$B$13,Paramètres!$A$1:$I$89,5,0)</f>
        <v>443.84976999999969</v>
      </c>
      <c r="CV151" s="13">
        <f t="shared" si="149"/>
        <v>100.61200268574333</v>
      </c>
      <c r="CW151" s="20">
        <f t="shared" si="121"/>
        <v>948.27092076100234</v>
      </c>
      <c r="CX151" s="59">
        <f t="shared" si="122"/>
        <v>1241.6042540943356</v>
      </c>
      <c r="CY151" s="59">
        <f ca="1">AVERAGE(OFFSET($CX$3,0,0,'Données projet'!$E$13+1,1))-AVERAGE(OFFSET($H$3,0,0,'Données projet'!$E$13+1,1))</f>
        <v>402.54350692668021</v>
      </c>
      <c r="CZ151" s="59">
        <f t="shared" si="150"/>
        <v>163.60655196884522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96.571873900590617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96.571873900590617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404.00000000000017</v>
      </c>
      <c r="DP151" s="17">
        <f>DO151*VLOOKUP('Données projet'!$B$14,Paramètres!$A$1:$I$89,3,0)*VLOOKUP('Données projet'!$B$14,Paramètres!$A$1:$I$89,5,0)</f>
        <v>346.63200000000018</v>
      </c>
      <c r="DQ151" s="13">
        <f t="shared" si="151"/>
        <v>80.868615263336864</v>
      </c>
      <c r="DR151" s="20">
        <f t="shared" si="124"/>
        <v>744.56357158364528</v>
      </c>
      <c r="DS151" s="59">
        <f t="shared" si="125"/>
        <v>1037.8969049169787</v>
      </c>
      <c r="DT151" s="59">
        <f ca="1">AVERAGE(OFFSET($DS$3,0,0,'Données projet'!$E$14+1,1))-AVERAGE(OFFSET($H$3,0,0,'Données projet'!$E$14+1,1))</f>
        <v>352.76625414822473</v>
      </c>
      <c r="DU151" s="59">
        <f t="shared" si="152"/>
        <v>186.48649111821521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57.409482422993911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57.409482422993911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210.25641030000014</v>
      </c>
      <c r="EK151" s="17">
        <f>EJ151*VLOOKUP('Données projet'!$B$15,Paramètres!$A$1:$I$89,3,0)*VLOOKUP('Données projet'!$B$15,Paramètres!$A$1:$I$89,5,0)</f>
        <v>164.00000003400012</v>
      </c>
      <c r="EL151" s="13">
        <f t="shared" si="153"/>
        <v>41.743425916009095</v>
      </c>
      <c r="EM151" s="20">
        <f t="shared" si="127"/>
        <v>358.3364668629327</v>
      </c>
      <c r="EN151" s="59">
        <f t="shared" si="128"/>
        <v>651.66980019626601</v>
      </c>
      <c r="EO151" s="59">
        <f ca="1">AVERAGE(OFFSET($EN$3,0,0,'Données projet'!$E$15+1,1))-AVERAGE(OFFSET($H$3,0,0,'Données projet'!$E$15+1,1))</f>
        <v>130.66539383144681</v>
      </c>
      <c r="EP151" s="59">
        <f t="shared" si="154"/>
        <v>126.36398121441903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6.7556565459224904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6.7556565459224904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6.8383333333333338</v>
      </c>
      <c r="FE151" s="12">
        <f>IF('Données projet'!$A$218&gt;35,FE150+FD151-FM150,IF(A151&lt;'Données projet'!$A$218,$FB$205^A151,IF(A151='Données projet'!$A$218,'Données projet'!$B$218,FE150+FD151-FM150)))</f>
        <v>437.72166666666635</v>
      </c>
      <c r="FF151" s="17">
        <f>FE151*VLOOKUP('Données projet'!$B$16,Paramètres!$A$1:$I$89,3,0)*VLOOKUP('Données projet'!$B$16,Paramètres!$A$1:$I$89,5,0)</f>
        <v>423.36439599999972</v>
      </c>
      <c r="FG151" s="13">
        <f t="shared" si="155"/>
        <v>96.497674777644932</v>
      </c>
      <c r="FH151" s="20">
        <f t="shared" si="130"/>
        <v>905.42643993773117</v>
      </c>
      <c r="FI151" s="59">
        <f t="shared" si="131"/>
        <v>1198.7597732710644</v>
      </c>
      <c r="FJ151" s="59">
        <f ca="1">AVERAGE(OFFSET($FI$3,0,0,'Données projet'!$E$16+1,1))-AVERAGE(OFFSET($H$3,0,0,'Données projet'!$E$16+1,1))</f>
        <v>380.43199889536805</v>
      </c>
      <c r="FK151" s="59">
        <f t="shared" si="156"/>
        <v>154.72646317672996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92.11471048979412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92.11471048979412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304</v>
      </c>
      <c r="O152" s="13">
        <f>N152*VLOOKUP('Données projet'!$B$9,Paramètres!$A$1:$I$89,3,0)*VLOOKUP('Données projet'!$B$9,Paramètres!$A$1:$I$89,5,0)</f>
        <v>189.696</v>
      </c>
      <c r="P152" s="13">
        <f t="shared" si="141"/>
        <v>47.472736505152469</v>
      </c>
      <c r="Q152" s="20">
        <f t="shared" si="108"/>
        <v>413.06888274647389</v>
      </c>
      <c r="R152" s="59">
        <f t="shared" si="109"/>
        <v>706.4022160798072</v>
      </c>
      <c r="S152" s="59">
        <f ca="1">AVERAGE(OFFSET($R$3,0,0,'Données projet'!$E$9+1,1))-AVERAGE(OFFSET($H$3,0,0,'Données projet'!$E$9+1,1))</f>
        <v>179.44051550872138</v>
      </c>
      <c r="T152" s="59">
        <f t="shared" si="142"/>
        <v>272.9500808380069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11.651304668726214</v>
      </c>
      <c r="AA152" s="21">
        <f>EXP(-LN(2)/25)*AA151+(1-EXP(-LN(2)/25))/(LN(2)/25)*Calculateur!V152*Calculateur!X152*VLOOKUP('Données projet'!$B$9,Paramètres!$A$1:$I$89,3,0)*0.475*44/12</f>
        <v>1.7858649090222753</v>
      </c>
      <c r="AB152" s="21">
        <f>EXP(-LN(2)/2)*AB151+(1-EXP(-LN(2)/2))/(LN(2)/2)*V152*Y152*VLOOKUP('Données projet'!$B$9,Paramètres!$A$1:$I$89,3,0)*0.475*44/12</f>
        <v>2.708229151607651E-19</v>
      </c>
      <c r="AC152" s="22">
        <f t="shared" si="111"/>
        <v>13.437169577748488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2.4999999999997442</v>
      </c>
      <c r="AJ152" s="13">
        <f>AI152*VLOOKUP('Données projet'!$B$10,Paramètres!$A$1:$I$89,3,0)*VLOOKUP('Données projet'!$B$10,Paramètres!$A$1:$I$89,5,0)</f>
        <v>1.2024999999998769</v>
      </c>
      <c r="AK152" s="13">
        <f t="shared" si="143"/>
        <v>0.54239446125464896</v>
      </c>
      <c r="AL152" s="20">
        <f t="shared" si="112"/>
        <v>3.0390245200182986</v>
      </c>
      <c r="AM152" s="59">
        <f t="shared" si="113"/>
        <v>296.37235785335162</v>
      </c>
      <c r="AN152" s="59">
        <f ca="1">AVERAGE(OFFSET($AM$3,0,0,'Données projet'!$E$10+1,1))-AVERAGE(OFFSET($H$3,0,0,'Données projet'!$E$10+1,1))</f>
        <v>174.18188687702559</v>
      </c>
      <c r="AO152" s="59">
        <f t="shared" si="144"/>
        <v>32.17353897322738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120.95033142662501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120.95033142662501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0.8600000000003547</v>
      </c>
      <c r="BE152" s="13">
        <f>BD152*VLOOKUP('Données projet'!$B$11,Paramètres!$A$1:$I$89,3,0)*VLOOKUP('Données projet'!$B$11,Paramètres!$A$1:$I$89,5,0)</f>
        <v>0.48074000000019829</v>
      </c>
      <c r="BF152" s="13">
        <f t="shared" si="145"/>
        <v>0.24126147010950588</v>
      </c>
      <c r="BG152" s="20">
        <f t="shared" si="115"/>
        <v>1.2574858937744013</v>
      </c>
      <c r="BH152" s="59">
        <f t="shared" si="116"/>
        <v>294.59081922710772</v>
      </c>
      <c r="BI152" s="59">
        <f ca="1">AVERAGE(OFFSET($BH$3,0,0,'Données projet'!$E$11+1,1))-AVERAGE(OFFSET($H$3,0,0,'Données projet'!$E$11+1,1))</f>
        <v>350.01600895263641</v>
      </c>
      <c r="BJ152" s="59">
        <f t="shared" si="146"/>
        <v>464.08921044376882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57.785244015274543</v>
      </c>
      <c r="BQ152" s="21">
        <f>EXP(-LN(2)/25)*BQ151+(1-EXP(-LN(2)/25))/(LN(2)/25)*Calculateur!BL152*Calculateur!BN152*VLOOKUP('Données projet'!$B$11,Paramètres!$A$1:$I$89,3,0)*0.475*44/12</f>
        <v>1.8663843927524923</v>
      </c>
      <c r="BR152" s="21">
        <f>EXP(-LN(2)/2)*BR151+(1-EXP(-LN(2)/2))/(LN(2)/2)*BL152*BO152*VLOOKUP('Données projet'!$B$11,Paramètres!$A$1:$I$89,3,0)*0.475*44/12</f>
        <v>9.0761222086471118E-19</v>
      </c>
      <c r="BS152" s="22">
        <f t="shared" si="117"/>
        <v>59.651628408027037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253.79640000000001</v>
      </c>
      <c r="CA152" s="13">
        <f t="shared" si="147"/>
        <v>61.39816832228076</v>
      </c>
      <c r="CB152" s="20">
        <f t="shared" si="118"/>
        <v>548.96387316130563</v>
      </c>
      <c r="CC152" s="59">
        <f t="shared" si="119"/>
        <v>842.29720649463889</v>
      </c>
      <c r="CD152" s="59">
        <f ca="1">AVERAGE(OFFSET($CC$3,0,0,'Données projet'!$E$12+1,1))-AVERAGE(OFFSET($H$3,0,0,'Données projet'!$E$12+1,1))</f>
        <v>279.49721661620544</v>
      </c>
      <c r="CE152" s="59">
        <f t="shared" si="148"/>
        <v>275.18739333988754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13.557921991950403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13.557921991950403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444.56</v>
      </c>
      <c r="CR152" s="12">
        <f>VLOOKUP(A152,'Données projet'!$A$139:$I$159,9,0)</f>
        <v>6.8383333333333338</v>
      </c>
      <c r="CS152" s="12">
        <f t="array" ref="CS152">INDEX(CR:CR,MIN(IF(ISNUMBER(CR152:CR348),ROW(CR152:CR348),"")))</f>
        <v>6.8383333333333338</v>
      </c>
      <c r="CT152" s="12">
        <f>IF('Données projet'!$A$140&gt;35,CT151+CS152-DB151,IF(A152&lt;'Données projet'!$A$140,$CQ$205^A152,IF(A152='Données projet'!$A$140,'Données projet'!$B$140,CT151+CS152-DB151)))</f>
        <v>444.55999999999966</v>
      </c>
      <c r="CU152" s="17">
        <f>CT152*VLOOKUP('Données projet'!$B$13,Paramètres!$A$1:$I$89,3,0)*VLOOKUP('Données projet'!$B$13,Paramètres!$A$1:$I$89,5,0)</f>
        <v>450.78383999999966</v>
      </c>
      <c r="CV152" s="13">
        <f t="shared" si="149"/>
        <v>101.99960478365178</v>
      </c>
      <c r="CW152" s="20">
        <f t="shared" si="121"/>
        <v>962.76449966485961</v>
      </c>
      <c r="CX152" s="59">
        <f t="shared" si="122"/>
        <v>1256.0978329981929</v>
      </c>
      <c r="CY152" s="59">
        <f ca="1">AVERAGE(OFFSET($CX$3,0,0,'Données projet'!$E$13+1,1))-AVERAGE(OFFSET($H$3,0,0,'Données projet'!$E$13+1,1))</f>
        <v>402.54350692668021</v>
      </c>
      <c r="CZ152" s="59">
        <f t="shared" si="150"/>
        <v>163.60655196884522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153.56</v>
      </c>
      <c r="DC152" s="16">
        <f>IF(ISNA(VLOOKUP(A152,'Données projet'!$A$139:$I$159,5,0)),0%,VLOOKUP(A152,'Données projet'!$A$139:$I$159,5,0)*VLOOKUP('Données projet'!$B$13,Paramètres!$A$1:$I$89,7,0))</f>
        <v>0.43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168.69518320280736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168.69518320280736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404.00000000000017</v>
      </c>
      <c r="DP152" s="17">
        <f>DO152*VLOOKUP('Données projet'!$B$14,Paramètres!$A$1:$I$89,3,0)*VLOOKUP('Données projet'!$B$14,Paramètres!$A$1:$I$89,5,0)</f>
        <v>346.63200000000018</v>
      </c>
      <c r="DQ152" s="13">
        <f t="shared" si="151"/>
        <v>80.868615263336864</v>
      </c>
      <c r="DR152" s="20">
        <f t="shared" si="124"/>
        <v>744.56357158364528</v>
      </c>
      <c r="DS152" s="59">
        <f t="shared" si="125"/>
        <v>1037.8969049169787</v>
      </c>
      <c r="DT152" s="59">
        <f ca="1">AVERAGE(OFFSET($DS$3,0,0,'Données projet'!$E$14+1,1))-AVERAGE(OFFSET($H$3,0,0,'Données projet'!$E$14+1,1))</f>
        <v>352.76625414822473</v>
      </c>
      <c r="DU152" s="59">
        <f t="shared" si="152"/>
        <v>186.48649111821521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56.283717489005703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56.283717489005703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210.25641030000014</v>
      </c>
      <c r="EK152" s="17">
        <f>EJ152*VLOOKUP('Données projet'!$B$15,Paramètres!$A$1:$I$89,3,0)*VLOOKUP('Données projet'!$B$15,Paramètres!$A$1:$I$89,5,0)</f>
        <v>164.00000003400012</v>
      </c>
      <c r="EL152" s="13">
        <f t="shared" si="153"/>
        <v>41.743425916009095</v>
      </c>
      <c r="EM152" s="20">
        <f t="shared" si="127"/>
        <v>358.3364668629327</v>
      </c>
      <c r="EN152" s="59">
        <f t="shared" si="128"/>
        <v>651.66980019626601</v>
      </c>
      <c r="EO152" s="59">
        <f ca="1">AVERAGE(OFFSET($EN$3,0,0,'Données projet'!$E$15+1,1))-AVERAGE(OFFSET($H$3,0,0,'Données projet'!$E$15+1,1))</f>
        <v>130.66539383144681</v>
      </c>
      <c r="EP152" s="59">
        <f t="shared" si="154"/>
        <v>126.36398121441903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6.6231822416005732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6.6231822416005732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>
        <f>VLOOKUP(A152,'Données projet'!$A$217:$I$237,2,0)</f>
        <v>444.56</v>
      </c>
      <c r="FC152" s="12">
        <f>VLOOKUP(A152,'Données projet'!$A$217:$I$237,9,0)</f>
        <v>6.8383333333333338</v>
      </c>
      <c r="FD152" s="12">
        <f t="array" ref="FD152">INDEX(FC:FC,MIN(IF(ISNUMBER(FC152:FC348),ROW(FC152:FC348),"")))</f>
        <v>6.8383333333333338</v>
      </c>
      <c r="FE152" s="12">
        <f>IF('Données projet'!$A$218&gt;35,FE151+FD152-FM151,IF(A152&lt;'Données projet'!$A$218,$FB$205^A152,IF(A152='Données projet'!$A$218,'Données projet'!$B$218,FE151+FD152-FM151)))</f>
        <v>444.55999999999966</v>
      </c>
      <c r="FF152" s="17">
        <f>FE152*VLOOKUP('Données projet'!$B$16,Paramètres!$A$1:$I$89,3,0)*VLOOKUP('Données projet'!$B$16,Paramètres!$A$1:$I$89,5,0)</f>
        <v>429.97843199999966</v>
      </c>
      <c r="FG152" s="13">
        <f t="shared" si="155"/>
        <v>97.828533645279023</v>
      </c>
      <c r="FH152" s="20">
        <f t="shared" si="130"/>
        <v>919.26379849886018</v>
      </c>
      <c r="FI152" s="59">
        <f t="shared" si="131"/>
        <v>1212.5971318321936</v>
      </c>
      <c r="FJ152" s="59">
        <f ca="1">AVERAGE(OFFSET($FI$3,0,0,'Données projet'!$E$16+1,1))-AVERAGE(OFFSET($H$3,0,0,'Données projet'!$E$16+1,1))</f>
        <v>380.43199889536805</v>
      </c>
      <c r="FK152" s="59">
        <f t="shared" si="156"/>
        <v>154.72646317672996</v>
      </c>
      <c r="FL152" s="15">
        <f>IF(ISNA(VLOOKUP(A152,'Données projet'!$A$217:$I$237,3,0)),0,VLOOKUP(A152,'Données projet'!$A$217:$I$237,3,0))</f>
        <v>12</v>
      </c>
      <c r="FM152" s="15">
        <f>IF(ISNA(VLOOKUP(A152,'Données projet'!$A$217:$I$237,4,0)),0,VLOOKUP(A152,'Données projet'!$A$217:$I$237,4,0))</f>
        <v>153.56</v>
      </c>
      <c r="FN152" s="16">
        <f>IF(ISNA(VLOOKUP(A152,'Données projet'!$A$217:$I$237,5,0)),0%,VLOOKUP(A152,'Données projet'!$A$217:$I$237,5,0)*VLOOKUP('Données projet'!$B$16,Paramètres!$A$1:$I$89,7,0))</f>
        <v>0.43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160.90925167037011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160.90925167037011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304</v>
      </c>
      <c r="O153" s="13">
        <f>N153*VLOOKUP('Données projet'!$B$9,Paramètres!$A$1:$I$89,3,0)*VLOOKUP('Données projet'!$B$9,Paramètres!$A$1:$I$89,5,0)</f>
        <v>189.696</v>
      </c>
      <c r="P153" s="13">
        <f t="shared" si="141"/>
        <v>47.472736505152469</v>
      </c>
      <c r="Q153" s="20">
        <f t="shared" si="108"/>
        <v>413.06888274647389</v>
      </c>
      <c r="R153" s="59">
        <f t="shared" si="109"/>
        <v>706.4022160798072</v>
      </c>
      <c r="S153" s="59">
        <f ca="1">AVERAGE(OFFSET($R$3,0,0,'Données projet'!$E$9+1,1))-AVERAGE(OFFSET($H$3,0,0,'Données projet'!$E$9+1,1))</f>
        <v>179.44051550872138</v>
      </c>
      <c r="T153" s="59">
        <f t="shared" si="142"/>
        <v>272.9500808380069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11.422829690766623</v>
      </c>
      <c r="AA153" s="21">
        <f>EXP(-LN(2)/25)*AA152+(1-EXP(-LN(2)/25))/(LN(2)/25)*Calculateur!V153*Calculateur!X153*VLOOKUP('Données projet'!$B$9,Paramètres!$A$1:$I$89,3,0)*0.475*44/12</f>
        <v>1.7370303391705073</v>
      </c>
      <c r="AB153" s="21">
        <f>EXP(-LN(2)/2)*AB152+(1-EXP(-LN(2)/2))/(LN(2)/2)*V153*Y153*VLOOKUP('Données projet'!$B$9,Paramètres!$A$1:$I$89,3,0)*0.475*44/12</f>
        <v>1.9150071981088605E-19</v>
      </c>
      <c r="AC153" s="22">
        <f t="shared" si="111"/>
        <v>13.15986002993713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2.4999999999997442</v>
      </c>
      <c r="AJ153" s="13">
        <f>AI153*VLOOKUP('Données projet'!$B$10,Paramètres!$A$1:$I$89,3,0)*VLOOKUP('Données projet'!$B$10,Paramètres!$A$1:$I$89,5,0)</f>
        <v>1.2024999999998769</v>
      </c>
      <c r="AK153" s="13">
        <f t="shared" si="143"/>
        <v>0.54239446125464896</v>
      </c>
      <c r="AL153" s="20">
        <f t="shared" si="112"/>
        <v>3.0390245200182986</v>
      </c>
      <c r="AM153" s="59">
        <f t="shared" si="113"/>
        <v>296.37235785335162</v>
      </c>
      <c r="AN153" s="59">
        <f ca="1">AVERAGE(OFFSET($AM$3,0,0,'Données projet'!$E$10+1,1))-AVERAGE(OFFSET($H$3,0,0,'Données projet'!$E$10+1,1))</f>
        <v>174.18188687702559</v>
      </c>
      <c r="AO153" s="59">
        <f t="shared" si="144"/>
        <v>32.17353897322738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118.57856919976665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118.57856919976665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0.8600000000003547</v>
      </c>
      <c r="BE153" s="13">
        <f>BD153*VLOOKUP('Données projet'!$B$11,Paramètres!$A$1:$I$89,3,0)*VLOOKUP('Données projet'!$B$11,Paramètres!$A$1:$I$89,5,0)</f>
        <v>0.48074000000019829</v>
      </c>
      <c r="BF153" s="13">
        <f t="shared" si="145"/>
        <v>0.24126147010950588</v>
      </c>
      <c r="BG153" s="20">
        <f t="shared" si="115"/>
        <v>1.2574858937744013</v>
      </c>
      <c r="BH153" s="59">
        <f t="shared" si="116"/>
        <v>294.59081922710772</v>
      </c>
      <c r="BI153" s="59">
        <f ca="1">AVERAGE(OFFSET($BH$3,0,0,'Données projet'!$E$11+1,1))-AVERAGE(OFFSET($H$3,0,0,'Données projet'!$E$11+1,1))</f>
        <v>350.01600895263641</v>
      </c>
      <c r="BJ153" s="59">
        <f t="shared" si="146"/>
        <v>464.08921044376882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56.652110625653656</v>
      </c>
      <c r="BQ153" s="21">
        <f>EXP(-LN(2)/25)*BQ152+(1-EXP(-LN(2)/25))/(LN(2)/25)*Calculateur!BL153*Calculateur!BN153*VLOOKUP('Données projet'!$B$11,Paramètres!$A$1:$I$89,3,0)*0.475*44/12</f>
        <v>1.8153480133837858</v>
      </c>
      <c r="BR153" s="21">
        <f>EXP(-LN(2)/2)*BR152+(1-EXP(-LN(2)/2))/(LN(2)/2)*BL153*BO153*VLOOKUP('Données projet'!$B$11,Paramètres!$A$1:$I$89,3,0)*0.475*44/12</f>
        <v>6.4177875606121979E-19</v>
      </c>
      <c r="BS153" s="22">
        <f t="shared" si="117"/>
        <v>58.467458639037439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253.79640000000001</v>
      </c>
      <c r="CA153" s="13">
        <f t="shared" si="147"/>
        <v>61.39816832228076</v>
      </c>
      <c r="CB153" s="20">
        <f t="shared" si="118"/>
        <v>548.96387316130563</v>
      </c>
      <c r="CC153" s="59">
        <f t="shared" si="119"/>
        <v>842.29720649463889</v>
      </c>
      <c r="CD153" s="59">
        <f ca="1">AVERAGE(OFFSET($CC$3,0,0,'Données projet'!$E$12+1,1))-AVERAGE(OFFSET($H$3,0,0,'Données projet'!$E$12+1,1))</f>
        <v>279.49721661620544</v>
      </c>
      <c r="CE153" s="59">
        <f t="shared" si="148"/>
        <v>275.18739333988754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13.292059411204123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13.292059411204123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-1.1749999999999972</v>
      </c>
      <c r="CT153" s="12">
        <f>IF('Données projet'!$A$140&gt;35,CT152+CS153-DB152,IF(A153&lt;'Données projet'!$A$140,$CQ$205^A153,IF(A153='Données projet'!$A$140,'Données projet'!$B$140,CT152+CS153-DB152)))</f>
        <v>289.82499999999965</v>
      </c>
      <c r="CU153" s="17">
        <f>CT153*VLOOKUP('Données projet'!$B$13,Paramètres!$A$1:$I$89,3,0)*VLOOKUP('Données projet'!$B$13,Paramètres!$A$1:$I$89,5,0)</f>
        <v>293.8825499999997</v>
      </c>
      <c r="CV153" s="13">
        <f t="shared" si="149"/>
        <v>69.892477310412062</v>
      </c>
      <c r="CW153" s="20">
        <f t="shared" si="121"/>
        <v>633.57483923230041</v>
      </c>
      <c r="CX153" s="59">
        <f t="shared" si="122"/>
        <v>926.90817256563378</v>
      </c>
      <c r="CY153" s="59">
        <f ca="1">AVERAGE(OFFSET($CX$3,0,0,'Données projet'!$E$13+1,1))-AVERAGE(OFFSET($H$3,0,0,'Données projet'!$E$13+1,1))</f>
        <v>402.54350692668021</v>
      </c>
      <c r="CZ153" s="59">
        <f t="shared" si="150"/>
        <v>163.60655196884522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165.38717355410213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165.38717355410213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404.00000000000017</v>
      </c>
      <c r="DP153" s="17">
        <f>DO153*VLOOKUP('Données projet'!$B$14,Paramètres!$A$1:$I$89,3,0)*VLOOKUP('Données projet'!$B$14,Paramètres!$A$1:$I$89,5,0)</f>
        <v>346.63200000000018</v>
      </c>
      <c r="DQ153" s="13">
        <f t="shared" si="151"/>
        <v>80.868615263336864</v>
      </c>
      <c r="DR153" s="20">
        <f t="shared" si="124"/>
        <v>744.56357158364528</v>
      </c>
      <c r="DS153" s="59">
        <f t="shared" si="125"/>
        <v>1037.8969049169787</v>
      </c>
      <c r="DT153" s="59">
        <f ca="1">AVERAGE(OFFSET($DS$3,0,0,'Données projet'!$E$14+1,1))-AVERAGE(OFFSET($H$3,0,0,'Données projet'!$E$14+1,1))</f>
        <v>352.76625414822473</v>
      </c>
      <c r="DU153" s="59">
        <f t="shared" si="152"/>
        <v>186.48649111821521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55.180028118724195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55.180028118724195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210.25641030000014</v>
      </c>
      <c r="EK153" s="17">
        <f>EJ153*VLOOKUP('Données projet'!$B$15,Paramètres!$A$1:$I$89,3,0)*VLOOKUP('Données projet'!$B$15,Paramètres!$A$1:$I$89,5,0)</f>
        <v>164.00000003400012</v>
      </c>
      <c r="EL153" s="13">
        <f t="shared" si="153"/>
        <v>41.743425916009095</v>
      </c>
      <c r="EM153" s="20">
        <f t="shared" si="127"/>
        <v>358.3364668629327</v>
      </c>
      <c r="EN153" s="59">
        <f t="shared" si="128"/>
        <v>651.66980019626601</v>
      </c>
      <c r="EO153" s="59">
        <f ca="1">AVERAGE(OFFSET($EN$3,0,0,'Données projet'!$E$15+1,1))-AVERAGE(OFFSET($H$3,0,0,'Données projet'!$E$15+1,1))</f>
        <v>130.66539383144681</v>
      </c>
      <c r="EP153" s="59">
        <f t="shared" si="154"/>
        <v>126.36398121441903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6.4933056775850622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6.4933056775850622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-1.1749999999999972</v>
      </c>
      <c r="FE153" s="12">
        <f>IF('Données projet'!$A$218&gt;35,FE152+FD153-FM152,IF(A153&lt;'Données projet'!$A$218,$FB$205^A153,IF(A153='Données projet'!$A$218,'Données projet'!$B$218,FE152+FD153-FM152)))</f>
        <v>289.82499999999965</v>
      </c>
      <c r="FF153" s="17">
        <f>FE153*VLOOKUP('Données projet'!$B$16,Paramètres!$A$1:$I$89,3,0)*VLOOKUP('Données projet'!$B$16,Paramètres!$A$1:$I$89,5,0)</f>
        <v>280.31873999999971</v>
      </c>
      <c r="FG153" s="13">
        <f t="shared" si="155"/>
        <v>67.034363344998383</v>
      </c>
      <c r="FH153" s="20">
        <f t="shared" si="130"/>
        <v>604.973321659205</v>
      </c>
      <c r="FI153" s="59">
        <f t="shared" si="131"/>
        <v>898.30665499253837</v>
      </c>
      <c r="FJ153" s="59">
        <f ca="1">AVERAGE(OFFSET($FI$3,0,0,'Données projet'!$E$16+1,1))-AVERAGE(OFFSET($H$3,0,0,'Données projet'!$E$16+1,1))</f>
        <v>380.43199889536805</v>
      </c>
      <c r="FK153" s="59">
        <f t="shared" si="156"/>
        <v>154.72646317672996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157.75391939006667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157.75391939006667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304</v>
      </c>
      <c r="O154" s="13">
        <f>N154*VLOOKUP('Données projet'!$B$9,Paramètres!$A$1:$I$89,3,0)*VLOOKUP('Données projet'!$B$9,Paramètres!$A$1:$I$89,5,0)</f>
        <v>189.696</v>
      </c>
      <c r="P154" s="13">
        <f t="shared" si="141"/>
        <v>47.472736505152469</v>
      </c>
      <c r="Q154" s="20">
        <f t="shared" ref="Q154:Q203" si="162">(O154+P154)*0.475*44/12</f>
        <v>413.06888274647389</v>
      </c>
      <c r="R154" s="59">
        <f t="shared" si="109"/>
        <v>706.4022160798072</v>
      </c>
      <c r="S154" s="59">
        <f ca="1">AVERAGE(OFFSET($R$3,0,0,'Données projet'!$E$9+1,1))-AVERAGE(OFFSET($H$3,0,0,'Données projet'!$E$9+1,1))</f>
        <v>179.44051550872138</v>
      </c>
      <c r="T154" s="59">
        <f t="shared" si="142"/>
        <v>272.9500808380069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11.198834967768843</v>
      </c>
      <c r="AA154" s="21">
        <f>EXP(-LN(2)/25)*AA153+(1-EXP(-LN(2)/25))/(LN(2)/25)*Calculateur!V154*Calculateur!X154*VLOOKUP('Données projet'!$B$9,Paramètres!$A$1:$I$89,3,0)*0.475*44/12</f>
        <v>1.6895311531994344</v>
      </c>
      <c r="AB154" s="21">
        <f>EXP(-LN(2)/2)*AB153+(1-EXP(-LN(2)/2))/(LN(2)/2)*V154*Y154*VLOOKUP('Données projet'!$B$9,Paramètres!$A$1:$I$89,3,0)*0.475*44/12</f>
        <v>1.3541145758038255E-19</v>
      </c>
      <c r="AC154" s="22">
        <f t="shared" ref="AC154:AC203" si="163">SUM(Z154:AB154)</f>
        <v>12.888366120968277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2.4999999999997442</v>
      </c>
      <c r="AJ154" s="13">
        <f>AI154*VLOOKUP('Données projet'!$B$10,Paramètres!$A$1:$I$89,3,0)*VLOOKUP('Données projet'!$B$10,Paramètres!$A$1:$I$89,5,0)</f>
        <v>1.2024999999998769</v>
      </c>
      <c r="AK154" s="13">
        <f t="shared" ref="AK154:AK203" si="164">EXP(-1.0587+0.8836*LN(AJ154)+0.284)</f>
        <v>0.54239446125464896</v>
      </c>
      <c r="AL154" s="20">
        <f t="shared" ref="AL154:AL203" si="165">(AJ154+AK154)*0.475*44/12</f>
        <v>3.0390245200182986</v>
      </c>
      <c r="AM154" s="59">
        <f t="shared" si="113"/>
        <v>296.37235785335162</v>
      </c>
      <c r="AN154" s="59">
        <f ca="1">AVERAGE(OFFSET($AM$3,0,0,'Données projet'!$E$10+1,1))-AVERAGE(OFFSET($H$3,0,0,'Données projet'!$E$10+1,1))</f>
        <v>174.18188687702559</v>
      </c>
      <c r="AO154" s="59">
        <f t="shared" si="144"/>
        <v>32.17353897322738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116.25331578354486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116.25331578354486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0.8600000000003547</v>
      </c>
      <c r="BE154" s="13">
        <f>BD154*VLOOKUP('Données projet'!$B$11,Paramètres!$A$1:$I$89,3,0)*VLOOKUP('Données projet'!$B$11,Paramètres!$A$1:$I$89,5,0)</f>
        <v>0.48074000000019829</v>
      </c>
      <c r="BF154" s="13">
        <f t="shared" ref="BF154:BF203" si="167">EXP(-1.0587+0.8836*LN(BE154)+0.284)</f>
        <v>0.24126147010950588</v>
      </c>
      <c r="BG154" s="20">
        <f t="shared" ref="BG154:BG203" si="168">(BE154+BF154)*0.475*44/12</f>
        <v>1.2574858937744013</v>
      </c>
      <c r="BH154" s="59">
        <f t="shared" si="116"/>
        <v>294.59081922710772</v>
      </c>
      <c r="BI154" s="59">
        <f ca="1">AVERAGE(OFFSET($BH$3,0,0,'Données projet'!$E$11+1,1))-AVERAGE(OFFSET($H$3,0,0,'Données projet'!$E$11+1,1))</f>
        <v>350.01600895263641</v>
      </c>
      <c r="BJ154" s="59">
        <f t="shared" si="146"/>
        <v>464.08921044376882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55.541197290660108</v>
      </c>
      <c r="BQ154" s="21">
        <f>EXP(-LN(2)/25)*BQ153+(1-EXP(-LN(2)/25))/(LN(2)/25)*Calculateur!BL154*Calculateur!BN154*VLOOKUP('Données projet'!$B$11,Paramètres!$A$1:$I$89,3,0)*0.475*44/12</f>
        <v>1.7657072264928033</v>
      </c>
      <c r="BR154" s="21">
        <f>EXP(-LN(2)/2)*BR153+(1-EXP(-LN(2)/2))/(LN(2)/2)*BL154*BO154*VLOOKUP('Données projet'!$B$11,Paramètres!$A$1:$I$89,3,0)*0.475*44/12</f>
        <v>4.5380611043235559E-19</v>
      </c>
      <c r="BS154" s="22">
        <f t="shared" ref="BS154:BS203" si="169">SUM(BP154:BR154)</f>
        <v>57.306904517152908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253.79640000000001</v>
      </c>
      <c r="CA154" s="13">
        <f t="shared" ref="CA154:CA203" si="170">EXP(-1.0587+0.8836*LN(BZ154)+0.284)</f>
        <v>61.39816832228076</v>
      </c>
      <c r="CB154" s="20">
        <f t="shared" ref="CB154:CB203" si="171">(BZ154+CA154)*0.475*44/12</f>
        <v>548.96387316130563</v>
      </c>
      <c r="CC154" s="59">
        <f t="shared" si="119"/>
        <v>842.29720649463889</v>
      </c>
      <c r="CD154" s="59">
        <f ca="1">AVERAGE(OFFSET($CC$3,0,0,'Données projet'!$E$12+1,1))-AVERAGE(OFFSET($H$3,0,0,'Données projet'!$E$12+1,1))</f>
        <v>279.49721661620544</v>
      </c>
      <c r="CE154" s="59">
        <f t="shared" si="148"/>
        <v>275.18739333988754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13.031410233506117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13.031410233506117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-1.1749999999999972</v>
      </c>
      <c r="CT154" s="12">
        <f>IF('Données projet'!$A$140&gt;35,CT153+CS154-DB153,IF(A154&lt;'Données projet'!$A$140,$CQ$205^A154,IF(A154='Données projet'!$A$140,'Données projet'!$B$140,CT153+CS154-DB153)))</f>
        <v>288.64999999999964</v>
      </c>
      <c r="CU154" s="17">
        <f>CT154*VLOOKUP('Données projet'!$B$13,Paramètres!$A$1:$I$89,3,0)*VLOOKUP('Données projet'!$B$13,Paramètres!$A$1:$I$89,5,0)</f>
        <v>292.69109999999966</v>
      </c>
      <c r="CV154" s="13">
        <f t="shared" ref="CV154:CV203" si="173">EXP(-1.0587+0.8836*LN(CU154)+0.284)</f>
        <v>69.642044758392515</v>
      </c>
      <c r="CW154" s="20">
        <f t="shared" ref="CW154:CW203" si="174">(CU154+CV154)*0.475*44/12</f>
        <v>631.06356045419966</v>
      </c>
      <c r="CX154" s="59">
        <f t="shared" si="122"/>
        <v>924.39689378753292</v>
      </c>
      <c r="CY154" s="59">
        <f ca="1">AVERAGE(OFFSET($CX$3,0,0,'Données projet'!$E$13+1,1))-AVERAGE(OFFSET($H$3,0,0,'Données projet'!$E$13+1,1))</f>
        <v>402.54350692668021</v>
      </c>
      <c r="CZ154" s="59">
        <f t="shared" si="150"/>
        <v>163.60655196884522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162.14403195692137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162.14403195692137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404.00000000000017</v>
      </c>
      <c r="DP154" s="17">
        <f>DO154*VLOOKUP('Données projet'!$B$14,Paramètres!$A$1:$I$89,3,0)*VLOOKUP('Données projet'!$B$14,Paramètres!$A$1:$I$89,5,0)</f>
        <v>346.63200000000018</v>
      </c>
      <c r="DQ154" s="13">
        <f t="shared" ref="DQ154:DQ203" si="176">EXP(-1.0587+0.8836*LN(DP154)+0.284)</f>
        <v>80.868615263336864</v>
      </c>
      <c r="DR154" s="20">
        <f t="shared" ref="DR154:DR203" si="177">(DP154+DQ154)*0.475*44/12</f>
        <v>744.56357158364528</v>
      </c>
      <c r="DS154" s="59">
        <f t="shared" si="125"/>
        <v>1037.8969049169787</v>
      </c>
      <c r="DT154" s="59">
        <f ca="1">AVERAGE(OFFSET($DS$3,0,0,'Données projet'!$E$14+1,1))-AVERAGE(OFFSET($H$3,0,0,'Données projet'!$E$14+1,1))</f>
        <v>352.76625414822473</v>
      </c>
      <c r="DU154" s="59">
        <f t="shared" si="152"/>
        <v>186.48649111821521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54.097981423809863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54.097981423809863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210.25641030000014</v>
      </c>
      <c r="EK154" s="17">
        <f>EJ154*VLOOKUP('Données projet'!$B$15,Paramètres!$A$1:$I$89,3,0)*VLOOKUP('Données projet'!$B$15,Paramètres!$A$1:$I$89,5,0)</f>
        <v>164.00000003400012</v>
      </c>
      <c r="EL154" s="13">
        <f t="shared" ref="EL154:EL203" si="179">EXP(-1.0587+0.8836*LN(EK154)+0.284)</f>
        <v>41.743425916009095</v>
      </c>
      <c r="EM154" s="20">
        <f t="shared" ref="EM154:EM203" si="180">(EK154+EL154)*0.475*44/12</f>
        <v>358.3364668629327</v>
      </c>
      <c r="EN154" s="59">
        <f t="shared" si="128"/>
        <v>651.66980019626601</v>
      </c>
      <c r="EO154" s="59">
        <f ca="1">AVERAGE(OFFSET($EN$3,0,0,'Données projet'!$E$15+1,1))-AVERAGE(OFFSET($H$3,0,0,'Données projet'!$E$15+1,1))</f>
        <v>130.66539383144681</v>
      </c>
      <c r="EP154" s="59">
        <f t="shared" si="154"/>
        <v>126.36398121441903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6.3659759137730134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6.3659759137730134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-1.1749999999999972</v>
      </c>
      <c r="FE154" s="12">
        <f>IF('Données projet'!$A$218&gt;35,FE153+FD154-FM153,IF(A154&lt;'Données projet'!$A$218,$FB$205^A154,IF(A154='Données projet'!$A$218,'Données projet'!$B$218,FE153+FD154-FM153)))</f>
        <v>288.64999999999964</v>
      </c>
      <c r="FF154" s="17">
        <f>FE154*VLOOKUP('Données projet'!$B$16,Paramètres!$A$1:$I$89,3,0)*VLOOKUP('Données projet'!$B$16,Paramètres!$A$1:$I$89,5,0)</f>
        <v>279.18227999999965</v>
      </c>
      <c r="FG154" s="13">
        <f t="shared" ref="FG154:FG203" si="182">EXP(-1.0587+0.8836*LN(FF154)+0.284)</f>
        <v>66.794171734520191</v>
      </c>
      <c r="FH154" s="20">
        <f t="shared" ref="FH154:FH203" si="183">(FF154+FG154)*0.475*44/12</f>
        <v>602.57565343762201</v>
      </c>
      <c r="FI154" s="59">
        <f t="shared" si="131"/>
        <v>895.90898677095538</v>
      </c>
      <c r="FJ154" s="59">
        <f ca="1">AVERAGE(OFFSET($FI$3,0,0,'Données projet'!$E$16+1,1))-AVERAGE(OFFSET($H$3,0,0,'Données projet'!$E$16+1,1))</f>
        <v>380.43199889536805</v>
      </c>
      <c r="FK154" s="59">
        <f t="shared" si="156"/>
        <v>154.72646317672996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154.66046125121733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154.66046125121733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304</v>
      </c>
      <c r="O155" s="13">
        <f>N155*VLOOKUP('Données projet'!$B$9,Paramètres!$A$1:$I$89,3,0)*VLOOKUP('Données projet'!$B$9,Paramètres!$A$1:$I$89,5,0)</f>
        <v>189.696</v>
      </c>
      <c r="P155" s="13">
        <f t="shared" si="141"/>
        <v>47.472736505152469</v>
      </c>
      <c r="Q155" s="20">
        <f t="shared" si="162"/>
        <v>413.06888274647389</v>
      </c>
      <c r="R155" s="59">
        <f t="shared" si="109"/>
        <v>706.4022160798072</v>
      </c>
      <c r="S155" s="59">
        <f ca="1">AVERAGE(OFFSET($R$3,0,0,'Données projet'!$E$9+1,1))-AVERAGE(OFFSET($H$3,0,0,'Données projet'!$E$9+1,1))</f>
        <v>179.44051550872138</v>
      </c>
      <c r="T155" s="59">
        <f t="shared" si="142"/>
        <v>272.9500808380069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10.979232644665759</v>
      </c>
      <c r="AA155" s="21">
        <f>EXP(-LN(2)/25)*AA154+(1-EXP(-LN(2)/25))/(LN(2)/25)*Calculateur!V155*Calculateur!X155*VLOOKUP('Données projet'!$B$9,Paramètres!$A$1:$I$89,3,0)*0.475*44/12</f>
        <v>1.643330834966614</v>
      </c>
      <c r="AB155" s="21">
        <f>EXP(-LN(2)/2)*AB154+(1-EXP(-LN(2)/2))/(LN(2)/2)*V155*Y155*VLOOKUP('Données projet'!$B$9,Paramètres!$A$1:$I$89,3,0)*0.475*44/12</f>
        <v>9.5750359905443026E-20</v>
      </c>
      <c r="AC155" s="22">
        <f t="shared" si="163"/>
        <v>12.622563479632372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2.4999999999997442</v>
      </c>
      <c r="AJ155" s="13">
        <f>AI155*VLOOKUP('Données projet'!$B$10,Paramètres!$A$1:$I$89,3,0)*VLOOKUP('Données projet'!$B$10,Paramètres!$A$1:$I$89,5,0)</f>
        <v>1.2024999999998769</v>
      </c>
      <c r="AK155" s="13">
        <f t="shared" si="164"/>
        <v>0.54239446125464896</v>
      </c>
      <c r="AL155" s="20">
        <f t="shared" si="165"/>
        <v>3.0390245200182986</v>
      </c>
      <c r="AM155" s="59">
        <f t="shared" si="113"/>
        <v>296.37235785335162</v>
      </c>
      <c r="AN155" s="59">
        <f ca="1">AVERAGE(OFFSET($AM$3,0,0,'Données projet'!$E$10+1,1))-AVERAGE(OFFSET($H$3,0,0,'Données projet'!$E$10+1,1))</f>
        <v>174.18188687702559</v>
      </c>
      <c r="AO155" s="59">
        <f t="shared" si="144"/>
        <v>32.17353897322738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113.97365916855064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113.97365916855064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0.8600000000003547</v>
      </c>
      <c r="BE155" s="13">
        <f>BD155*VLOOKUP('Données projet'!$B$11,Paramètres!$A$1:$I$89,3,0)*VLOOKUP('Données projet'!$B$11,Paramètres!$A$1:$I$89,5,0)</f>
        <v>0.48074000000019829</v>
      </c>
      <c r="BF155" s="13">
        <f t="shared" si="167"/>
        <v>0.24126147010950588</v>
      </c>
      <c r="BG155" s="20">
        <f t="shared" si="168"/>
        <v>1.2574858937744013</v>
      </c>
      <c r="BH155" s="59">
        <f t="shared" si="116"/>
        <v>294.59081922710772</v>
      </c>
      <c r="BI155" s="59">
        <f ca="1">AVERAGE(OFFSET($BH$3,0,0,'Données projet'!$E$11+1,1))-AVERAGE(OFFSET($H$3,0,0,'Données projet'!$E$11+1,1))</f>
        <v>350.01600895263641</v>
      </c>
      <c r="BJ155" s="59">
        <f t="shared" si="146"/>
        <v>464.08921044376882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54.452068288575553</v>
      </c>
      <c r="BQ155" s="21">
        <f>EXP(-LN(2)/25)*BQ154+(1-EXP(-LN(2)/25))/(LN(2)/25)*Calculateur!BL155*Calculateur!BN155*VLOOKUP('Données projet'!$B$11,Paramètres!$A$1:$I$89,3,0)*0.475*44/12</f>
        <v>1.71742386952985</v>
      </c>
      <c r="BR155" s="21">
        <f>EXP(-LN(2)/2)*BR154+(1-EXP(-LN(2)/2))/(LN(2)/2)*BL155*BO155*VLOOKUP('Données projet'!$B$11,Paramètres!$A$1:$I$89,3,0)*0.475*44/12</f>
        <v>3.208893780306099E-19</v>
      </c>
      <c r="BS155" s="22">
        <f t="shared" si="169"/>
        <v>56.169492158105406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253.79640000000001</v>
      </c>
      <c r="CA155" s="13">
        <f t="shared" si="170"/>
        <v>61.39816832228076</v>
      </c>
      <c r="CB155" s="20">
        <f t="shared" si="171"/>
        <v>548.96387316130563</v>
      </c>
      <c r="CC155" s="59">
        <f t="shared" si="119"/>
        <v>842.29720649463889</v>
      </c>
      <c r="CD155" s="59">
        <f ca="1">AVERAGE(OFFSET($CC$3,0,0,'Données projet'!$E$12+1,1))-AVERAGE(OFFSET($H$3,0,0,'Données projet'!$E$12+1,1))</f>
        <v>279.49721661620544</v>
      </c>
      <c r="CE155" s="59">
        <f t="shared" si="148"/>
        <v>275.18739333988754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12.775872227202468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12.775872227202468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-1.1749999999999972</v>
      </c>
      <c r="CT155" s="12">
        <f>IF('Données projet'!$A$140&gt;35,CT154+CS155-DB154,IF(A155&lt;'Données projet'!$A$140,$CQ$205^A155,IF(A155='Données projet'!$A$140,'Données projet'!$B$140,CT154+CS155-DB154)))</f>
        <v>287.47499999999962</v>
      </c>
      <c r="CU155" s="17">
        <f>CT155*VLOOKUP('Données projet'!$B$13,Paramètres!$A$1:$I$89,3,0)*VLOOKUP('Données projet'!$B$13,Paramètres!$A$1:$I$89,5,0)</f>
        <v>291.49964999999963</v>
      </c>
      <c r="CV155" s="13">
        <f t="shared" si="173"/>
        <v>69.391493516346102</v>
      </c>
      <c r="CW155" s="20">
        <f t="shared" si="174"/>
        <v>628.55207495763545</v>
      </c>
      <c r="CX155" s="59">
        <f t="shared" si="122"/>
        <v>921.88540829096883</v>
      </c>
      <c r="CY155" s="59">
        <f ca="1">AVERAGE(OFFSET($CX$3,0,0,'Données projet'!$E$13+1,1))-AVERAGE(OFFSET($H$3,0,0,'Données projet'!$E$13+1,1))</f>
        <v>402.54350692668021</v>
      </c>
      <c r="CZ155" s="59">
        <f t="shared" si="150"/>
        <v>163.60655196884522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158.96448638834025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158.96448638834025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404.00000000000017</v>
      </c>
      <c r="DP155" s="17">
        <f>DO155*VLOOKUP('Données projet'!$B$14,Paramètres!$A$1:$I$89,3,0)*VLOOKUP('Données projet'!$B$14,Paramètres!$A$1:$I$89,5,0)</f>
        <v>346.63200000000018</v>
      </c>
      <c r="DQ155" s="13">
        <f t="shared" si="176"/>
        <v>80.868615263336864</v>
      </c>
      <c r="DR155" s="20">
        <f t="shared" si="177"/>
        <v>744.56357158364528</v>
      </c>
      <c r="DS155" s="59">
        <f t="shared" si="125"/>
        <v>1037.8969049169787</v>
      </c>
      <c r="DT155" s="59">
        <f ca="1">AVERAGE(OFFSET($DS$3,0,0,'Données projet'!$E$14+1,1))-AVERAGE(OFFSET($H$3,0,0,'Données projet'!$E$14+1,1))</f>
        <v>352.76625414822473</v>
      </c>
      <c r="DU155" s="59">
        <f t="shared" si="152"/>
        <v>186.48649111821521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53.037153004599482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53.037153004599482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210.25641030000014</v>
      </c>
      <c r="EK155" s="17">
        <f>EJ155*VLOOKUP('Données projet'!$B$15,Paramètres!$A$1:$I$89,3,0)*VLOOKUP('Données projet'!$B$15,Paramètres!$A$1:$I$89,5,0)</f>
        <v>164.00000003400012</v>
      </c>
      <c r="EL155" s="13">
        <f t="shared" si="179"/>
        <v>41.743425916009095</v>
      </c>
      <c r="EM155" s="20">
        <f t="shared" si="180"/>
        <v>358.3364668629327</v>
      </c>
      <c r="EN155" s="59">
        <f t="shared" si="128"/>
        <v>651.66980019626601</v>
      </c>
      <c r="EO155" s="59">
        <f ca="1">AVERAGE(OFFSET($EN$3,0,0,'Données projet'!$E$15+1,1))-AVERAGE(OFFSET($H$3,0,0,'Données projet'!$E$15+1,1))</f>
        <v>130.66539383144681</v>
      </c>
      <c r="EP155" s="59">
        <f t="shared" si="154"/>
        <v>126.36398121441903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6.2411430089658309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6.2411430089658309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-1.1749999999999972</v>
      </c>
      <c r="FE155" s="12">
        <f>IF('Données projet'!$A$218&gt;35,FE154+FD155-FM154,IF(A155&lt;'Données projet'!$A$218,$FB$205^A155,IF(A155='Données projet'!$A$218,'Données projet'!$B$218,FE154+FD155-FM154)))</f>
        <v>287.47499999999962</v>
      </c>
      <c r="FF155" s="17">
        <f>FE155*VLOOKUP('Données projet'!$B$16,Paramètres!$A$1:$I$89,3,0)*VLOOKUP('Données projet'!$B$16,Paramètres!$A$1:$I$89,5,0)</f>
        <v>278.04581999999965</v>
      </c>
      <c r="FG155" s="13">
        <f t="shared" si="182"/>
        <v>66.553866287608102</v>
      </c>
      <c r="FH155" s="20">
        <f t="shared" si="183"/>
        <v>600.17778695091681</v>
      </c>
      <c r="FI155" s="59">
        <f t="shared" si="131"/>
        <v>893.51112028425018</v>
      </c>
      <c r="FJ155" s="59">
        <f ca="1">AVERAGE(OFFSET($FI$3,0,0,'Données projet'!$E$16+1,1))-AVERAGE(OFFSET($H$3,0,0,'Données projet'!$E$16+1,1))</f>
        <v>380.43199889536805</v>
      </c>
      <c r="FK155" s="59">
        <f t="shared" si="156"/>
        <v>154.72646317672996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151.62766393964765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151.62766393964765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304</v>
      </c>
      <c r="O156" s="13">
        <f>N156*VLOOKUP('Données projet'!$B$9,Paramètres!$A$1:$I$89,3,0)*VLOOKUP('Données projet'!$B$9,Paramètres!$A$1:$I$89,5,0)</f>
        <v>189.696</v>
      </c>
      <c r="P156" s="13">
        <f t="shared" si="141"/>
        <v>47.472736505152469</v>
      </c>
      <c r="Q156" s="20">
        <f t="shared" si="162"/>
        <v>413.06888274647389</v>
      </c>
      <c r="R156" s="59">
        <f t="shared" si="109"/>
        <v>706.4022160798072</v>
      </c>
      <c r="S156" s="59">
        <f ca="1">AVERAGE(OFFSET($R$3,0,0,'Données projet'!$E$9+1,1))-AVERAGE(OFFSET($H$3,0,0,'Données projet'!$E$9+1,1))</f>
        <v>179.44051550872138</v>
      </c>
      <c r="T156" s="59">
        <f t="shared" si="142"/>
        <v>272.9500808380069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10.763936589174534</v>
      </c>
      <c r="AA156" s="21">
        <f>EXP(-LN(2)/25)*AA155+(1-EXP(-LN(2)/25))/(LN(2)/25)*Calculateur!V156*Calculateur!X156*VLOOKUP('Données projet'!$B$9,Paramètres!$A$1:$I$89,3,0)*0.475*44/12</f>
        <v>1.5983938668654392</v>
      </c>
      <c r="AB156" s="21">
        <f>EXP(-LN(2)/2)*AB155+(1-EXP(-LN(2)/2))/(LN(2)/2)*V156*Y156*VLOOKUP('Données projet'!$B$9,Paramètres!$A$1:$I$89,3,0)*0.475*44/12</f>
        <v>6.7705728790191274E-20</v>
      </c>
      <c r="AC156" s="22">
        <f t="shared" si="163"/>
        <v>12.362330456039974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2.4999999999997442</v>
      </c>
      <c r="AJ156" s="13">
        <f>AI156*VLOOKUP('Données projet'!$B$10,Paramètres!$A$1:$I$89,3,0)*VLOOKUP('Données projet'!$B$10,Paramètres!$A$1:$I$89,5,0)</f>
        <v>1.2024999999998769</v>
      </c>
      <c r="AK156" s="13">
        <f t="shared" si="164"/>
        <v>0.54239446125464896</v>
      </c>
      <c r="AL156" s="20">
        <f t="shared" si="165"/>
        <v>3.0390245200182986</v>
      </c>
      <c r="AM156" s="59">
        <f t="shared" si="113"/>
        <v>296.37235785335162</v>
      </c>
      <c r="AN156" s="59">
        <f ca="1">AVERAGE(OFFSET($AM$3,0,0,'Données projet'!$E$10+1,1))-AVERAGE(OFFSET($H$3,0,0,'Données projet'!$E$10+1,1))</f>
        <v>174.18188687702559</v>
      </c>
      <c r="AO156" s="59">
        <f t="shared" si="144"/>
        <v>32.17353897322738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111.73870522932322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111.73870522932322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0.8600000000003547</v>
      </c>
      <c r="BE156" s="13">
        <f>BD156*VLOOKUP('Données projet'!$B$11,Paramètres!$A$1:$I$89,3,0)*VLOOKUP('Données projet'!$B$11,Paramètres!$A$1:$I$89,5,0)</f>
        <v>0.48074000000019829</v>
      </c>
      <c r="BF156" s="13">
        <f t="shared" si="167"/>
        <v>0.24126147010950588</v>
      </c>
      <c r="BG156" s="20">
        <f t="shared" si="168"/>
        <v>1.2574858937744013</v>
      </c>
      <c r="BH156" s="59">
        <f t="shared" si="116"/>
        <v>294.59081922710772</v>
      </c>
      <c r="BI156" s="59">
        <f ca="1">AVERAGE(OFFSET($BH$3,0,0,'Données projet'!$E$11+1,1))-AVERAGE(OFFSET($H$3,0,0,'Données projet'!$E$11+1,1))</f>
        <v>350.01600895263641</v>
      </c>
      <c r="BJ156" s="59">
        <f t="shared" si="146"/>
        <v>464.08921044376882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53.384296441918785</v>
      </c>
      <c r="BQ156" s="21">
        <f>EXP(-LN(2)/25)*BQ155+(1-EXP(-LN(2)/25))/(LN(2)/25)*Calculateur!BL156*Calculateur!BN156*VLOOKUP('Données projet'!$B$11,Paramètres!$A$1:$I$89,3,0)*0.475*44/12</f>
        <v>1.6704608235021603</v>
      </c>
      <c r="BR156" s="21">
        <f>EXP(-LN(2)/2)*BR155+(1-EXP(-LN(2)/2))/(LN(2)/2)*BL156*BO156*VLOOKUP('Données projet'!$B$11,Paramètres!$A$1:$I$89,3,0)*0.475*44/12</f>
        <v>2.269030552161778E-19</v>
      </c>
      <c r="BS156" s="22">
        <f t="shared" si="169"/>
        <v>55.054757265420946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253.79640000000001</v>
      </c>
      <c r="CA156" s="13">
        <f t="shared" si="170"/>
        <v>61.39816832228076</v>
      </c>
      <c r="CB156" s="20">
        <f t="shared" si="171"/>
        <v>548.96387316130563</v>
      </c>
      <c r="CC156" s="59">
        <f t="shared" si="119"/>
        <v>842.29720649463889</v>
      </c>
      <c r="CD156" s="59">
        <f ca="1">AVERAGE(OFFSET($CC$3,0,0,'Données projet'!$E$12+1,1))-AVERAGE(OFFSET($H$3,0,0,'Données projet'!$E$12+1,1))</f>
        <v>279.49721661620544</v>
      </c>
      <c r="CE156" s="59">
        <f t="shared" si="148"/>
        <v>275.18739333988754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12.52534516533964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12.52534516533964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286.3</v>
      </c>
      <c r="CR156" s="12">
        <f>VLOOKUP(A156,'Données projet'!$A$139:$I$159,9,0)</f>
        <v>-1.1749999999999972</v>
      </c>
      <c r="CS156" s="12">
        <f t="array" ref="CS156">INDEX(CR:CR,MIN(IF(ISNUMBER(CR156:CR352),ROW(CR156:CR352),"")))</f>
        <v>-1.1749999999999972</v>
      </c>
      <c r="CT156" s="12">
        <f>IF('Données projet'!$A$140&gt;35,CT155+CS156-DB155,IF(A156&lt;'Données projet'!$A$140,$CQ$205^A156,IF(A156='Données projet'!$A$140,'Données projet'!$B$140,CT155+CS156-DB155)))</f>
        <v>286.29999999999961</v>
      </c>
      <c r="CU156" s="17">
        <f>CT156*VLOOKUP('Données projet'!$B$13,Paramètres!$A$1:$I$89,3,0)*VLOOKUP('Données projet'!$B$13,Paramètres!$A$1:$I$89,5,0)</f>
        <v>290.3081999999996</v>
      </c>
      <c r="CV156" s="13">
        <f t="shared" si="173"/>
        <v>69.140823042549556</v>
      </c>
      <c r="CW156" s="20">
        <f t="shared" si="174"/>
        <v>626.0403817991064</v>
      </c>
      <c r="CX156" s="59">
        <f t="shared" si="122"/>
        <v>919.37371513243966</v>
      </c>
      <c r="CY156" s="59">
        <f ca="1">AVERAGE(OFFSET($CX$3,0,0,'Données projet'!$E$13+1,1))-AVERAGE(OFFSET($H$3,0,0,'Données projet'!$E$13+1,1))</f>
        <v>402.54350692668021</v>
      </c>
      <c r="CZ156" s="59">
        <f t="shared" si="150"/>
        <v>163.60655196884522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89.29</v>
      </c>
      <c r="DC156" s="16">
        <f>IF(ISNA(VLOOKUP(A156,'Données projet'!$A$139:$I$159,5,0)),0%,VLOOKUP(A156,'Données projet'!$A$139:$I$159,5,0)*VLOOKUP('Données projet'!$B$13,Paramètres!$A$1:$I$89,7,0))</f>
        <v>0.43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198.8857122002162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198.8857122002162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404.00000000000017</v>
      </c>
      <c r="DP156" s="17">
        <f>DO156*VLOOKUP('Données projet'!$B$14,Paramètres!$A$1:$I$89,3,0)*VLOOKUP('Données projet'!$B$14,Paramètres!$A$1:$I$89,5,0)</f>
        <v>346.63200000000018</v>
      </c>
      <c r="DQ156" s="13">
        <f t="shared" si="176"/>
        <v>80.868615263336864</v>
      </c>
      <c r="DR156" s="20">
        <f t="shared" si="177"/>
        <v>744.56357158364528</v>
      </c>
      <c r="DS156" s="59">
        <f t="shared" si="125"/>
        <v>1037.8969049169787</v>
      </c>
      <c r="DT156" s="59">
        <f ca="1">AVERAGE(OFFSET($DS$3,0,0,'Données projet'!$E$14+1,1))-AVERAGE(OFFSET($H$3,0,0,'Données projet'!$E$14+1,1))</f>
        <v>352.76625414822473</v>
      </c>
      <c r="DU156" s="59">
        <f t="shared" si="152"/>
        <v>186.48649111821521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51.997126783648376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51.997126783648376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210.25641030000014</v>
      </c>
      <c r="EK156" s="17">
        <f>EJ156*VLOOKUP('Données projet'!$B$15,Paramètres!$A$1:$I$89,3,0)*VLOOKUP('Données projet'!$B$15,Paramètres!$A$1:$I$89,5,0)</f>
        <v>164.00000003400012</v>
      </c>
      <c r="EL156" s="13">
        <f t="shared" si="179"/>
        <v>41.743425916009095</v>
      </c>
      <c r="EM156" s="20">
        <f t="shared" si="180"/>
        <v>358.3364668629327</v>
      </c>
      <c r="EN156" s="59">
        <f t="shared" si="128"/>
        <v>651.66980019626601</v>
      </c>
      <c r="EO156" s="59">
        <f ca="1">AVERAGE(OFFSET($EN$3,0,0,'Données projet'!$E$15+1,1))-AVERAGE(OFFSET($H$3,0,0,'Données projet'!$E$15+1,1))</f>
        <v>130.66539383144681</v>
      </c>
      <c r="EP156" s="59">
        <f t="shared" si="154"/>
        <v>126.36398121441903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6.118758001281364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6.118758001281364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projet'!$A$217:$I$237,2,0)</f>
        <v>286.3</v>
      </c>
      <c r="FC156" s="12">
        <f>VLOOKUP(A156,'Données projet'!$A$217:$I$237,9,0)</f>
        <v>-1.1749999999999972</v>
      </c>
      <c r="FD156" s="12">
        <f t="array" ref="FD156">INDEX(FC:FC,MIN(IF(ISNUMBER(FC156:FC352),ROW(FC156:FC352),"")))</f>
        <v>-1.1749999999999972</v>
      </c>
      <c r="FE156" s="12">
        <f>IF('Données projet'!$A$218&gt;35,FE155+FD156-FM155,IF(A156&lt;'Données projet'!$A$218,$FB$205^A156,IF(A156='Données projet'!$A$218,'Données projet'!$B$218,FE155+FD156-FM155)))</f>
        <v>286.29999999999961</v>
      </c>
      <c r="FF156" s="17">
        <f>FE156*VLOOKUP('Données projet'!$B$16,Paramètres!$A$1:$I$89,3,0)*VLOOKUP('Données projet'!$B$16,Paramètres!$A$1:$I$89,5,0)</f>
        <v>276.90935999999965</v>
      </c>
      <c r="FG156" s="13">
        <f t="shared" si="182"/>
        <v>66.313446484691184</v>
      </c>
      <c r="FH156" s="20">
        <f t="shared" si="183"/>
        <v>597.77972129416992</v>
      </c>
      <c r="FI156" s="59">
        <f t="shared" si="131"/>
        <v>891.11305462750329</v>
      </c>
      <c r="FJ156" s="59">
        <f ca="1">AVERAGE(OFFSET($FI$3,0,0,'Données projet'!$E$16+1,1))-AVERAGE(OFFSET($H$3,0,0,'Données projet'!$E$16+1,1))</f>
        <v>380.43199889536805</v>
      </c>
      <c r="FK156" s="59">
        <f t="shared" si="156"/>
        <v>154.72646317672996</v>
      </c>
      <c r="FL156" s="15">
        <f>IF(ISNA(VLOOKUP(A156,'Données projet'!$A$217:$I$237,3,0)),0,VLOOKUP(A156,'Données projet'!$A$217:$I$237,3,0))</f>
        <v>13</v>
      </c>
      <c r="FM156" s="15">
        <f>IF(ISNA(VLOOKUP(A156,'Données projet'!$A$217:$I$237,4,0)),0,VLOOKUP(A156,'Données projet'!$A$217:$I$237,4,0))</f>
        <v>89.29</v>
      </c>
      <c r="FN156" s="16">
        <f>IF(ISNA(VLOOKUP(A156,'Données projet'!$A$217:$I$237,5,0)),0%,VLOOKUP(A156,'Données projet'!$A$217:$I$237,5,0)*VLOOKUP('Données projet'!$B$16,Paramètres!$A$1:$I$89,7,0))</f>
        <v>0.43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189.70637163712937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189.70637163712937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304</v>
      </c>
      <c r="O157" s="13">
        <f>N157*VLOOKUP('Données projet'!$B$9,Paramètres!$A$1:$I$89,3,0)*VLOOKUP('Données projet'!$B$9,Paramètres!$A$1:$I$89,5,0)</f>
        <v>189.696</v>
      </c>
      <c r="P157" s="13">
        <f t="shared" si="141"/>
        <v>47.472736505152469</v>
      </c>
      <c r="Q157" s="20">
        <f t="shared" si="162"/>
        <v>413.06888274647389</v>
      </c>
      <c r="R157" s="59">
        <f t="shared" si="109"/>
        <v>706.4022160798072</v>
      </c>
      <c r="S157" s="59">
        <f ca="1">AVERAGE(OFFSET($R$3,0,0,'Données projet'!$E$9+1,1))-AVERAGE(OFFSET($H$3,0,0,'Données projet'!$E$9+1,1))</f>
        <v>179.44051550872138</v>
      </c>
      <c r="T157" s="59">
        <f t="shared" si="142"/>
        <v>272.9500808380069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10.552862358013867</v>
      </c>
      <c r="AA157" s="21">
        <f>EXP(-LN(2)/25)*AA156+(1-EXP(-LN(2)/25))/(LN(2)/25)*Calculateur!V157*Calculateur!X157*VLOOKUP('Données projet'!$B$9,Paramètres!$A$1:$I$89,3,0)*0.475*44/12</f>
        <v>1.5546857025201235</v>
      </c>
      <c r="AB157" s="21">
        <f>EXP(-LN(2)/2)*AB156+(1-EXP(-LN(2)/2))/(LN(2)/2)*V157*Y157*VLOOKUP('Données projet'!$B$9,Paramètres!$A$1:$I$89,3,0)*0.475*44/12</f>
        <v>4.7875179952721513E-20</v>
      </c>
      <c r="AC157" s="22">
        <f t="shared" si="163"/>
        <v>12.10754806053399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2.4999999999997442</v>
      </c>
      <c r="AJ157" s="13">
        <f>AI157*VLOOKUP('Données projet'!$B$10,Paramètres!$A$1:$I$89,3,0)*VLOOKUP('Données projet'!$B$10,Paramètres!$A$1:$I$89,5,0)</f>
        <v>1.2024999999998769</v>
      </c>
      <c r="AK157" s="13">
        <f t="shared" si="164"/>
        <v>0.54239446125464896</v>
      </c>
      <c r="AL157" s="20">
        <f t="shared" si="165"/>
        <v>3.0390245200182986</v>
      </c>
      <c r="AM157" s="59">
        <f t="shared" si="113"/>
        <v>296.37235785335162</v>
      </c>
      <c r="AN157" s="59">
        <f ca="1">AVERAGE(OFFSET($AM$3,0,0,'Données projet'!$E$10+1,1))-AVERAGE(OFFSET($H$3,0,0,'Données projet'!$E$10+1,1))</f>
        <v>174.18188687702559</v>
      </c>
      <c r="AO157" s="59">
        <f t="shared" si="144"/>
        <v>32.17353897322738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109.54757737365674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109.54757737365674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0.8600000000003547</v>
      </c>
      <c r="BE157" s="13">
        <f>BD157*VLOOKUP('Données projet'!$B$11,Paramètres!$A$1:$I$89,3,0)*VLOOKUP('Données projet'!$B$11,Paramètres!$A$1:$I$89,5,0)</f>
        <v>0.48074000000019829</v>
      </c>
      <c r="BF157" s="13">
        <f t="shared" si="167"/>
        <v>0.24126147010950588</v>
      </c>
      <c r="BG157" s="20">
        <f t="shared" si="168"/>
        <v>1.2574858937744013</v>
      </c>
      <c r="BH157" s="59">
        <f t="shared" si="116"/>
        <v>294.59081922710772</v>
      </c>
      <c r="BI157" s="59">
        <f ca="1">AVERAGE(OFFSET($BH$3,0,0,'Données projet'!$E$11+1,1))-AVERAGE(OFFSET($H$3,0,0,'Données projet'!$E$11+1,1))</f>
        <v>350.01600895263641</v>
      </c>
      <c r="BJ157" s="59">
        <f t="shared" si="146"/>
        <v>464.08921044376882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52.337462949898438</v>
      </c>
      <c r="BQ157" s="21">
        <f>EXP(-LN(2)/25)*BQ156+(1-EXP(-LN(2)/25))/(LN(2)/25)*Calculateur!BL157*Calculateur!BN157*VLOOKUP('Données projet'!$B$11,Paramètres!$A$1:$I$89,3,0)*0.475*44/12</f>
        <v>1.6247819844377769</v>
      </c>
      <c r="BR157" s="21">
        <f>EXP(-LN(2)/2)*BR156+(1-EXP(-LN(2)/2))/(LN(2)/2)*BL157*BO157*VLOOKUP('Données projet'!$B$11,Paramètres!$A$1:$I$89,3,0)*0.475*44/12</f>
        <v>1.6044468901530495E-19</v>
      </c>
      <c r="BS157" s="22">
        <f t="shared" si="169"/>
        <v>53.962244934336212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253.79640000000001</v>
      </c>
      <c r="CA157" s="13">
        <f t="shared" si="170"/>
        <v>61.39816832228076</v>
      </c>
      <c r="CB157" s="20">
        <f t="shared" si="171"/>
        <v>548.96387316130563</v>
      </c>
      <c r="CC157" s="59">
        <f t="shared" si="119"/>
        <v>842.29720649463889</v>
      </c>
      <c r="CD157" s="59">
        <f ca="1">AVERAGE(OFFSET($CC$3,0,0,'Données projet'!$E$12+1,1))-AVERAGE(OFFSET($H$3,0,0,'Données projet'!$E$12+1,1))</f>
        <v>279.49721661620544</v>
      </c>
      <c r="CE157" s="59">
        <f t="shared" si="148"/>
        <v>275.18739333988754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12.279730786353522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12.279730786353522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-0.62249999999999517</v>
      </c>
      <c r="CT157" s="12">
        <f>IF('Données projet'!$A$140&gt;35,CT156+CS157-DB156,IF(A157&lt;'Données projet'!$A$140,$CQ$205^A157,IF(A157='Données projet'!$A$140,'Données projet'!$B$140,CT156+CS157-DB156)))</f>
        <v>196.38749999999959</v>
      </c>
      <c r="CU157" s="17">
        <f>CT157*VLOOKUP('Données projet'!$B$13,Paramètres!$A$1:$I$89,3,0)*VLOOKUP('Données projet'!$B$13,Paramètres!$A$1:$I$89,5,0)</f>
        <v>199.13692499999959</v>
      </c>
      <c r="CV157" s="13">
        <f t="shared" si="173"/>
        <v>49.554442247902109</v>
      </c>
      <c r="CW157" s="20">
        <f t="shared" si="174"/>
        <v>433.1374646234288</v>
      </c>
      <c r="CX157" s="59">
        <f t="shared" si="122"/>
        <v>726.47079795676211</v>
      </c>
      <c r="CY157" s="59">
        <f ca="1">AVERAGE(OFFSET($CX$3,0,0,'Données projet'!$E$13+1,1))-AVERAGE(OFFSET($H$3,0,0,'Données projet'!$E$13+1,1))</f>
        <v>402.54350692668021</v>
      </c>
      <c r="CZ157" s="59">
        <f t="shared" si="150"/>
        <v>163.60655196884522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194.98568469227621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194.98568469227621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404.00000000000017</v>
      </c>
      <c r="DP157" s="17">
        <f>DO157*VLOOKUP('Données projet'!$B$14,Paramètres!$A$1:$I$89,3,0)*VLOOKUP('Données projet'!$B$14,Paramètres!$A$1:$I$89,5,0)</f>
        <v>346.63200000000018</v>
      </c>
      <c r="DQ157" s="13">
        <f t="shared" si="176"/>
        <v>80.868615263336864</v>
      </c>
      <c r="DR157" s="20">
        <f t="shared" si="177"/>
        <v>744.56357158364528</v>
      </c>
      <c r="DS157" s="59">
        <f t="shared" si="125"/>
        <v>1037.8969049169787</v>
      </c>
      <c r="DT157" s="59">
        <f ca="1">AVERAGE(OFFSET($DS$3,0,0,'Données projet'!$E$14+1,1))-AVERAGE(OFFSET($H$3,0,0,'Données projet'!$E$14+1,1))</f>
        <v>352.76625414822473</v>
      </c>
      <c r="DU157" s="59">
        <f t="shared" si="152"/>
        <v>186.48649111821521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50.977494842536764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50.977494842536764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210.25641030000014</v>
      </c>
      <c r="EK157" s="17">
        <f>EJ157*VLOOKUP('Données projet'!$B$15,Paramètres!$A$1:$I$89,3,0)*VLOOKUP('Données projet'!$B$15,Paramètres!$A$1:$I$89,5,0)</f>
        <v>164.00000003400012</v>
      </c>
      <c r="EL157" s="13">
        <f t="shared" si="179"/>
        <v>41.743425916009095</v>
      </c>
      <c r="EM157" s="20">
        <f t="shared" si="180"/>
        <v>358.3364668629327</v>
      </c>
      <c r="EN157" s="59">
        <f t="shared" si="128"/>
        <v>651.66980019626601</v>
      </c>
      <c r="EO157" s="59">
        <f ca="1">AVERAGE(OFFSET($EN$3,0,0,'Données projet'!$E$15+1,1))-AVERAGE(OFFSET($H$3,0,0,'Données projet'!$E$15+1,1))</f>
        <v>130.66539383144681</v>
      </c>
      <c r="EP157" s="59">
        <f t="shared" si="154"/>
        <v>126.36398121441903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5.9987728889501053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5.9987728889501053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-0.62249999999999517</v>
      </c>
      <c r="FE157" s="12">
        <f>IF('Données projet'!$A$218&gt;35,FE156+FD157-FM156,IF(A157&lt;'Données projet'!$A$218,$FB$205^A157,IF(A157='Données projet'!$A$218,'Données projet'!$B$218,FE156+FD157-FM156)))</f>
        <v>196.38749999999959</v>
      </c>
      <c r="FF157" s="17">
        <f>FE157*VLOOKUP('Données projet'!$B$16,Paramètres!$A$1:$I$89,3,0)*VLOOKUP('Données projet'!$B$16,Paramètres!$A$1:$I$89,5,0)</f>
        <v>189.9459899999996</v>
      </c>
      <c r="FG157" s="13">
        <f t="shared" si="182"/>
        <v>47.528011809501855</v>
      </c>
      <c r="FH157" s="20">
        <f t="shared" si="183"/>
        <v>413.60055315154835</v>
      </c>
      <c r="FI157" s="59">
        <f t="shared" si="131"/>
        <v>706.93388648488167</v>
      </c>
      <c r="FJ157" s="59">
        <f ca="1">AVERAGE(OFFSET($FI$3,0,0,'Données projet'!$E$16+1,1))-AVERAGE(OFFSET($H$3,0,0,'Données projet'!$E$16+1,1))</f>
        <v>380.43199889536805</v>
      </c>
      <c r="FK157" s="59">
        <f t="shared" si="156"/>
        <v>154.72646317672996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185.9863453987866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185.9863453987866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304</v>
      </c>
      <c r="O158" s="13">
        <f>N158*VLOOKUP('Données projet'!$B$9,Paramètres!$A$1:$I$89,3,0)*VLOOKUP('Données projet'!$B$9,Paramètres!$A$1:$I$89,5,0)</f>
        <v>189.696</v>
      </c>
      <c r="P158" s="13">
        <f t="shared" si="141"/>
        <v>47.472736505152469</v>
      </c>
      <c r="Q158" s="20">
        <f t="shared" si="162"/>
        <v>413.06888274647389</v>
      </c>
      <c r="R158" s="59">
        <f t="shared" si="109"/>
        <v>706.4022160798072</v>
      </c>
      <c r="S158" s="59">
        <f ca="1">AVERAGE(OFFSET($R$3,0,0,'Données projet'!$E$9+1,1))-AVERAGE(OFFSET($H$3,0,0,'Données projet'!$E$9+1,1))</f>
        <v>179.44051550872138</v>
      </c>
      <c r="T158" s="59">
        <f t="shared" si="142"/>
        <v>272.9500808380069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10.34592716378369</v>
      </c>
      <c r="AA158" s="21">
        <f>EXP(-LN(2)/25)*AA157+(1-EXP(-LN(2)/25))/(LN(2)/25)*Calculateur!V158*Calculateur!X158*VLOOKUP('Données projet'!$B$9,Paramètres!$A$1:$I$89,3,0)*0.475*44/12</f>
        <v>1.5121727402273428</v>
      </c>
      <c r="AB158" s="21">
        <f>EXP(-LN(2)/2)*AB157+(1-EXP(-LN(2)/2))/(LN(2)/2)*V158*Y158*VLOOKUP('Données projet'!$B$9,Paramètres!$A$1:$I$89,3,0)*0.475*44/12</f>
        <v>3.3852864395095637E-20</v>
      </c>
      <c r="AC158" s="22">
        <f t="shared" si="163"/>
        <v>11.858099904011032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2.4999999999997442</v>
      </c>
      <c r="AJ158" s="13">
        <f>AI158*VLOOKUP('Données projet'!$B$10,Paramètres!$A$1:$I$89,3,0)*VLOOKUP('Données projet'!$B$10,Paramètres!$A$1:$I$89,5,0)</f>
        <v>1.2024999999998769</v>
      </c>
      <c r="AK158" s="13">
        <f t="shared" si="164"/>
        <v>0.54239446125464896</v>
      </c>
      <c r="AL158" s="20">
        <f t="shared" si="165"/>
        <v>3.0390245200182986</v>
      </c>
      <c r="AM158" s="59">
        <f t="shared" si="113"/>
        <v>296.37235785335162</v>
      </c>
      <c r="AN158" s="59">
        <f ca="1">AVERAGE(OFFSET($AM$3,0,0,'Données projet'!$E$10+1,1))-AVERAGE(OFFSET($H$3,0,0,'Données projet'!$E$10+1,1))</f>
        <v>174.18188687702559</v>
      </c>
      <c r="AO158" s="59">
        <f t="shared" si="144"/>
        <v>32.17353897322738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107.39941619878385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107.39941619878385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0.8600000000003547</v>
      </c>
      <c r="BE158" s="13">
        <f>BD158*VLOOKUP('Données projet'!$B$11,Paramètres!$A$1:$I$89,3,0)*VLOOKUP('Données projet'!$B$11,Paramètres!$A$1:$I$89,5,0)</f>
        <v>0.48074000000019829</v>
      </c>
      <c r="BF158" s="13">
        <f t="shared" si="167"/>
        <v>0.24126147010950588</v>
      </c>
      <c r="BG158" s="20">
        <f t="shared" si="168"/>
        <v>1.2574858937744013</v>
      </c>
      <c r="BH158" s="59">
        <f t="shared" si="116"/>
        <v>294.59081922710772</v>
      </c>
      <c r="BI158" s="59">
        <f ca="1">AVERAGE(OFFSET($BH$3,0,0,'Données projet'!$E$11+1,1))-AVERAGE(OFFSET($H$3,0,0,'Données projet'!$E$11+1,1))</f>
        <v>350.01600895263641</v>
      </c>
      <c r="BJ158" s="59">
        <f t="shared" si="146"/>
        <v>464.08921044376882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51.311157224151223</v>
      </c>
      <c r="BQ158" s="21">
        <f>EXP(-LN(2)/25)*BQ157+(1-EXP(-LN(2)/25))/(LN(2)/25)*Calculateur!BL158*Calculateur!BN158*VLOOKUP('Données projet'!$B$11,Paramètres!$A$1:$I$89,3,0)*0.475*44/12</f>
        <v>1.5803522356297548</v>
      </c>
      <c r="BR158" s="21">
        <f>EXP(-LN(2)/2)*BR157+(1-EXP(-LN(2)/2))/(LN(2)/2)*BL158*BO158*VLOOKUP('Données projet'!$B$11,Paramètres!$A$1:$I$89,3,0)*0.475*44/12</f>
        <v>1.134515276080889E-19</v>
      </c>
      <c r="BS158" s="22">
        <f t="shared" si="169"/>
        <v>52.891509459780977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253.79640000000001</v>
      </c>
      <c r="CA158" s="13">
        <f t="shared" si="170"/>
        <v>61.39816832228076</v>
      </c>
      <c r="CB158" s="20">
        <f t="shared" si="171"/>
        <v>548.96387316130563</v>
      </c>
      <c r="CC158" s="59">
        <f t="shared" si="119"/>
        <v>842.29720649463889</v>
      </c>
      <c r="CD158" s="59">
        <f ca="1">AVERAGE(OFFSET($CC$3,0,0,'Données projet'!$E$12+1,1))-AVERAGE(OFFSET($H$3,0,0,'Données projet'!$E$12+1,1))</f>
        <v>279.49721661620544</v>
      </c>
      <c r="CE158" s="59">
        <f t="shared" si="148"/>
        <v>275.18739333988754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12.038932755529343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12.038932755529343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-0.62249999999999517</v>
      </c>
      <c r="CT158" s="12">
        <f>IF('Données projet'!$A$140&gt;35,CT157+CS158-DB157,IF(A158&lt;'Données projet'!$A$140,$CQ$205^A158,IF(A158='Données projet'!$A$140,'Données projet'!$B$140,CT157+CS158-DB157)))</f>
        <v>195.76499999999959</v>
      </c>
      <c r="CU158" s="17">
        <f>CT158*VLOOKUP('Données projet'!$B$13,Paramètres!$A$1:$I$89,3,0)*VLOOKUP('Données projet'!$B$13,Paramètres!$A$1:$I$89,5,0)</f>
        <v>198.5057099999996</v>
      </c>
      <c r="CV158" s="13">
        <f t="shared" si="173"/>
        <v>49.415624811622642</v>
      </c>
      <c r="CW158" s="20">
        <f t="shared" si="174"/>
        <v>431.79632479690872</v>
      </c>
      <c r="CX158" s="59">
        <f t="shared" si="122"/>
        <v>725.12965813024198</v>
      </c>
      <c r="CY158" s="59">
        <f ca="1">AVERAGE(OFFSET($CX$3,0,0,'Données projet'!$E$13+1,1))-AVERAGE(OFFSET($H$3,0,0,'Données projet'!$E$13+1,1))</f>
        <v>402.54350692668021</v>
      </c>
      <c r="CZ158" s="59">
        <f t="shared" si="150"/>
        <v>163.60655196884522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191.16213434498502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191.16213434498502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404.00000000000017</v>
      </c>
      <c r="DP158" s="17">
        <f>DO158*VLOOKUP('Données projet'!$B$14,Paramètres!$A$1:$I$89,3,0)*VLOOKUP('Données projet'!$B$14,Paramètres!$A$1:$I$89,5,0)</f>
        <v>346.63200000000018</v>
      </c>
      <c r="DQ158" s="13">
        <f t="shared" si="176"/>
        <v>80.868615263336864</v>
      </c>
      <c r="DR158" s="20">
        <f t="shared" si="177"/>
        <v>744.56357158364528</v>
      </c>
      <c r="DS158" s="59">
        <f t="shared" si="125"/>
        <v>1037.8969049169787</v>
      </c>
      <c r="DT158" s="59">
        <f ca="1">AVERAGE(OFFSET($DS$3,0,0,'Données projet'!$E$14+1,1))-AVERAGE(OFFSET($H$3,0,0,'Données projet'!$E$14+1,1))</f>
        <v>352.76625414822473</v>
      </c>
      <c r="DU158" s="59">
        <f t="shared" si="152"/>
        <v>186.48649111821521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49.977857261876274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49.977857261876274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210.25641030000014</v>
      </c>
      <c r="EK158" s="17">
        <f>EJ158*VLOOKUP('Données projet'!$B$15,Paramètres!$A$1:$I$89,3,0)*VLOOKUP('Données projet'!$B$15,Paramètres!$A$1:$I$89,5,0)</f>
        <v>164.00000003400012</v>
      </c>
      <c r="EL158" s="13">
        <f t="shared" si="179"/>
        <v>41.743425916009095</v>
      </c>
      <c r="EM158" s="20">
        <f t="shared" si="180"/>
        <v>358.3364668629327</v>
      </c>
      <c r="EN158" s="59">
        <f t="shared" si="128"/>
        <v>651.66980019626601</v>
      </c>
      <c r="EO158" s="59">
        <f ca="1">AVERAGE(OFFSET($EN$3,0,0,'Données projet'!$E$15+1,1))-AVERAGE(OFFSET($H$3,0,0,'Données projet'!$E$15+1,1))</f>
        <v>130.66539383144681</v>
      </c>
      <c r="EP158" s="59">
        <f t="shared" si="154"/>
        <v>126.36398121441903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5.8811406114879707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5.8811406114879707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-0.62249999999999517</v>
      </c>
      <c r="FE158" s="12">
        <f>IF('Données projet'!$A$218&gt;35,FE157+FD158-FM157,IF(A158&lt;'Données projet'!$A$218,$FB$205^A158,IF(A158='Données projet'!$A$218,'Données projet'!$B$218,FE157+FD158-FM157)))</f>
        <v>195.76499999999959</v>
      </c>
      <c r="FF158" s="17">
        <f>FE158*VLOOKUP('Données projet'!$B$16,Paramètres!$A$1:$I$89,3,0)*VLOOKUP('Données projet'!$B$16,Paramètres!$A$1:$I$89,5,0)</f>
        <v>189.34390799999963</v>
      </c>
      <c r="FG158" s="13">
        <f t="shared" si="182"/>
        <v>47.394871036413392</v>
      </c>
      <c r="FH158" s="20">
        <f t="shared" si="183"/>
        <v>412.32004015508596</v>
      </c>
      <c r="FI158" s="59">
        <f t="shared" si="131"/>
        <v>705.65337348841922</v>
      </c>
      <c r="FJ158" s="59">
        <f ca="1">AVERAGE(OFFSET($FI$3,0,0,'Données projet'!$E$16+1,1))-AVERAGE(OFFSET($H$3,0,0,'Données projet'!$E$16+1,1))</f>
        <v>380.43199889536805</v>
      </c>
      <c r="FK158" s="59">
        <f t="shared" si="156"/>
        <v>154.72646317672996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182.33926660598576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182.33926660598576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304</v>
      </c>
      <c r="O159" s="13">
        <f>N159*VLOOKUP('Données projet'!$B$9,Paramètres!$A$1:$I$89,3,0)*VLOOKUP('Données projet'!$B$9,Paramètres!$A$1:$I$89,5,0)</f>
        <v>189.696</v>
      </c>
      <c r="P159" s="13">
        <f t="shared" si="141"/>
        <v>47.472736505152469</v>
      </c>
      <c r="Q159" s="20">
        <f t="shared" si="162"/>
        <v>413.06888274647389</v>
      </c>
      <c r="R159" s="59">
        <f t="shared" si="109"/>
        <v>706.4022160798072</v>
      </c>
      <c r="S159" s="59">
        <f ca="1">AVERAGE(OFFSET($R$3,0,0,'Données projet'!$E$9+1,1))-AVERAGE(OFFSET($H$3,0,0,'Données projet'!$E$9+1,1))</f>
        <v>179.44051550872138</v>
      </c>
      <c r="T159" s="59">
        <f t="shared" si="142"/>
        <v>272.9500808380069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10.143049842494362</v>
      </c>
      <c r="AA159" s="21">
        <f>EXP(-LN(2)/25)*AA158+(1-EXP(-LN(2)/25))/(LN(2)/25)*Calculateur!V159*Calculateur!X159*VLOOKUP('Données projet'!$B$9,Paramètres!$A$1:$I$89,3,0)*0.475*44/12</f>
        <v>1.4708222971241178</v>
      </c>
      <c r="AB159" s="21">
        <f>EXP(-LN(2)/2)*AB158+(1-EXP(-LN(2)/2))/(LN(2)/2)*V159*Y159*VLOOKUP('Données projet'!$B$9,Paramètres!$A$1:$I$89,3,0)*0.475*44/12</f>
        <v>2.3937589976360756E-20</v>
      </c>
      <c r="AC159" s="22">
        <f t="shared" si="163"/>
        <v>11.613872139618479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2.4999999999997442</v>
      </c>
      <c r="AJ159" s="13">
        <f>AI159*VLOOKUP('Données projet'!$B$10,Paramètres!$A$1:$I$89,3,0)*VLOOKUP('Données projet'!$B$10,Paramètres!$A$1:$I$89,5,0)</f>
        <v>1.2024999999998769</v>
      </c>
      <c r="AK159" s="13">
        <f t="shared" si="164"/>
        <v>0.54239446125464896</v>
      </c>
      <c r="AL159" s="20">
        <f t="shared" si="165"/>
        <v>3.0390245200182986</v>
      </c>
      <c r="AM159" s="59">
        <f t="shared" si="113"/>
        <v>296.37235785335162</v>
      </c>
      <c r="AN159" s="59">
        <f ca="1">AVERAGE(OFFSET($AM$3,0,0,'Données projet'!$E$10+1,1))-AVERAGE(OFFSET($H$3,0,0,'Données projet'!$E$10+1,1))</f>
        <v>174.18188687702559</v>
      </c>
      <c r="AO159" s="59">
        <f t="shared" si="144"/>
        <v>32.17353897322738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105.29337915430129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105.29337915430129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0.8600000000003547</v>
      </c>
      <c r="BE159" s="13">
        <f>BD159*VLOOKUP('Données projet'!$B$11,Paramètres!$A$1:$I$89,3,0)*VLOOKUP('Données projet'!$B$11,Paramètres!$A$1:$I$89,5,0)</f>
        <v>0.48074000000019829</v>
      </c>
      <c r="BF159" s="13">
        <f t="shared" si="167"/>
        <v>0.24126147010950588</v>
      </c>
      <c r="BG159" s="20">
        <f t="shared" si="168"/>
        <v>1.2574858937744013</v>
      </c>
      <c r="BH159" s="59">
        <f t="shared" si="116"/>
        <v>294.59081922710772</v>
      </c>
      <c r="BI159" s="59">
        <f ca="1">AVERAGE(OFFSET($BH$3,0,0,'Données projet'!$E$11+1,1))-AVERAGE(OFFSET($H$3,0,0,'Données projet'!$E$11+1,1))</f>
        <v>350.01600895263641</v>
      </c>
      <c r="BJ159" s="59">
        <f t="shared" si="146"/>
        <v>464.08921044376882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50.304976727701231</v>
      </c>
      <c r="BQ159" s="21">
        <f>EXP(-LN(2)/25)*BQ158+(1-EXP(-LN(2)/25))/(LN(2)/25)*Calculateur!BL159*Calculateur!BN159*VLOOKUP('Données projet'!$B$11,Paramètres!$A$1:$I$89,3,0)*0.475*44/12</f>
        <v>1.5371374206393471</v>
      </c>
      <c r="BR159" s="21">
        <f>EXP(-LN(2)/2)*BR158+(1-EXP(-LN(2)/2))/(LN(2)/2)*BL159*BO159*VLOOKUP('Données projet'!$B$11,Paramètres!$A$1:$I$89,3,0)*0.475*44/12</f>
        <v>8.0222344507652474E-20</v>
      </c>
      <c r="BS159" s="22">
        <f t="shared" si="169"/>
        <v>51.842114148340578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253.79640000000001</v>
      </c>
      <c r="CA159" s="13">
        <f t="shared" si="170"/>
        <v>61.39816832228076</v>
      </c>
      <c r="CB159" s="20">
        <f t="shared" si="171"/>
        <v>548.96387316130563</v>
      </c>
      <c r="CC159" s="59">
        <f t="shared" si="119"/>
        <v>842.29720649463889</v>
      </c>
      <c r="CD159" s="59">
        <f ca="1">AVERAGE(OFFSET($CC$3,0,0,'Données projet'!$E$12+1,1))-AVERAGE(OFFSET($H$3,0,0,'Données projet'!$E$12+1,1))</f>
        <v>279.49721661620544</v>
      </c>
      <c r="CE159" s="59">
        <f t="shared" si="148"/>
        <v>275.18739333988754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11.802856627217331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11.802856627217331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-0.62249999999999517</v>
      </c>
      <c r="CT159" s="12">
        <f>IF('Données projet'!$A$140&gt;35,CT158+CS159-DB158,IF(A159&lt;'Données projet'!$A$140,$CQ$205^A159,IF(A159='Données projet'!$A$140,'Données projet'!$B$140,CT158+CS159-DB158)))</f>
        <v>195.14249999999959</v>
      </c>
      <c r="CU159" s="17">
        <f>CT159*VLOOKUP('Données projet'!$B$13,Paramètres!$A$1:$I$89,3,0)*VLOOKUP('Données projet'!$B$13,Paramètres!$A$1:$I$89,5,0)</f>
        <v>197.8744949999996</v>
      </c>
      <c r="CV159" s="13">
        <f t="shared" si="173"/>
        <v>49.276755984888865</v>
      </c>
      <c r="CW159" s="20">
        <f t="shared" si="174"/>
        <v>430.45509546534737</v>
      </c>
      <c r="CX159" s="59">
        <f t="shared" si="122"/>
        <v>723.78842879868068</v>
      </c>
      <c r="CY159" s="59">
        <f ca="1">AVERAGE(OFFSET($CX$3,0,0,'Données projet'!$E$13+1,1))-AVERAGE(OFFSET($H$3,0,0,'Données projet'!$E$13+1,1))</f>
        <v>402.54350692668021</v>
      </c>
      <c r="CZ159" s="59">
        <f t="shared" si="150"/>
        <v>163.60655196884522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187.41356148786878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187.41356148786878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404.00000000000017</v>
      </c>
      <c r="DP159" s="17">
        <f>DO159*VLOOKUP('Données projet'!$B$14,Paramètres!$A$1:$I$89,3,0)*VLOOKUP('Données projet'!$B$14,Paramètres!$A$1:$I$89,5,0)</f>
        <v>346.63200000000018</v>
      </c>
      <c r="DQ159" s="13">
        <f t="shared" si="176"/>
        <v>80.868615263336864</v>
      </c>
      <c r="DR159" s="20">
        <f t="shared" si="177"/>
        <v>744.56357158364528</v>
      </c>
      <c r="DS159" s="59">
        <f t="shared" si="125"/>
        <v>1037.8969049169787</v>
      </c>
      <c r="DT159" s="59">
        <f ca="1">AVERAGE(OFFSET($DS$3,0,0,'Données projet'!$E$14+1,1))-AVERAGE(OFFSET($H$3,0,0,'Données projet'!$E$14+1,1))</f>
        <v>352.76625414822473</v>
      </c>
      <c r="DU159" s="59">
        <f t="shared" si="152"/>
        <v>186.48649111821521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48.997821964453813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48.997821964453813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210.25641030000014</v>
      </c>
      <c r="EK159" s="17">
        <f>EJ159*VLOOKUP('Données projet'!$B$15,Paramètres!$A$1:$I$89,3,0)*VLOOKUP('Données projet'!$B$15,Paramètres!$A$1:$I$89,5,0)</f>
        <v>164.00000003400012</v>
      </c>
      <c r="EL159" s="13">
        <f t="shared" si="179"/>
        <v>41.743425916009095</v>
      </c>
      <c r="EM159" s="20">
        <f t="shared" si="180"/>
        <v>358.3364668629327</v>
      </c>
      <c r="EN159" s="59">
        <f t="shared" si="128"/>
        <v>651.66980019626601</v>
      </c>
      <c r="EO159" s="59">
        <f ca="1">AVERAGE(OFFSET($EN$3,0,0,'Données projet'!$E$15+1,1))-AVERAGE(OFFSET($H$3,0,0,'Données projet'!$E$15+1,1))</f>
        <v>130.66539383144681</v>
      </c>
      <c r="EP159" s="59">
        <f t="shared" si="154"/>
        <v>126.36398121441903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5.7658150312382634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5.7658150312382634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-0.62249999999999517</v>
      </c>
      <c r="FE159" s="12">
        <f>IF('Données projet'!$A$218&gt;35,FE158+FD159-FM158,IF(A159&lt;'Données projet'!$A$218,$FB$205^A159,IF(A159='Données projet'!$A$218,'Données projet'!$B$218,FE158+FD159-FM158)))</f>
        <v>195.14249999999959</v>
      </c>
      <c r="FF159" s="17">
        <f>FE159*VLOOKUP('Données projet'!$B$16,Paramètres!$A$1:$I$89,3,0)*VLOOKUP('Données projet'!$B$16,Paramètres!$A$1:$I$89,5,0)</f>
        <v>188.74182599999961</v>
      </c>
      <c r="FG159" s="13">
        <f t="shared" si="182"/>
        <v>47.261680974381044</v>
      </c>
      <c r="FH159" s="20">
        <f t="shared" si="183"/>
        <v>411.03944131371298</v>
      </c>
      <c r="FI159" s="59">
        <f t="shared" si="131"/>
        <v>704.3727746470463</v>
      </c>
      <c r="FJ159" s="59">
        <f ca="1">AVERAGE(OFFSET($FI$3,0,0,'Données projet'!$E$16+1,1))-AVERAGE(OFFSET($H$3,0,0,'Données projet'!$E$16+1,1))</f>
        <v>380.43199889536805</v>
      </c>
      <c r="FK159" s="59">
        <f t="shared" si="156"/>
        <v>154.72646317672996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178.76370480381334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178.76370480381334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304</v>
      </c>
      <c r="O160" s="13">
        <f>N160*VLOOKUP('Données projet'!$B$9,Paramètres!$A$1:$I$89,3,0)*VLOOKUP('Données projet'!$B$9,Paramètres!$A$1:$I$89,5,0)</f>
        <v>189.696</v>
      </c>
      <c r="P160" s="13">
        <f t="shared" si="141"/>
        <v>47.472736505152469</v>
      </c>
      <c r="Q160" s="20">
        <f t="shared" si="162"/>
        <v>413.06888274647389</v>
      </c>
      <c r="R160" s="59">
        <f t="shared" si="109"/>
        <v>706.4022160798072</v>
      </c>
      <c r="S160" s="59">
        <f ca="1">AVERAGE(OFFSET($R$3,0,0,'Données projet'!$E$9+1,1))-AVERAGE(OFFSET($H$3,0,0,'Données projet'!$E$9+1,1))</f>
        <v>179.44051550872138</v>
      </c>
      <c r="T160" s="59">
        <f t="shared" si="142"/>
        <v>272.9500808380069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9.9441508217325705</v>
      </c>
      <c r="AA160" s="21">
        <f>EXP(-LN(2)/25)*AA159+(1-EXP(-LN(2)/25))/(LN(2)/25)*Calculateur!V160*Calculateur!X160*VLOOKUP('Données projet'!$B$9,Paramètres!$A$1:$I$89,3,0)*0.475*44/12</f>
        <v>1.4306025840620757</v>
      </c>
      <c r="AB160" s="21">
        <f>EXP(-LN(2)/2)*AB159+(1-EXP(-LN(2)/2))/(LN(2)/2)*V160*Y160*VLOOKUP('Données projet'!$B$9,Paramètres!$A$1:$I$89,3,0)*0.475*44/12</f>
        <v>1.6926432197547818E-20</v>
      </c>
      <c r="AC160" s="22">
        <f t="shared" si="163"/>
        <v>11.374753405794646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2.4999999999997442</v>
      </c>
      <c r="AJ160" s="13">
        <f>AI160*VLOOKUP('Données projet'!$B$10,Paramètres!$A$1:$I$89,3,0)*VLOOKUP('Données projet'!$B$10,Paramètres!$A$1:$I$89,5,0)</f>
        <v>1.2024999999998769</v>
      </c>
      <c r="AK160" s="13">
        <f t="shared" si="164"/>
        <v>0.54239446125464896</v>
      </c>
      <c r="AL160" s="20">
        <f t="shared" si="165"/>
        <v>3.0390245200182986</v>
      </c>
      <c r="AM160" s="59">
        <f t="shared" si="113"/>
        <v>296.37235785335162</v>
      </c>
      <c r="AN160" s="59">
        <f ca="1">AVERAGE(OFFSET($AM$3,0,0,'Données projet'!$E$10+1,1))-AVERAGE(OFFSET($H$3,0,0,'Données projet'!$E$10+1,1))</f>
        <v>174.18188687702559</v>
      </c>
      <c r="AO160" s="59">
        <f t="shared" si="144"/>
        <v>32.17353897322738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103.22864021170527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103.22864021170527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0.8600000000003547</v>
      </c>
      <c r="BE160" s="13">
        <f>BD160*VLOOKUP('Données projet'!$B$11,Paramètres!$A$1:$I$89,3,0)*VLOOKUP('Données projet'!$B$11,Paramètres!$A$1:$I$89,5,0)</f>
        <v>0.48074000000019829</v>
      </c>
      <c r="BF160" s="13">
        <f t="shared" si="167"/>
        <v>0.24126147010950588</v>
      </c>
      <c r="BG160" s="20">
        <f t="shared" si="168"/>
        <v>1.2574858937744013</v>
      </c>
      <c r="BH160" s="59">
        <f t="shared" si="116"/>
        <v>294.59081922710772</v>
      </c>
      <c r="BI160" s="59">
        <f ca="1">AVERAGE(OFFSET($BH$3,0,0,'Données projet'!$E$11+1,1))-AVERAGE(OFFSET($H$3,0,0,'Données projet'!$E$11+1,1))</f>
        <v>350.01600895263641</v>
      </c>
      <c r="BJ160" s="59">
        <f t="shared" si="146"/>
        <v>464.08921044376882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49.318526817077121</v>
      </c>
      <c r="BQ160" s="21">
        <f>EXP(-LN(2)/25)*BQ159+(1-EXP(-LN(2)/25))/(LN(2)/25)*Calculateur!BL160*Calculateur!BN160*VLOOKUP('Données projet'!$B$11,Paramètres!$A$1:$I$89,3,0)*0.475*44/12</f>
        <v>1.4951043170374203</v>
      </c>
      <c r="BR160" s="21">
        <f>EXP(-LN(2)/2)*BR159+(1-EXP(-LN(2)/2))/(LN(2)/2)*BL160*BO160*VLOOKUP('Données projet'!$B$11,Paramètres!$A$1:$I$89,3,0)*0.475*44/12</f>
        <v>5.6725763804044449E-20</v>
      </c>
      <c r="BS160" s="22">
        <f t="shared" si="169"/>
        <v>50.813631134114544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253.79640000000001</v>
      </c>
      <c r="CA160" s="13">
        <f t="shared" si="170"/>
        <v>61.39816832228076</v>
      </c>
      <c r="CB160" s="20">
        <f t="shared" si="171"/>
        <v>548.96387316130563</v>
      </c>
      <c r="CC160" s="59">
        <f t="shared" si="119"/>
        <v>842.29720649463889</v>
      </c>
      <c r="CD160" s="59">
        <f ca="1">AVERAGE(OFFSET($CC$3,0,0,'Données projet'!$E$12+1,1))-AVERAGE(OFFSET($H$3,0,0,'Données projet'!$E$12+1,1))</f>
        <v>279.49721661620544</v>
      </c>
      <c r="CE160" s="59">
        <f t="shared" si="148"/>
        <v>275.18739333988754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11.571409807789296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11.571409807789296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194.52</v>
      </c>
      <c r="CR160" s="12">
        <f>VLOOKUP(A160,'Données projet'!$A$139:$I$159,9,0)</f>
        <v>-0.62249999999999517</v>
      </c>
      <c r="CS160" s="12">
        <f t="array" ref="CS160">INDEX(CR:CR,MIN(IF(ISNUMBER(CR160:CR356),ROW(CR160:CR356),"")))</f>
        <v>-0.62249999999999517</v>
      </c>
      <c r="CT160" s="12">
        <f>IF('Données projet'!$A$140&gt;35,CT159+CS160-DB159,IF(A160&lt;'Données projet'!$A$140,$CQ$205^A160,IF(A160='Données projet'!$A$140,'Données projet'!$B$140,CT159+CS160-DB159)))</f>
        <v>194.51999999999958</v>
      </c>
      <c r="CU160" s="17">
        <f>CT160*VLOOKUP('Données projet'!$B$13,Paramètres!$A$1:$I$89,3,0)*VLOOKUP('Données projet'!$B$13,Paramètres!$A$1:$I$89,5,0)</f>
        <v>197.2432799999996</v>
      </c>
      <c r="CV160" s="13">
        <f t="shared" si="173"/>
        <v>49.137835584649814</v>
      </c>
      <c r="CW160" s="20">
        <f t="shared" si="174"/>
        <v>429.1137763099311</v>
      </c>
      <c r="CX160" s="59">
        <f t="shared" si="122"/>
        <v>722.44710964326441</v>
      </c>
      <c r="CY160" s="59">
        <f ca="1">AVERAGE(OFFSET($CX$3,0,0,'Données projet'!$E$13+1,1))-AVERAGE(OFFSET($H$3,0,0,'Données projet'!$E$13+1,1))</f>
        <v>402.54350692668021</v>
      </c>
      <c r="CZ160" s="59">
        <f t="shared" si="150"/>
        <v>163.60655196884522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57.95</v>
      </c>
      <c r="DC160" s="16">
        <f>IF(ISNA(VLOOKUP(A160,'Données projet'!$A$139:$I$159,5,0)),0%,VLOOKUP(A160,'Données projet'!$A$139:$I$159,5,0)*VLOOKUP('Données projet'!$B$13,Paramètres!$A$1:$I$89,7,0))</f>
        <v>0.43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211.67081280160221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211.67081280160221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404.00000000000017</v>
      </c>
      <c r="DP160" s="17">
        <f>DO160*VLOOKUP('Données projet'!$B$14,Paramètres!$A$1:$I$89,3,0)*VLOOKUP('Données projet'!$B$14,Paramètres!$A$1:$I$89,5,0)</f>
        <v>346.63200000000018</v>
      </c>
      <c r="DQ160" s="13">
        <f t="shared" si="176"/>
        <v>80.868615263336864</v>
      </c>
      <c r="DR160" s="20">
        <f t="shared" si="177"/>
        <v>744.56357158364528</v>
      </c>
      <c r="DS160" s="59">
        <f t="shared" si="125"/>
        <v>1037.8969049169787</v>
      </c>
      <c r="DT160" s="59">
        <f ca="1">AVERAGE(OFFSET($DS$3,0,0,'Données projet'!$E$14+1,1))-AVERAGE(OFFSET($H$3,0,0,'Données projet'!$E$14+1,1))</f>
        <v>352.76625414822473</v>
      </c>
      <c r="DU160" s="59">
        <f t="shared" si="152"/>
        <v>186.48649111821521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48.037004561451305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48.037004561451305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210.25641030000014</v>
      </c>
      <c r="EK160" s="17">
        <f>EJ160*VLOOKUP('Données projet'!$B$15,Paramètres!$A$1:$I$89,3,0)*VLOOKUP('Données projet'!$B$15,Paramètres!$A$1:$I$89,5,0)</f>
        <v>164.00000003400012</v>
      </c>
      <c r="EL160" s="13">
        <f t="shared" si="179"/>
        <v>41.743425916009095</v>
      </c>
      <c r="EM160" s="20">
        <f t="shared" si="180"/>
        <v>358.3364668629327</v>
      </c>
      <c r="EN160" s="59">
        <f t="shared" si="128"/>
        <v>651.66980019626601</v>
      </c>
      <c r="EO160" s="59">
        <f ca="1">AVERAGE(OFFSET($EN$3,0,0,'Données projet'!$E$15+1,1))-AVERAGE(OFFSET($H$3,0,0,'Données projet'!$E$15+1,1))</f>
        <v>130.66539383144681</v>
      </c>
      <c r="EP160" s="59">
        <f t="shared" si="154"/>
        <v>126.36398121441903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5.652750915275595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5.652750915275595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>
        <f>VLOOKUP(A160,'Données projet'!$A$217:$I$237,2,0)</f>
        <v>194.52</v>
      </c>
      <c r="FC160" s="12">
        <f>VLOOKUP(A160,'Données projet'!$A$217:$I$237,9,0)</f>
        <v>-0.62249999999999517</v>
      </c>
      <c r="FD160" s="12">
        <f t="array" ref="FD160">INDEX(FC:FC,MIN(IF(ISNUMBER(FC160:FC356),ROW(FC160:FC356),"")))</f>
        <v>-0.62249999999999517</v>
      </c>
      <c r="FE160" s="12">
        <f>IF('Données projet'!$A$218&gt;35,FE159+FD160-FM159,IF(A160&lt;'Données projet'!$A$218,$FB$205^A160,IF(A160='Données projet'!$A$218,'Données projet'!$B$218,FE159+FD160-FM159)))</f>
        <v>194.51999999999958</v>
      </c>
      <c r="FF160" s="17">
        <f>FE160*VLOOKUP('Données projet'!$B$16,Paramètres!$A$1:$I$89,3,0)*VLOOKUP('Données projet'!$B$16,Paramètres!$A$1:$I$89,5,0)</f>
        <v>188.13974399999961</v>
      </c>
      <c r="FG160" s="13">
        <f t="shared" si="182"/>
        <v>47.128441447839506</v>
      </c>
      <c r="FH160" s="20">
        <f t="shared" si="183"/>
        <v>409.75875632165315</v>
      </c>
      <c r="FI160" s="59">
        <f t="shared" si="131"/>
        <v>703.09208965498647</v>
      </c>
      <c r="FJ160" s="59">
        <f ca="1">AVERAGE(OFFSET($FI$3,0,0,'Données projet'!$E$16+1,1))-AVERAGE(OFFSET($H$3,0,0,'Données projet'!$E$16+1,1))</f>
        <v>380.43199889536805</v>
      </c>
      <c r="FK160" s="59">
        <f t="shared" si="156"/>
        <v>154.72646317672996</v>
      </c>
      <c r="FL160" s="15">
        <f>IF(ISNA(VLOOKUP(A160,'Données projet'!$A$217:$I$237,3,0)),0,VLOOKUP(A160,'Données projet'!$A$217:$I$237,3,0))</f>
        <v>14</v>
      </c>
      <c r="FM160" s="15">
        <f>IF(ISNA(VLOOKUP(A160,'Données projet'!$A$217:$I$237,4,0)),0,VLOOKUP(A160,'Données projet'!$A$217:$I$237,4,0))</f>
        <v>57.95</v>
      </c>
      <c r="FN160" s="16">
        <f>IF(ISNA(VLOOKUP(A160,'Données projet'!$A$217:$I$237,5,0)),0%,VLOOKUP(A160,'Données projet'!$A$217:$I$237,5,0)*VLOOKUP('Données projet'!$B$16,Paramètres!$A$1:$I$89,7,0))</f>
        <v>0.43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201.90139067229754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201.90139067229754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304</v>
      </c>
      <c r="O161" s="13">
        <f>N161*VLOOKUP('Données projet'!$B$9,Paramètres!$A$1:$I$89,3,0)*VLOOKUP('Données projet'!$B$9,Paramètres!$A$1:$I$89,5,0)</f>
        <v>189.696</v>
      </c>
      <c r="P161" s="13">
        <f t="shared" si="141"/>
        <v>47.472736505152469</v>
      </c>
      <c r="Q161" s="20">
        <f t="shared" si="162"/>
        <v>413.06888274647389</v>
      </c>
      <c r="R161" s="59">
        <f t="shared" si="109"/>
        <v>706.4022160798072</v>
      </c>
      <c r="S161" s="59">
        <f ca="1">AVERAGE(OFFSET($R$3,0,0,'Données projet'!$E$9+1,1))-AVERAGE(OFFSET($H$3,0,0,'Données projet'!$E$9+1,1))</f>
        <v>179.44051550872138</v>
      </c>
      <c r="T161" s="59">
        <f t="shared" si="142"/>
        <v>272.9500808380069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9.7491520894514938</v>
      </c>
      <c r="AA161" s="21">
        <f>EXP(-LN(2)/25)*AA160+(1-EXP(-LN(2)/25))/(LN(2)/25)*Calculateur!V161*Calculateur!X161*VLOOKUP('Données projet'!$B$9,Paramètres!$A$1:$I$89,3,0)*0.475*44/12</f>
        <v>1.3914826811687782</v>
      </c>
      <c r="AB161" s="21">
        <f>EXP(-LN(2)/2)*AB160+(1-EXP(-LN(2)/2))/(LN(2)/2)*V161*Y161*VLOOKUP('Données projet'!$B$9,Paramètres!$A$1:$I$89,3,0)*0.475*44/12</f>
        <v>1.1968794988180378E-20</v>
      </c>
      <c r="AC161" s="22">
        <f t="shared" si="163"/>
        <v>11.140634770620272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2.4999999999997442</v>
      </c>
      <c r="AJ161" s="13">
        <f>AI161*VLOOKUP('Données projet'!$B$10,Paramètres!$A$1:$I$89,3,0)*VLOOKUP('Données projet'!$B$10,Paramètres!$A$1:$I$89,5,0)</f>
        <v>1.2024999999998769</v>
      </c>
      <c r="AK161" s="13">
        <f t="shared" si="164"/>
        <v>0.54239446125464896</v>
      </c>
      <c r="AL161" s="20">
        <f t="shared" si="165"/>
        <v>3.0390245200182986</v>
      </c>
      <c r="AM161" s="59">
        <f t="shared" si="113"/>
        <v>296.37235785335162</v>
      </c>
      <c r="AN161" s="59">
        <f ca="1">AVERAGE(OFFSET($AM$3,0,0,'Données projet'!$E$10+1,1))-AVERAGE(OFFSET($H$3,0,0,'Données projet'!$E$10+1,1))</f>
        <v>174.18188687702559</v>
      </c>
      <c r="AO161" s="59">
        <f t="shared" si="144"/>
        <v>32.17353897322738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101.20438954040715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101.20438954040715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0.8600000000003547</v>
      </c>
      <c r="BE161" s="13">
        <f>BD161*VLOOKUP('Données projet'!$B$11,Paramètres!$A$1:$I$89,3,0)*VLOOKUP('Données projet'!$B$11,Paramètres!$A$1:$I$89,5,0)</f>
        <v>0.48074000000019829</v>
      </c>
      <c r="BF161" s="13">
        <f t="shared" si="167"/>
        <v>0.24126147010950588</v>
      </c>
      <c r="BG161" s="20">
        <f t="shared" si="168"/>
        <v>1.2574858937744013</v>
      </c>
      <c r="BH161" s="59">
        <f t="shared" si="116"/>
        <v>294.59081922710772</v>
      </c>
      <c r="BI161" s="59">
        <f ca="1">AVERAGE(OFFSET($BH$3,0,0,'Données projet'!$E$11+1,1))-AVERAGE(OFFSET($H$3,0,0,'Données projet'!$E$11+1,1))</f>
        <v>350.01600895263641</v>
      </c>
      <c r="BJ161" s="59">
        <f t="shared" si="146"/>
        <v>464.08921044376882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48.351420587525311</v>
      </c>
      <c r="BQ161" s="21">
        <f>EXP(-LN(2)/25)*BQ160+(1-EXP(-LN(2)/25))/(LN(2)/25)*Calculateur!BL161*Calculateur!BN161*VLOOKUP('Données projet'!$B$11,Paramètres!$A$1:$I$89,3,0)*0.475*44/12</f>
        <v>1.4542206108639131</v>
      </c>
      <c r="BR161" s="21">
        <f>EXP(-LN(2)/2)*BR160+(1-EXP(-LN(2)/2))/(LN(2)/2)*BL161*BO161*VLOOKUP('Données projet'!$B$11,Paramètres!$A$1:$I$89,3,0)*0.475*44/12</f>
        <v>4.0111172253826237E-20</v>
      </c>
      <c r="BS161" s="22">
        <f t="shared" si="169"/>
        <v>49.805641198389225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253.79640000000001</v>
      </c>
      <c r="CA161" s="13">
        <f t="shared" si="170"/>
        <v>61.39816832228076</v>
      </c>
      <c r="CB161" s="20">
        <f t="shared" si="171"/>
        <v>548.96387316130563</v>
      </c>
      <c r="CC161" s="59">
        <f t="shared" si="119"/>
        <v>842.29720649463889</v>
      </c>
      <c r="CD161" s="59">
        <f ca="1">AVERAGE(OFFSET($CC$3,0,0,'Données projet'!$E$12+1,1))-AVERAGE(OFFSET($H$3,0,0,'Données projet'!$E$12+1,1))</f>
        <v>279.49721661620544</v>
      </c>
      <c r="CE161" s="59">
        <f t="shared" si="148"/>
        <v>275.18739333988754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11.344501519321625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11.344501519321625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-0.57750000000000057</v>
      </c>
      <c r="CT161" s="12">
        <f>IF('Données projet'!$A$140&gt;35,CT160+CS161-DB160,IF(A161&lt;'Données projet'!$A$140,$CQ$205^A161,IF(A161='Données projet'!$A$140,'Données projet'!$B$140,CT160+CS161-DB160)))</f>
        <v>135.99249999999961</v>
      </c>
      <c r="CU161" s="17">
        <f>CT161*VLOOKUP('Données projet'!$B$13,Paramètres!$A$1:$I$89,3,0)*VLOOKUP('Données projet'!$B$13,Paramètres!$A$1:$I$89,5,0)</f>
        <v>137.89639499999961</v>
      </c>
      <c r="CV161" s="13">
        <f t="shared" si="173"/>
        <v>35.814675327481801</v>
      </c>
      <c r="CW161" s="20">
        <f t="shared" si="174"/>
        <v>302.54678082036344</v>
      </c>
      <c r="CX161" s="59">
        <f t="shared" si="122"/>
        <v>595.8801141536967</v>
      </c>
      <c r="CY161" s="59">
        <f ca="1">AVERAGE(OFFSET($CX$3,0,0,'Données projet'!$E$13+1,1))-AVERAGE(OFFSET($H$3,0,0,'Données projet'!$E$13+1,1))</f>
        <v>402.54350692668021</v>
      </c>
      <c r="CZ161" s="59">
        <f t="shared" si="150"/>
        <v>163.60655196884522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207.52007726901039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207.52007726901039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404.00000000000017</v>
      </c>
      <c r="DP161" s="17">
        <f>DO161*VLOOKUP('Données projet'!$B$14,Paramètres!$A$1:$I$89,3,0)*VLOOKUP('Données projet'!$B$14,Paramètres!$A$1:$I$89,5,0)</f>
        <v>346.63200000000018</v>
      </c>
      <c r="DQ161" s="13">
        <f t="shared" si="176"/>
        <v>80.868615263336864</v>
      </c>
      <c r="DR161" s="20">
        <f t="shared" si="177"/>
        <v>744.56357158364528</v>
      </c>
      <c r="DS161" s="59">
        <f t="shared" si="125"/>
        <v>1037.8969049169787</v>
      </c>
      <c r="DT161" s="59">
        <f ca="1">AVERAGE(OFFSET($DS$3,0,0,'Données projet'!$E$14+1,1))-AVERAGE(OFFSET($H$3,0,0,'Données projet'!$E$14+1,1))</f>
        <v>352.76625414822473</v>
      </c>
      <c r="DU161" s="59">
        <f t="shared" si="152"/>
        <v>186.48649111821521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47.095028201680925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47.095028201680925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210.25641030000014</v>
      </c>
      <c r="EK161" s="17">
        <f>EJ161*VLOOKUP('Données projet'!$B$15,Paramètres!$A$1:$I$89,3,0)*VLOOKUP('Données projet'!$B$15,Paramètres!$A$1:$I$89,5,0)</f>
        <v>164.00000003400012</v>
      </c>
      <c r="EL161" s="13">
        <f t="shared" si="179"/>
        <v>41.743425916009095</v>
      </c>
      <c r="EM161" s="20">
        <f t="shared" si="180"/>
        <v>358.3364668629327</v>
      </c>
      <c r="EN161" s="59">
        <f t="shared" si="128"/>
        <v>651.66980019626601</v>
      </c>
      <c r="EO161" s="59">
        <f ca="1">AVERAGE(OFFSET($EN$3,0,0,'Données projet'!$E$15+1,1))-AVERAGE(OFFSET($H$3,0,0,'Données projet'!$E$15+1,1))</f>
        <v>130.66539383144681</v>
      </c>
      <c r="EP161" s="59">
        <f t="shared" si="154"/>
        <v>126.36398121441903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5.5419039176646532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5.5419039176646532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-0.57750000000000057</v>
      </c>
      <c r="FE161" s="12">
        <f>IF('Données projet'!$A$218&gt;35,FE160+FD161-FM160,IF(A161&lt;'Données projet'!$A$218,$FB$205^A161,IF(A161='Données projet'!$A$218,'Données projet'!$B$218,FE160+FD161-FM160)))</f>
        <v>135.99249999999961</v>
      </c>
      <c r="FF161" s="17">
        <f>FE161*VLOOKUP('Données projet'!$B$16,Paramètres!$A$1:$I$89,3,0)*VLOOKUP('Données projet'!$B$16,Paramètres!$A$1:$I$89,5,0)</f>
        <v>131.53194599999961</v>
      </c>
      <c r="FG161" s="13">
        <f t="shared" si="182"/>
        <v>34.350105352867615</v>
      </c>
      <c r="FH161" s="20">
        <f t="shared" si="183"/>
        <v>288.91123943957706</v>
      </c>
      <c r="FI161" s="59">
        <f t="shared" si="131"/>
        <v>582.24457277291037</v>
      </c>
      <c r="FJ161" s="59">
        <f ca="1">AVERAGE(OFFSET($FI$3,0,0,'Données projet'!$E$16+1,1))-AVERAGE(OFFSET($H$3,0,0,'Données projet'!$E$16+1,1))</f>
        <v>380.43199889536805</v>
      </c>
      <c r="FK161" s="59">
        <f t="shared" si="156"/>
        <v>154.72646317672996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197.94222754890228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197.94222754890228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304</v>
      </c>
      <c r="O162" s="13">
        <f>N162*VLOOKUP('Données projet'!$B$9,Paramètres!$A$1:$I$89,3,0)*VLOOKUP('Données projet'!$B$9,Paramètres!$A$1:$I$89,5,0)</f>
        <v>189.696</v>
      </c>
      <c r="P162" s="13">
        <f t="shared" si="141"/>
        <v>47.472736505152469</v>
      </c>
      <c r="Q162" s="20">
        <f t="shared" si="162"/>
        <v>413.06888274647389</v>
      </c>
      <c r="R162" s="59">
        <f t="shared" si="109"/>
        <v>706.4022160798072</v>
      </c>
      <c r="S162" s="59">
        <f ca="1">AVERAGE(OFFSET($R$3,0,0,'Données projet'!$E$9+1,1))-AVERAGE(OFFSET($H$3,0,0,'Données projet'!$E$9+1,1))</f>
        <v>179.44051550872138</v>
      </c>
      <c r="T162" s="59">
        <f t="shared" si="142"/>
        <v>272.9500808380069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9.557977163372966</v>
      </c>
      <c r="AA162" s="21">
        <f>EXP(-LN(2)/25)*AA161+(1-EXP(-LN(2)/25))/(LN(2)/25)*Calculateur!V162*Calculateur!X162*VLOOKUP('Données projet'!$B$9,Paramètres!$A$1:$I$89,3,0)*0.475*44/12</f>
        <v>1.353432514077324</v>
      </c>
      <c r="AB162" s="21">
        <f>EXP(-LN(2)/2)*AB161+(1-EXP(-LN(2)/2))/(LN(2)/2)*V162*Y162*VLOOKUP('Données projet'!$B$9,Paramètres!$A$1:$I$89,3,0)*0.475*44/12</f>
        <v>8.4632160987739092E-21</v>
      </c>
      <c r="AC162" s="22">
        <f t="shared" si="163"/>
        <v>10.91140967745029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2.4999999999997442</v>
      </c>
      <c r="AJ162" s="13">
        <f>AI162*VLOOKUP('Données projet'!$B$10,Paramètres!$A$1:$I$89,3,0)*VLOOKUP('Données projet'!$B$10,Paramètres!$A$1:$I$89,5,0)</f>
        <v>1.2024999999998769</v>
      </c>
      <c r="AK162" s="13">
        <f t="shared" si="164"/>
        <v>0.54239446125464896</v>
      </c>
      <c r="AL162" s="20">
        <f t="shared" si="165"/>
        <v>3.0390245200182986</v>
      </c>
      <c r="AM162" s="59">
        <f t="shared" si="113"/>
        <v>296.37235785335162</v>
      </c>
      <c r="AN162" s="59">
        <f ca="1">AVERAGE(OFFSET($AM$3,0,0,'Données projet'!$E$10+1,1))-AVERAGE(OFFSET($H$3,0,0,'Données projet'!$E$10+1,1))</f>
        <v>174.18188687702559</v>
      </c>
      <c r="AO162" s="59">
        <f t="shared" si="144"/>
        <v>32.17353897322738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99.219833190102193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99.219833190102193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0.8600000000003547</v>
      </c>
      <c r="BE162" s="13">
        <f>BD162*VLOOKUP('Données projet'!$B$11,Paramètres!$A$1:$I$89,3,0)*VLOOKUP('Données projet'!$B$11,Paramètres!$A$1:$I$89,5,0)</f>
        <v>0.48074000000019829</v>
      </c>
      <c r="BF162" s="13">
        <f t="shared" si="167"/>
        <v>0.24126147010950588</v>
      </c>
      <c r="BG162" s="20">
        <f t="shared" si="168"/>
        <v>1.2574858937744013</v>
      </c>
      <c r="BH162" s="59">
        <f t="shared" si="116"/>
        <v>294.59081922710772</v>
      </c>
      <c r="BI162" s="59">
        <f ca="1">AVERAGE(OFFSET($BH$3,0,0,'Données projet'!$E$11+1,1))-AVERAGE(OFFSET($H$3,0,0,'Données projet'!$E$11+1,1))</f>
        <v>350.01600895263641</v>
      </c>
      <c r="BJ162" s="59">
        <f t="shared" si="146"/>
        <v>464.08921044376882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47.403278721258459</v>
      </c>
      <c r="BQ162" s="21">
        <f>EXP(-LN(2)/25)*BQ161+(1-EXP(-LN(2)/25))/(LN(2)/25)*Calculateur!BL162*Calculateur!BN162*VLOOKUP('Données projet'!$B$11,Paramètres!$A$1:$I$89,3,0)*0.475*44/12</f>
        <v>1.4144548717857011</v>
      </c>
      <c r="BR162" s="21">
        <f>EXP(-LN(2)/2)*BR161+(1-EXP(-LN(2)/2))/(LN(2)/2)*BL162*BO162*VLOOKUP('Données projet'!$B$11,Paramètres!$A$1:$I$89,3,0)*0.475*44/12</f>
        <v>2.8362881902022224E-20</v>
      </c>
      <c r="BS162" s="22">
        <f t="shared" si="169"/>
        <v>48.81773359304416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253.79640000000001</v>
      </c>
      <c r="CA162" s="13">
        <f t="shared" si="170"/>
        <v>61.39816832228076</v>
      </c>
      <c r="CB162" s="20">
        <f t="shared" si="171"/>
        <v>548.96387316130563</v>
      </c>
      <c r="CC162" s="59">
        <f t="shared" si="119"/>
        <v>842.29720649463889</v>
      </c>
      <c r="CD162" s="59">
        <f ca="1">AVERAGE(OFFSET($CC$3,0,0,'Données projet'!$E$12+1,1))-AVERAGE(OFFSET($H$3,0,0,'Données projet'!$E$12+1,1))</f>
        <v>279.49721661620544</v>
      </c>
      <c r="CE162" s="59">
        <f t="shared" si="148"/>
        <v>275.18739333988754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11.122042763990414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11.122042763990414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-0.57750000000000057</v>
      </c>
      <c r="CT162" s="12">
        <f>IF('Données projet'!$A$140&gt;35,CT161+CS162-DB161,IF(A162&lt;'Données projet'!$A$140,$CQ$205^A162,IF(A162='Données projet'!$A$140,'Données projet'!$B$140,CT161+CS162-DB161)))</f>
        <v>135.41499999999962</v>
      </c>
      <c r="CU162" s="17">
        <f>CT162*VLOOKUP('Données projet'!$B$13,Paramètres!$A$1:$I$89,3,0)*VLOOKUP('Données projet'!$B$13,Paramètres!$A$1:$I$89,5,0)</f>
        <v>137.31080999999963</v>
      </c>
      <c r="CV162" s="13">
        <f t="shared" si="173"/>
        <v>35.680256145224341</v>
      </c>
      <c r="CW162" s="20">
        <f t="shared" si="174"/>
        <v>301.29277353626509</v>
      </c>
      <c r="CX162" s="59">
        <f t="shared" si="122"/>
        <v>594.6261068695984</v>
      </c>
      <c r="CY162" s="59">
        <f ca="1">AVERAGE(OFFSET($CX$3,0,0,'Données projet'!$E$13+1,1))-AVERAGE(OFFSET($H$3,0,0,'Données projet'!$E$13+1,1))</f>
        <v>402.54350692668021</v>
      </c>
      <c r="CZ162" s="59">
        <f t="shared" si="150"/>
        <v>163.60655196884522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203.450735128514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203.450735128514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404.00000000000017</v>
      </c>
      <c r="DP162" s="17">
        <f>DO162*VLOOKUP('Données projet'!$B$14,Paramètres!$A$1:$I$89,3,0)*VLOOKUP('Données projet'!$B$14,Paramètres!$A$1:$I$89,5,0)</f>
        <v>346.63200000000018</v>
      </c>
      <c r="DQ162" s="13">
        <f t="shared" si="176"/>
        <v>80.868615263336864</v>
      </c>
      <c r="DR162" s="20">
        <f t="shared" si="177"/>
        <v>744.56357158364528</v>
      </c>
      <c r="DS162" s="59">
        <f t="shared" si="125"/>
        <v>1037.8969049169787</v>
      </c>
      <c r="DT162" s="59">
        <f ca="1">AVERAGE(OFFSET($DS$3,0,0,'Données projet'!$E$14+1,1))-AVERAGE(OFFSET($H$3,0,0,'Données projet'!$E$14+1,1))</f>
        <v>352.76625414822473</v>
      </c>
      <c r="DU162" s="59">
        <f t="shared" si="152"/>
        <v>186.48649111821521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46.171523423776797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46.171523423776797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210.25641030000014</v>
      </c>
      <c r="EK162" s="17">
        <f>EJ162*VLOOKUP('Données projet'!$B$15,Paramètres!$A$1:$I$89,3,0)*VLOOKUP('Données projet'!$B$15,Paramètres!$A$1:$I$89,5,0)</f>
        <v>164.00000003400012</v>
      </c>
      <c r="EL162" s="13">
        <f t="shared" si="179"/>
        <v>41.743425916009095</v>
      </c>
      <c r="EM162" s="20">
        <f t="shared" si="180"/>
        <v>358.3364668629327</v>
      </c>
      <c r="EN162" s="59">
        <f t="shared" si="128"/>
        <v>651.66980019626601</v>
      </c>
      <c r="EO162" s="59">
        <f ca="1">AVERAGE(OFFSET($EN$3,0,0,'Données projet'!$E$15+1,1))-AVERAGE(OFFSET($H$3,0,0,'Données projet'!$E$15+1,1))</f>
        <v>130.66539383144681</v>
      </c>
      <c r="EP162" s="59">
        <f t="shared" si="154"/>
        <v>126.36398121441903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5.4332305620668695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5.4332305620668695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-0.57750000000000057</v>
      </c>
      <c r="FE162" s="12">
        <f>IF('Données projet'!$A$218&gt;35,FE161+FD162-FM161,IF(A162&lt;'Données projet'!$A$218,$FB$205^A162,IF(A162='Données projet'!$A$218,'Données projet'!$B$218,FE161+FD162-FM161)))</f>
        <v>135.41499999999962</v>
      </c>
      <c r="FF162" s="17">
        <f>FE162*VLOOKUP('Données projet'!$B$16,Paramètres!$A$1:$I$89,3,0)*VLOOKUP('Données projet'!$B$16,Paramètres!$A$1:$I$89,5,0)</f>
        <v>130.97338799999963</v>
      </c>
      <c r="FG162" s="13">
        <f t="shared" si="182"/>
        <v>34.221182975943336</v>
      </c>
      <c r="FH162" s="20">
        <f t="shared" si="183"/>
        <v>287.71387778310066</v>
      </c>
      <c r="FI162" s="59">
        <f t="shared" si="131"/>
        <v>581.04721111643403</v>
      </c>
      <c r="FJ162" s="59">
        <f ca="1">AVERAGE(OFFSET($FI$3,0,0,'Données projet'!$E$16+1,1))-AVERAGE(OFFSET($H$3,0,0,'Données projet'!$E$16+1,1))</f>
        <v>380.43199889536805</v>
      </c>
      <c r="FK162" s="59">
        <f t="shared" si="156"/>
        <v>154.72646317672996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194.06070119950573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194.06070119950573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304</v>
      </c>
      <c r="O163" s="13">
        <f>N163*VLOOKUP('Données projet'!$B$9,Paramètres!$A$1:$I$89,3,0)*VLOOKUP('Données projet'!$B$9,Paramètres!$A$1:$I$89,5,0)</f>
        <v>189.696</v>
      </c>
      <c r="P163" s="13">
        <f t="shared" si="141"/>
        <v>47.472736505152469</v>
      </c>
      <c r="Q163" s="20">
        <f t="shared" si="162"/>
        <v>413.06888274647389</v>
      </c>
      <c r="R163" s="59">
        <f t="shared" si="109"/>
        <v>706.4022160798072</v>
      </c>
      <c r="S163" s="59">
        <f ca="1">AVERAGE(OFFSET($R$3,0,0,'Données projet'!$E$9+1,1))-AVERAGE(OFFSET($H$3,0,0,'Données projet'!$E$9+1,1))</f>
        <v>179.44051550872138</v>
      </c>
      <c r="T163" s="59">
        <f t="shared" si="142"/>
        <v>272.9500808380069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9.3705510609896479</v>
      </c>
      <c r="AA163" s="21">
        <f>EXP(-LN(2)/25)*AA162+(1-EXP(-LN(2)/25))/(LN(2)/25)*Calculateur!V163*Calculateur!X163*VLOOKUP('Données projet'!$B$9,Paramètres!$A$1:$I$89,3,0)*0.475*44/12</f>
        <v>1.3164228308059569</v>
      </c>
      <c r="AB163" s="21">
        <f>EXP(-LN(2)/2)*AB162+(1-EXP(-LN(2)/2))/(LN(2)/2)*V163*Y163*VLOOKUP('Données projet'!$B$9,Paramètres!$A$1:$I$89,3,0)*0.475*44/12</f>
        <v>5.9843974940901891E-21</v>
      </c>
      <c r="AC163" s="22">
        <f t="shared" si="163"/>
        <v>10.686973891795605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2.4999999999997442</v>
      </c>
      <c r="AJ163" s="13">
        <f>AI163*VLOOKUP('Données projet'!$B$10,Paramètres!$A$1:$I$89,3,0)*VLOOKUP('Données projet'!$B$10,Paramètres!$A$1:$I$89,5,0)</f>
        <v>1.2024999999998769</v>
      </c>
      <c r="AK163" s="13">
        <f t="shared" si="164"/>
        <v>0.54239446125464896</v>
      </c>
      <c r="AL163" s="20">
        <f t="shared" si="165"/>
        <v>3.0390245200182986</v>
      </c>
      <c r="AM163" s="59">
        <f t="shared" si="113"/>
        <v>296.37235785335162</v>
      </c>
      <c r="AN163" s="59">
        <f ca="1">AVERAGE(OFFSET($AM$3,0,0,'Données projet'!$E$10+1,1))-AVERAGE(OFFSET($H$3,0,0,'Données projet'!$E$10+1,1))</f>
        <v>174.18188687702559</v>
      </c>
      <c r="AO163" s="59">
        <f t="shared" si="144"/>
        <v>32.17353897322738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97.274192779366871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97.274192779366871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0.8600000000003547</v>
      </c>
      <c r="BE163" s="13">
        <f>BD163*VLOOKUP('Données projet'!$B$11,Paramètres!$A$1:$I$89,3,0)*VLOOKUP('Données projet'!$B$11,Paramètres!$A$1:$I$89,5,0)</f>
        <v>0.48074000000019829</v>
      </c>
      <c r="BF163" s="13">
        <f t="shared" si="167"/>
        <v>0.24126147010950588</v>
      </c>
      <c r="BG163" s="20">
        <f t="shared" si="168"/>
        <v>1.2574858937744013</v>
      </c>
      <c r="BH163" s="59">
        <f t="shared" si="116"/>
        <v>294.59081922710772</v>
      </c>
      <c r="BI163" s="59">
        <f ca="1">AVERAGE(OFFSET($BH$3,0,0,'Données projet'!$E$11+1,1))-AVERAGE(OFFSET($H$3,0,0,'Données projet'!$E$11+1,1))</f>
        <v>350.01600895263641</v>
      </c>
      <c r="BJ163" s="59">
        <f t="shared" si="146"/>
        <v>464.08921044376882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46.473729338679668</v>
      </c>
      <c r="BQ163" s="21">
        <f>EXP(-LN(2)/25)*BQ162+(1-EXP(-LN(2)/25))/(LN(2)/25)*Calculateur!BL163*Calculateur!BN163*VLOOKUP('Données projet'!$B$11,Paramètres!$A$1:$I$89,3,0)*0.475*44/12</f>
        <v>1.3757765289337722</v>
      </c>
      <c r="BR163" s="21">
        <f>EXP(-LN(2)/2)*BR162+(1-EXP(-LN(2)/2))/(LN(2)/2)*BL163*BO163*VLOOKUP('Données projet'!$B$11,Paramètres!$A$1:$I$89,3,0)*0.475*44/12</f>
        <v>2.0055586126913119E-20</v>
      </c>
      <c r="BS163" s="22">
        <f t="shared" si="169"/>
        <v>47.849505867613438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253.79640000000001</v>
      </c>
      <c r="CA163" s="13">
        <f t="shared" si="170"/>
        <v>61.39816832228076</v>
      </c>
      <c r="CB163" s="20">
        <f t="shared" si="171"/>
        <v>548.96387316130563</v>
      </c>
      <c r="CC163" s="59">
        <f t="shared" si="119"/>
        <v>842.29720649463889</v>
      </c>
      <c r="CD163" s="59">
        <f ca="1">AVERAGE(OFFSET($CC$3,0,0,'Données projet'!$E$12+1,1))-AVERAGE(OFFSET($H$3,0,0,'Données projet'!$E$12+1,1))</f>
        <v>279.49721661620544</v>
      </c>
      <c r="CE163" s="59">
        <f t="shared" si="148"/>
        <v>275.18739333988754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10.903946289164805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10.903946289164805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-0.57750000000000057</v>
      </c>
      <c r="CT163" s="12">
        <f>IF('Données projet'!$A$140&gt;35,CT162+CS163-DB162,IF(A163&lt;'Données projet'!$A$140,$CQ$205^A163,IF(A163='Données projet'!$A$140,'Données projet'!$B$140,CT162+CS163-DB162)))</f>
        <v>134.83749999999964</v>
      </c>
      <c r="CU163" s="17">
        <f>CT163*VLOOKUP('Données projet'!$B$13,Paramètres!$A$1:$I$89,3,0)*VLOOKUP('Données projet'!$B$13,Paramètres!$A$1:$I$89,5,0)</f>
        <v>136.72522499999965</v>
      </c>
      <c r="CV163" s="13">
        <f t="shared" si="173"/>
        <v>35.545770219519433</v>
      </c>
      <c r="CW163" s="20">
        <f t="shared" si="174"/>
        <v>300.03865000732907</v>
      </c>
      <c r="CX163" s="59">
        <f t="shared" si="122"/>
        <v>593.37198334066238</v>
      </c>
      <c r="CY163" s="59">
        <f ca="1">AVERAGE(OFFSET($CX$3,0,0,'Données projet'!$E$13+1,1))-AVERAGE(OFFSET($H$3,0,0,'Données projet'!$E$13+1,1))</f>
        <v>402.54350692668021</v>
      </c>
      <c r="CZ163" s="59">
        <f t="shared" si="150"/>
        <v>163.60655196884522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199.46119030533913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199.46119030533913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404.00000000000017</v>
      </c>
      <c r="DP163" s="17">
        <f>DO163*VLOOKUP('Données projet'!$B$14,Paramètres!$A$1:$I$89,3,0)*VLOOKUP('Données projet'!$B$14,Paramètres!$A$1:$I$89,5,0)</f>
        <v>346.63200000000018</v>
      </c>
      <c r="DQ163" s="13">
        <f t="shared" si="176"/>
        <v>80.868615263336864</v>
      </c>
      <c r="DR163" s="20">
        <f t="shared" si="177"/>
        <v>744.56357158364528</v>
      </c>
      <c r="DS163" s="59">
        <f t="shared" si="125"/>
        <v>1037.8969049169787</v>
      </c>
      <c r="DT163" s="59">
        <f ca="1">AVERAGE(OFFSET($DS$3,0,0,'Données projet'!$E$14+1,1))-AVERAGE(OFFSET($H$3,0,0,'Données projet'!$E$14+1,1))</f>
        <v>352.76625414822473</v>
      </c>
      <c r="DU163" s="59">
        <f t="shared" si="152"/>
        <v>186.48649111821521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45.266128011285069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45.266128011285069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210.25641030000014</v>
      </c>
      <c r="EK163" s="17">
        <f>EJ163*VLOOKUP('Données projet'!$B$15,Paramètres!$A$1:$I$89,3,0)*VLOOKUP('Données projet'!$B$15,Paramètres!$A$1:$I$89,5,0)</f>
        <v>164.00000003400012</v>
      </c>
      <c r="EL163" s="13">
        <f t="shared" si="179"/>
        <v>41.743425916009095</v>
      </c>
      <c r="EM163" s="20">
        <f t="shared" si="180"/>
        <v>358.3364668629327</v>
      </c>
      <c r="EN163" s="59">
        <f t="shared" si="128"/>
        <v>651.66980019626601</v>
      </c>
      <c r="EO163" s="59">
        <f ca="1">AVERAGE(OFFSET($EN$3,0,0,'Données projet'!$E$15+1,1))-AVERAGE(OFFSET($H$3,0,0,'Données projet'!$E$15+1,1))</f>
        <v>130.66539383144681</v>
      </c>
      <c r="EP163" s="59">
        <f t="shared" si="154"/>
        <v>126.36398121441903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5.3266882246881559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5.3266882246881559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-0.57750000000000057</v>
      </c>
      <c r="FE163" s="12">
        <f>IF('Données projet'!$A$218&gt;35,FE162+FD163-FM162,IF(A163&lt;'Données projet'!$A$218,$FB$205^A163,IF(A163='Données projet'!$A$218,'Données projet'!$B$218,FE162+FD163-FM162)))</f>
        <v>134.83749999999964</v>
      </c>
      <c r="FF163" s="17">
        <f>FE163*VLOOKUP('Données projet'!$B$16,Paramètres!$A$1:$I$89,3,0)*VLOOKUP('Données projet'!$B$16,Paramètres!$A$1:$I$89,5,0)</f>
        <v>130.41482999999965</v>
      </c>
      <c r="FG163" s="13">
        <f t="shared" si="182"/>
        <v>34.092196584912273</v>
      </c>
      <c r="FH163" s="20">
        <f t="shared" si="183"/>
        <v>286.51640463538826</v>
      </c>
      <c r="FI163" s="59">
        <f t="shared" si="131"/>
        <v>579.84973796872157</v>
      </c>
      <c r="FJ163" s="59">
        <f ca="1">AVERAGE(OFFSET($FI$3,0,0,'Données projet'!$E$16+1,1))-AVERAGE(OFFSET($H$3,0,0,'Données projet'!$E$16+1,1))</f>
        <v>380.43199889536805</v>
      </c>
      <c r="FK163" s="59">
        <f t="shared" si="156"/>
        <v>154.72646317672996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190.25528921432354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190.25528921432354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304</v>
      </c>
      <c r="O164" s="13">
        <f>N164*VLOOKUP('Données projet'!$B$9,Paramètres!$A$1:$I$89,3,0)*VLOOKUP('Données projet'!$B$9,Paramètres!$A$1:$I$89,5,0)</f>
        <v>189.696</v>
      </c>
      <c r="P164" s="13">
        <f t="shared" si="141"/>
        <v>47.472736505152469</v>
      </c>
      <c r="Q164" s="20">
        <f t="shared" si="162"/>
        <v>413.06888274647389</v>
      </c>
      <c r="R164" s="59">
        <f t="shared" si="109"/>
        <v>706.4022160798072</v>
      </c>
      <c r="S164" s="59">
        <f ca="1">AVERAGE(OFFSET($R$3,0,0,'Données projet'!$E$9+1,1))-AVERAGE(OFFSET($H$3,0,0,'Données projet'!$E$9+1,1))</f>
        <v>179.44051550872138</v>
      </c>
      <c r="T164" s="59">
        <f t="shared" si="142"/>
        <v>272.9500808380069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9.1868002701554321</v>
      </c>
      <c r="AA164" s="21">
        <f>EXP(-LN(2)/25)*AA163+(1-EXP(-LN(2)/25))/(LN(2)/25)*Calculateur!V164*Calculateur!X164*VLOOKUP('Données projet'!$B$9,Paramètres!$A$1:$I$89,3,0)*0.475*44/12</f>
        <v>1.2804251792699</v>
      </c>
      <c r="AB164" s="21">
        <f>EXP(-LN(2)/2)*AB163+(1-EXP(-LN(2)/2))/(LN(2)/2)*V164*Y164*VLOOKUP('Données projet'!$B$9,Paramètres!$A$1:$I$89,3,0)*0.475*44/12</f>
        <v>4.2316080493869546E-21</v>
      </c>
      <c r="AC164" s="22">
        <f t="shared" si="163"/>
        <v>10.467225449425332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2.4999999999997442</v>
      </c>
      <c r="AJ164" s="13">
        <f>AI164*VLOOKUP('Données projet'!$B$10,Paramètres!$A$1:$I$89,3,0)*VLOOKUP('Données projet'!$B$10,Paramètres!$A$1:$I$89,5,0)</f>
        <v>1.2024999999998769</v>
      </c>
      <c r="AK164" s="13">
        <f t="shared" si="164"/>
        <v>0.54239446125464896</v>
      </c>
      <c r="AL164" s="20">
        <f t="shared" si="165"/>
        <v>3.0390245200182986</v>
      </c>
      <c r="AM164" s="59">
        <f t="shared" si="113"/>
        <v>296.37235785335162</v>
      </c>
      <c r="AN164" s="59">
        <f ca="1">AVERAGE(OFFSET($AM$3,0,0,'Données projet'!$E$10+1,1))-AVERAGE(OFFSET($H$3,0,0,'Données projet'!$E$10+1,1))</f>
        <v>174.18188687702559</v>
      </c>
      <c r="AO164" s="59">
        <f t="shared" si="144"/>
        <v>32.17353897322738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95.366705190362595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95.366705190362595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0.8600000000003547</v>
      </c>
      <c r="BE164" s="13">
        <f>BD164*VLOOKUP('Données projet'!$B$11,Paramètres!$A$1:$I$89,3,0)*VLOOKUP('Données projet'!$B$11,Paramètres!$A$1:$I$89,5,0)</f>
        <v>0.48074000000019829</v>
      </c>
      <c r="BF164" s="13">
        <f t="shared" si="167"/>
        <v>0.24126147010950588</v>
      </c>
      <c r="BG164" s="20">
        <f t="shared" si="168"/>
        <v>1.2574858937744013</v>
      </c>
      <c r="BH164" s="59">
        <f t="shared" si="116"/>
        <v>294.59081922710772</v>
      </c>
      <c r="BI164" s="59">
        <f ca="1">AVERAGE(OFFSET($BH$3,0,0,'Données projet'!$E$11+1,1))-AVERAGE(OFFSET($H$3,0,0,'Données projet'!$E$11+1,1))</f>
        <v>350.01600895263641</v>
      </c>
      <c r="BJ164" s="59">
        <f t="shared" si="146"/>
        <v>464.08921044376882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45.562407852524103</v>
      </c>
      <c r="BQ164" s="21">
        <f>EXP(-LN(2)/25)*BQ163+(1-EXP(-LN(2)/25))/(LN(2)/25)*Calculateur!BL164*Calculateur!BN164*VLOOKUP('Données projet'!$B$11,Paramètres!$A$1:$I$89,3,0)*0.475*44/12</f>
        <v>1.338155847401135</v>
      </c>
      <c r="BR164" s="21">
        <f>EXP(-LN(2)/2)*BR163+(1-EXP(-LN(2)/2))/(LN(2)/2)*BL164*BO164*VLOOKUP('Données projet'!$B$11,Paramètres!$A$1:$I$89,3,0)*0.475*44/12</f>
        <v>1.4181440951011112E-20</v>
      </c>
      <c r="BS164" s="22">
        <f t="shared" si="169"/>
        <v>46.900563699925236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253.79640000000001</v>
      </c>
      <c r="CA164" s="13">
        <f t="shared" si="170"/>
        <v>61.39816832228076</v>
      </c>
      <c r="CB164" s="20">
        <f t="shared" si="171"/>
        <v>548.96387316130563</v>
      </c>
      <c r="CC164" s="59">
        <f t="shared" si="119"/>
        <v>842.29720649463889</v>
      </c>
      <c r="CD164" s="59">
        <f ca="1">AVERAGE(OFFSET($CC$3,0,0,'Données projet'!$E$12+1,1))-AVERAGE(OFFSET($H$3,0,0,'Données projet'!$E$12+1,1))</f>
        <v>279.49721661620544</v>
      </c>
      <c r="CE164" s="59">
        <f t="shared" si="148"/>
        <v>275.18739333988754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10.690126553184813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10.690126553184813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134.26</v>
      </c>
      <c r="CR164" s="12">
        <f>VLOOKUP(A164,'Données projet'!$A$139:$I$159,9,0)</f>
        <v>-0.57750000000000057</v>
      </c>
      <c r="CS164" s="12">
        <f t="array" ref="CS164">INDEX(CR:CR,MIN(IF(ISNUMBER(CR164:CR360),ROW(CR164:CR360),"")))</f>
        <v>-0.57750000000000057</v>
      </c>
      <c r="CT164" s="12">
        <f>IF('Données projet'!$A$140&gt;35,CT163+CS164-DB163,IF(A164&lt;'Données projet'!$A$140,$CQ$205^A164,IF(A164='Données projet'!$A$140,'Données projet'!$B$140,CT163+CS164-DB163)))</f>
        <v>134.25999999999965</v>
      </c>
      <c r="CU164" s="17">
        <f>CT164*VLOOKUP('Données projet'!$B$13,Paramètres!$A$1:$I$89,3,0)*VLOOKUP('Données projet'!$B$13,Paramètres!$A$1:$I$89,5,0)</f>
        <v>136.13963999999964</v>
      </c>
      <c r="CV164" s="13">
        <f t="shared" si="173"/>
        <v>35.411217231153969</v>
      </c>
      <c r="CW164" s="20">
        <f t="shared" si="174"/>
        <v>298.78440967759252</v>
      </c>
      <c r="CX164" s="59">
        <f t="shared" si="122"/>
        <v>592.11774301092578</v>
      </c>
      <c r="CY164" s="59">
        <f ca="1">AVERAGE(OFFSET($CX$3,0,0,'Données projet'!$E$13+1,1))-AVERAGE(OFFSET($H$3,0,0,'Données projet'!$E$13+1,1))</f>
        <v>402.54350692668021</v>
      </c>
      <c r="CZ164" s="59">
        <f t="shared" si="150"/>
        <v>163.60655196884522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115.43</v>
      </c>
      <c r="DC164" s="16">
        <f>IF(ISNA(VLOOKUP(A164,'Données projet'!$A$139:$I$159,5,0)),0%,VLOOKUP(A164,'Données projet'!$A$139:$I$159,5,0)*VLOOKUP('Données projet'!$B$13,Paramètres!$A$1:$I$89,7,0))</f>
        <v>0.43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251.18796852821981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251.18796852821981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404.00000000000017</v>
      </c>
      <c r="DP164" s="17">
        <f>DO164*VLOOKUP('Données projet'!$B$14,Paramètres!$A$1:$I$89,3,0)*VLOOKUP('Données projet'!$B$14,Paramètres!$A$1:$I$89,5,0)</f>
        <v>346.63200000000018</v>
      </c>
      <c r="DQ164" s="13">
        <f t="shared" si="176"/>
        <v>80.868615263336864</v>
      </c>
      <c r="DR164" s="20">
        <f t="shared" si="177"/>
        <v>744.56357158364528</v>
      </c>
      <c r="DS164" s="59">
        <f t="shared" si="125"/>
        <v>1037.8969049169787</v>
      </c>
      <c r="DT164" s="59">
        <f ca="1">AVERAGE(OFFSET($DS$3,0,0,'Données projet'!$E$14+1,1))-AVERAGE(OFFSET($H$3,0,0,'Données projet'!$E$14+1,1))</f>
        <v>352.76625414822473</v>
      </c>
      <c r="DU164" s="59">
        <f t="shared" si="152"/>
        <v>186.48649111821521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44.378486850595635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44.378486850595635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210.25641030000014</v>
      </c>
      <c r="EK164" s="17">
        <f>EJ164*VLOOKUP('Données projet'!$B$15,Paramètres!$A$1:$I$89,3,0)*VLOOKUP('Données projet'!$B$15,Paramètres!$A$1:$I$89,5,0)</f>
        <v>164.00000003400012</v>
      </c>
      <c r="EL164" s="13">
        <f t="shared" si="179"/>
        <v>41.743425916009095</v>
      </c>
      <c r="EM164" s="20">
        <f t="shared" si="180"/>
        <v>358.3364668629327</v>
      </c>
      <c r="EN164" s="59">
        <f t="shared" si="128"/>
        <v>651.66980019626601</v>
      </c>
      <c r="EO164" s="59">
        <f ca="1">AVERAGE(OFFSET($EN$3,0,0,'Données projet'!$E$15+1,1))-AVERAGE(OFFSET($H$3,0,0,'Données projet'!$E$15+1,1))</f>
        <v>130.66539383144681</v>
      </c>
      <c r="EP164" s="59">
        <f t="shared" si="154"/>
        <v>126.36398121441903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5.2222351175610306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5.2222351175610306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>
        <f>VLOOKUP(A164,'Données projet'!$A$217:$I$237,2,0)</f>
        <v>134.26</v>
      </c>
      <c r="FC164" s="12">
        <f>VLOOKUP(A164,'Données projet'!$A$217:$I$237,9,0)</f>
        <v>-0.57750000000000057</v>
      </c>
      <c r="FD164" s="12">
        <f t="array" ref="FD164">INDEX(FC:FC,MIN(IF(ISNUMBER(FC164:FC360),ROW(FC164:FC360),"")))</f>
        <v>-0.57750000000000057</v>
      </c>
      <c r="FE164" s="12">
        <f>IF('Données projet'!$A$218&gt;35,FE163+FD164-FM163,IF(A164&lt;'Données projet'!$A$218,$FB$205^A164,IF(A164='Données projet'!$A$218,'Données projet'!$B$218,FE163+FD164-FM163)))</f>
        <v>134.25999999999965</v>
      </c>
      <c r="FF164" s="17">
        <f>FE164*VLOOKUP('Données projet'!$B$16,Paramètres!$A$1:$I$89,3,0)*VLOOKUP('Données projet'!$B$16,Paramètres!$A$1:$I$89,5,0)</f>
        <v>129.85627199999965</v>
      </c>
      <c r="FG164" s="13">
        <f t="shared" si="182"/>
        <v>33.963145873614899</v>
      </c>
      <c r="FH164" s="20">
        <f t="shared" si="183"/>
        <v>285.31881946321198</v>
      </c>
      <c r="FI164" s="59">
        <f t="shared" si="131"/>
        <v>578.65215279654535</v>
      </c>
      <c r="FJ164" s="59">
        <f ca="1">AVERAGE(OFFSET($FI$3,0,0,'Données projet'!$E$16+1,1))-AVERAGE(OFFSET($H$3,0,0,'Données projet'!$E$16+1,1))</f>
        <v>380.43199889536805</v>
      </c>
      <c r="FK164" s="59">
        <f t="shared" si="156"/>
        <v>154.72646317672996</v>
      </c>
      <c r="FL164" s="15">
        <f>IF(ISNA(VLOOKUP(A164,'Données projet'!$A$217:$I$237,3,0)),0,VLOOKUP(A164,'Données projet'!$A$217:$I$237,3,0))</f>
        <v>15</v>
      </c>
      <c r="FM164" s="15">
        <f>IF(ISNA(VLOOKUP(A164,'Données projet'!$A$217:$I$237,4,0)),0,VLOOKUP(A164,'Données projet'!$A$217:$I$237,4,0))</f>
        <v>115.43</v>
      </c>
      <c r="FN164" s="16">
        <f>IF(ISNA(VLOOKUP(A164,'Données projet'!$A$217:$I$237,5,0)),0%,VLOOKUP(A164,'Données projet'!$A$217:$I$237,5,0)*VLOOKUP('Données projet'!$B$16,Paramètres!$A$1:$I$89,7,0))</f>
        <v>0.43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239.59467767307126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239.59467767307126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304</v>
      </c>
      <c r="O165" s="13">
        <f>N165*VLOOKUP('Données projet'!$B$9,Paramètres!$A$1:$I$89,3,0)*VLOOKUP('Données projet'!$B$9,Paramètres!$A$1:$I$89,5,0)</f>
        <v>189.696</v>
      </c>
      <c r="P165" s="13">
        <f t="shared" si="141"/>
        <v>47.472736505152469</v>
      </c>
      <c r="Q165" s="20">
        <f t="shared" si="162"/>
        <v>413.06888274647389</v>
      </c>
      <c r="R165" s="59">
        <f t="shared" si="109"/>
        <v>706.4022160798072</v>
      </c>
      <c r="S165" s="59">
        <f ca="1">AVERAGE(OFFSET($R$3,0,0,'Données projet'!$E$9+1,1))-AVERAGE(OFFSET($H$3,0,0,'Données projet'!$E$9+1,1))</f>
        <v>179.44051550872138</v>
      </c>
      <c r="T165" s="59">
        <f t="shared" si="142"/>
        <v>272.9500808380069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9.0066527202525588</v>
      </c>
      <c r="AA165" s="21">
        <f>EXP(-LN(2)/25)*AA164+(1-EXP(-LN(2)/25))/(LN(2)/25)*Calculateur!V165*Calculateur!X165*VLOOKUP('Données projet'!$B$9,Paramètres!$A$1:$I$89,3,0)*0.475*44/12</f>
        <v>1.2454118854081309</v>
      </c>
      <c r="AB165" s="21">
        <f>EXP(-LN(2)/2)*AB164+(1-EXP(-LN(2)/2))/(LN(2)/2)*V165*Y165*VLOOKUP('Données projet'!$B$9,Paramètres!$A$1:$I$89,3,0)*0.475*44/12</f>
        <v>2.9921987470450946E-21</v>
      </c>
      <c r="AC165" s="22">
        <f t="shared" si="163"/>
        <v>10.25206460566069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2.4999999999997442</v>
      </c>
      <c r="AJ165" s="13">
        <f>AI165*VLOOKUP('Données projet'!$B$10,Paramètres!$A$1:$I$89,3,0)*VLOOKUP('Données projet'!$B$10,Paramètres!$A$1:$I$89,5,0)</f>
        <v>1.2024999999998769</v>
      </c>
      <c r="AK165" s="13">
        <f t="shared" si="164"/>
        <v>0.54239446125464896</v>
      </c>
      <c r="AL165" s="20">
        <f t="shared" si="165"/>
        <v>3.0390245200182986</v>
      </c>
      <c r="AM165" s="59">
        <f t="shared" si="113"/>
        <v>296.37235785335162</v>
      </c>
      <c r="AN165" s="59">
        <f ca="1">AVERAGE(OFFSET($AM$3,0,0,'Données projet'!$E$10+1,1))-AVERAGE(OFFSET($H$3,0,0,'Données projet'!$E$10+1,1))</f>
        <v>174.18188687702559</v>
      </c>
      <c r="AO165" s="59">
        <f t="shared" si="144"/>
        <v>32.17353897322738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93.496622269526142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93.496622269526142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0.8600000000003547</v>
      </c>
      <c r="BE165" s="13">
        <f>BD165*VLOOKUP('Données projet'!$B$11,Paramètres!$A$1:$I$89,3,0)*VLOOKUP('Données projet'!$B$11,Paramètres!$A$1:$I$89,5,0)</f>
        <v>0.48074000000019829</v>
      </c>
      <c r="BF165" s="13">
        <f t="shared" si="167"/>
        <v>0.24126147010950588</v>
      </c>
      <c r="BG165" s="20">
        <f t="shared" si="168"/>
        <v>1.2574858937744013</v>
      </c>
      <c r="BH165" s="59">
        <f t="shared" si="116"/>
        <v>294.59081922710772</v>
      </c>
      <c r="BI165" s="59">
        <f ca="1">AVERAGE(OFFSET($BH$3,0,0,'Données projet'!$E$11+1,1))-AVERAGE(OFFSET($H$3,0,0,'Données projet'!$E$11+1,1))</f>
        <v>350.01600895263641</v>
      </c>
      <c r="BJ165" s="59">
        <f t="shared" si="146"/>
        <v>464.08921044376882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44.668956824860828</v>
      </c>
      <c r="BQ165" s="21">
        <f>EXP(-LN(2)/25)*BQ164+(1-EXP(-LN(2)/25))/(LN(2)/25)*Calculateur!BL165*Calculateur!BN165*VLOOKUP('Données projet'!$B$11,Paramètres!$A$1:$I$89,3,0)*0.475*44/12</f>
        <v>1.3015639053833934</v>
      </c>
      <c r="BR165" s="21">
        <f>EXP(-LN(2)/2)*BR164+(1-EXP(-LN(2)/2))/(LN(2)/2)*BL165*BO165*VLOOKUP('Données projet'!$B$11,Paramètres!$A$1:$I$89,3,0)*0.475*44/12</f>
        <v>1.0027793063456559E-20</v>
      </c>
      <c r="BS165" s="22">
        <f t="shared" si="169"/>
        <v>45.970520730244225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253.79640000000001</v>
      </c>
      <c r="CA165" s="13">
        <f t="shared" si="170"/>
        <v>61.39816832228076</v>
      </c>
      <c r="CB165" s="20">
        <f t="shared" si="171"/>
        <v>548.96387316130563</v>
      </c>
      <c r="CC165" s="59">
        <f t="shared" si="119"/>
        <v>842.29720649463889</v>
      </c>
      <c r="CD165" s="59">
        <f ca="1">AVERAGE(OFFSET($CC$3,0,0,'Données projet'!$E$12+1,1))-AVERAGE(OFFSET($H$3,0,0,'Données projet'!$E$12+1,1))</f>
        <v>279.49721661620544</v>
      </c>
      <c r="CE165" s="59">
        <f t="shared" si="148"/>
        <v>275.18739333988754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10.480499691810227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10.480499691810227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18.829999999999643</v>
      </c>
      <c r="CU165" s="17">
        <f>CT165*VLOOKUP('Données projet'!$B$13,Paramètres!$A$1:$I$89,3,0)*VLOOKUP('Données projet'!$B$13,Paramètres!$A$1:$I$89,5,0)</f>
        <v>19.093619999999639</v>
      </c>
      <c r="CV165" s="13">
        <f t="shared" si="173"/>
        <v>6.2423044268988592</v>
      </c>
      <c r="CW165" s="20">
        <f t="shared" si="174"/>
        <v>44.126735043514884</v>
      </c>
      <c r="CX165" s="59">
        <f t="shared" si="122"/>
        <v>337.4600683768482</v>
      </c>
      <c r="CY165" s="59">
        <f ca="1">AVERAGE(OFFSET($CX$3,0,0,'Données projet'!$E$13+1,1))-AVERAGE(OFFSET($H$3,0,0,'Données projet'!$E$13+1,1))</f>
        <v>402.54350692668021</v>
      </c>
      <c r="CZ165" s="59">
        <f t="shared" si="150"/>
        <v>163.60655196884522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246.26232567491405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246.26232567491405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404.00000000000017</v>
      </c>
      <c r="DP165" s="17">
        <f>DO165*VLOOKUP('Données projet'!$B$14,Paramètres!$A$1:$I$89,3,0)*VLOOKUP('Données projet'!$B$14,Paramètres!$A$1:$I$89,5,0)</f>
        <v>346.63200000000018</v>
      </c>
      <c r="DQ165" s="13">
        <f t="shared" si="176"/>
        <v>80.868615263336864</v>
      </c>
      <c r="DR165" s="20">
        <f t="shared" si="177"/>
        <v>744.56357158364528</v>
      </c>
      <c r="DS165" s="59">
        <f t="shared" si="125"/>
        <v>1037.8969049169787</v>
      </c>
      <c r="DT165" s="59">
        <f ca="1">AVERAGE(OFFSET($DS$3,0,0,'Données projet'!$E$14+1,1))-AVERAGE(OFFSET($H$3,0,0,'Données projet'!$E$14+1,1))</f>
        <v>352.76625414822473</v>
      </c>
      <c r="DU165" s="59">
        <f t="shared" si="152"/>
        <v>186.48649111821521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43.508251791659667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43.508251791659667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210.25641030000014</v>
      </c>
      <c r="EK165" s="17">
        <f>EJ165*VLOOKUP('Données projet'!$B$15,Paramètres!$A$1:$I$89,3,0)*VLOOKUP('Données projet'!$B$15,Paramètres!$A$1:$I$89,5,0)</f>
        <v>164.00000003400012</v>
      </c>
      <c r="EL165" s="13">
        <f t="shared" si="179"/>
        <v>41.743425916009095</v>
      </c>
      <c r="EM165" s="20">
        <f t="shared" si="180"/>
        <v>358.3364668629327</v>
      </c>
      <c r="EN165" s="59">
        <f t="shared" si="128"/>
        <v>651.66980019626601</v>
      </c>
      <c r="EO165" s="59">
        <f ca="1">AVERAGE(OFFSET($EN$3,0,0,'Données projet'!$E$15+1,1))-AVERAGE(OFFSET($H$3,0,0,'Données projet'!$E$15+1,1))</f>
        <v>130.66539383144681</v>
      </c>
      <c r="EP165" s="59">
        <f t="shared" si="154"/>
        <v>126.36398121441903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5.1198302721545632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5.1198302721545632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18.829999999999643</v>
      </c>
      <c r="FF165" s="17">
        <f>FE165*VLOOKUP('Données projet'!$B$16,Paramètres!$A$1:$I$89,3,0)*VLOOKUP('Données projet'!$B$16,Paramètres!$A$1:$I$89,5,0)</f>
        <v>18.212375999999654</v>
      </c>
      <c r="FG165" s="13">
        <f t="shared" si="182"/>
        <v>5.9870377924133553</v>
      </c>
      <c r="FH165" s="20">
        <f t="shared" si="183"/>
        <v>42.147312355119332</v>
      </c>
      <c r="FI165" s="59">
        <f t="shared" si="131"/>
        <v>335.48064568845263</v>
      </c>
      <c r="FJ165" s="59">
        <f ca="1">AVERAGE(OFFSET($FI$3,0,0,'Données projet'!$E$16+1,1))-AVERAGE(OFFSET($H$3,0,0,'Données projet'!$E$16+1,1))</f>
        <v>380.43199889536805</v>
      </c>
      <c r="FK165" s="59">
        <f t="shared" si="156"/>
        <v>154.72646317672996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234.89637218222575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234.89637218222575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304</v>
      </c>
      <c r="O166" s="13">
        <f>N166*VLOOKUP('Données projet'!$B$9,Paramètres!$A$1:$I$89,3,0)*VLOOKUP('Données projet'!$B$9,Paramètres!$A$1:$I$89,5,0)</f>
        <v>189.696</v>
      </c>
      <c r="P166" s="13">
        <f t="shared" si="141"/>
        <v>47.472736505152469</v>
      </c>
      <c r="Q166" s="20">
        <f t="shared" si="162"/>
        <v>413.06888274647389</v>
      </c>
      <c r="R166" s="59">
        <f t="shared" si="109"/>
        <v>706.4022160798072</v>
      </c>
      <c r="S166" s="59">
        <f ca="1">AVERAGE(OFFSET($R$3,0,0,'Données projet'!$E$9+1,1))-AVERAGE(OFFSET($H$3,0,0,'Données projet'!$E$9+1,1))</f>
        <v>179.44051550872138</v>
      </c>
      <c r="T166" s="59">
        <f t="shared" si="142"/>
        <v>272.9500808380069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8.8300377539241257</v>
      </c>
      <c r="AA166" s="21">
        <f>EXP(-LN(2)/25)*AA165+(1-EXP(-LN(2)/25))/(LN(2)/25)*Calculateur!V166*Calculateur!X166*VLOOKUP('Données projet'!$B$9,Paramètres!$A$1:$I$89,3,0)*0.475*44/12</f>
        <v>1.2113560319082808</v>
      </c>
      <c r="AB166" s="21">
        <f>EXP(-LN(2)/2)*AB165+(1-EXP(-LN(2)/2))/(LN(2)/2)*V166*Y166*VLOOKUP('Données projet'!$B$9,Paramètres!$A$1:$I$89,3,0)*0.475*44/12</f>
        <v>2.1158040246934773E-21</v>
      </c>
      <c r="AC166" s="22">
        <f t="shared" si="163"/>
        <v>10.041393785832406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2.4999999999997442</v>
      </c>
      <c r="AJ166" s="13">
        <f>AI166*VLOOKUP('Données projet'!$B$10,Paramètres!$A$1:$I$89,3,0)*VLOOKUP('Données projet'!$B$10,Paramètres!$A$1:$I$89,5,0)</f>
        <v>1.2024999999998769</v>
      </c>
      <c r="AK166" s="13">
        <f t="shared" si="164"/>
        <v>0.54239446125464896</v>
      </c>
      <c r="AL166" s="20">
        <f t="shared" si="165"/>
        <v>3.0390245200182986</v>
      </c>
      <c r="AM166" s="59">
        <f t="shared" si="113"/>
        <v>296.37235785335162</v>
      </c>
      <c r="AN166" s="59">
        <f ca="1">AVERAGE(OFFSET($AM$3,0,0,'Données projet'!$E$10+1,1))-AVERAGE(OFFSET($H$3,0,0,'Données projet'!$E$10+1,1))</f>
        <v>174.18188687702559</v>
      </c>
      <c r="AO166" s="59">
        <f t="shared" si="144"/>
        <v>32.17353897322738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91.663210534129334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91.663210534129334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0.8600000000003547</v>
      </c>
      <c r="BE166" s="13">
        <f>BD166*VLOOKUP('Données projet'!$B$11,Paramètres!$A$1:$I$89,3,0)*VLOOKUP('Données projet'!$B$11,Paramètres!$A$1:$I$89,5,0)</f>
        <v>0.48074000000019829</v>
      </c>
      <c r="BF166" s="13">
        <f t="shared" si="167"/>
        <v>0.24126147010950588</v>
      </c>
      <c r="BG166" s="20">
        <f t="shared" si="168"/>
        <v>1.2574858937744013</v>
      </c>
      <c r="BH166" s="59">
        <f t="shared" si="116"/>
        <v>294.59081922710772</v>
      </c>
      <c r="BI166" s="59">
        <f ca="1">AVERAGE(OFFSET($BH$3,0,0,'Données projet'!$E$11+1,1))-AVERAGE(OFFSET($H$3,0,0,'Données projet'!$E$11+1,1))</f>
        <v>350.01600895263641</v>
      </c>
      <c r="BJ166" s="59">
        <f t="shared" si="146"/>
        <v>464.08921044376882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43.793025826898713</v>
      </c>
      <c r="BQ166" s="21">
        <f>EXP(-LN(2)/25)*BQ165+(1-EXP(-LN(2)/25))/(LN(2)/25)*Calculateur!BL166*Calculateur!BN166*VLOOKUP('Données projet'!$B$11,Paramètres!$A$1:$I$89,3,0)*0.475*44/12</f>
        <v>1.2659725719444135</v>
      </c>
      <c r="BR166" s="21">
        <f>EXP(-LN(2)/2)*BR165+(1-EXP(-LN(2)/2))/(LN(2)/2)*BL166*BO166*VLOOKUP('Données projet'!$B$11,Paramètres!$A$1:$I$89,3,0)*0.475*44/12</f>
        <v>7.0907204755055561E-21</v>
      </c>
      <c r="BS166" s="22">
        <f t="shared" si="169"/>
        <v>45.05899839884313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253.79640000000001</v>
      </c>
      <c r="CA166" s="13">
        <f t="shared" si="170"/>
        <v>61.39816832228076</v>
      </c>
      <c r="CB166" s="20">
        <f t="shared" si="171"/>
        <v>548.96387316130563</v>
      </c>
      <c r="CC166" s="59">
        <f t="shared" si="119"/>
        <v>842.29720649463889</v>
      </c>
      <c r="CD166" s="59">
        <f ca="1">AVERAGE(OFFSET($CC$3,0,0,'Données projet'!$E$12+1,1))-AVERAGE(OFFSET($H$3,0,0,'Données projet'!$E$12+1,1))</f>
        <v>279.49721661620544</v>
      </c>
      <c r="CE166" s="59">
        <f t="shared" si="148"/>
        <v>275.18739333988754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10.274983485327436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10.274983485327436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18.829999999999643</v>
      </c>
      <c r="CU166" s="17">
        <f>CT166*VLOOKUP('Données projet'!$B$13,Paramètres!$A$1:$I$89,3,0)*VLOOKUP('Données projet'!$B$13,Paramètres!$A$1:$I$89,5,0)</f>
        <v>19.093619999999639</v>
      </c>
      <c r="CV166" s="13">
        <f t="shared" si="173"/>
        <v>6.2423044268988592</v>
      </c>
      <c r="CW166" s="20">
        <f t="shared" si="174"/>
        <v>44.126735043514884</v>
      </c>
      <c r="CX166" s="59">
        <f t="shared" si="122"/>
        <v>337.4600683768482</v>
      </c>
      <c r="CY166" s="59">
        <f ca="1">AVERAGE(OFFSET($CX$3,0,0,'Données projet'!$E$13+1,1))-AVERAGE(OFFSET($H$3,0,0,'Données projet'!$E$13+1,1))</f>
        <v>402.54350692668021</v>
      </c>
      <c r="CZ166" s="59">
        <f t="shared" si="150"/>
        <v>163.60655196884522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241.43327167361613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241.43327167361613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404.00000000000017</v>
      </c>
      <c r="DP166" s="17">
        <f>DO166*VLOOKUP('Données projet'!$B$14,Paramètres!$A$1:$I$89,3,0)*VLOOKUP('Données projet'!$B$14,Paramètres!$A$1:$I$89,5,0)</f>
        <v>346.63200000000018</v>
      </c>
      <c r="DQ166" s="13">
        <f t="shared" si="176"/>
        <v>80.868615263336864</v>
      </c>
      <c r="DR166" s="20">
        <f t="shared" si="177"/>
        <v>744.56357158364528</v>
      </c>
      <c r="DS166" s="59">
        <f t="shared" si="125"/>
        <v>1037.8969049169787</v>
      </c>
      <c r="DT166" s="59">
        <f ca="1">AVERAGE(OFFSET($DS$3,0,0,'Données projet'!$E$14+1,1))-AVERAGE(OFFSET($H$3,0,0,'Données projet'!$E$14+1,1))</f>
        <v>352.76625414822473</v>
      </c>
      <c r="DU166" s="59">
        <f t="shared" si="152"/>
        <v>186.48649111821521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42.65508151143846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42.65508151143846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210.25641030000014</v>
      </c>
      <c r="EK166" s="17">
        <f>EJ166*VLOOKUP('Données projet'!$B$15,Paramètres!$A$1:$I$89,3,0)*VLOOKUP('Données projet'!$B$15,Paramètres!$A$1:$I$89,5,0)</f>
        <v>164.00000003400012</v>
      </c>
      <c r="EL166" s="13">
        <f t="shared" si="179"/>
        <v>41.743425916009095</v>
      </c>
      <c r="EM166" s="20">
        <f t="shared" si="180"/>
        <v>358.3364668629327</v>
      </c>
      <c r="EN166" s="59">
        <f t="shared" si="128"/>
        <v>651.66980019626601</v>
      </c>
      <c r="EO166" s="59">
        <f ca="1">AVERAGE(OFFSET($EN$3,0,0,'Données projet'!$E$15+1,1))-AVERAGE(OFFSET($H$3,0,0,'Données projet'!$E$15+1,1))</f>
        <v>130.66539383144681</v>
      </c>
      <c r="EP166" s="59">
        <f t="shared" si="154"/>
        <v>126.36398121441903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5.0194335233057288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5.0194335233057288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18.829999999999643</v>
      </c>
      <c r="FF166" s="17">
        <f>FE166*VLOOKUP('Données projet'!$B$16,Paramètres!$A$1:$I$89,3,0)*VLOOKUP('Données projet'!$B$16,Paramètres!$A$1:$I$89,5,0)</f>
        <v>18.212375999999654</v>
      </c>
      <c r="FG166" s="13">
        <f t="shared" si="182"/>
        <v>5.9870377924133553</v>
      </c>
      <c r="FH166" s="20">
        <f t="shared" si="183"/>
        <v>42.147312355119332</v>
      </c>
      <c r="FI166" s="59">
        <f t="shared" si="131"/>
        <v>335.48064568845263</v>
      </c>
      <c r="FJ166" s="59">
        <f ca="1">AVERAGE(OFFSET($FI$3,0,0,'Données projet'!$E$16+1,1))-AVERAGE(OFFSET($H$3,0,0,'Données projet'!$E$16+1,1))</f>
        <v>380.43199889536805</v>
      </c>
      <c r="FK166" s="59">
        <f t="shared" si="156"/>
        <v>154.72646317672996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230.29019759637234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230.29019759637234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304</v>
      </c>
      <c r="O167" s="13">
        <f>N167*VLOOKUP('Données projet'!$B$9,Paramètres!$A$1:$I$89,3,0)*VLOOKUP('Données projet'!$B$9,Paramètres!$A$1:$I$89,5,0)</f>
        <v>189.696</v>
      </c>
      <c r="P167" s="13">
        <f t="shared" si="141"/>
        <v>47.472736505152469</v>
      </c>
      <c r="Q167" s="20">
        <f t="shared" si="162"/>
        <v>413.06888274647389</v>
      </c>
      <c r="R167" s="59">
        <f t="shared" si="109"/>
        <v>706.4022160798072</v>
      </c>
      <c r="S167" s="59">
        <f ca="1">AVERAGE(OFFSET($R$3,0,0,'Données projet'!$E$9+1,1))-AVERAGE(OFFSET($H$3,0,0,'Données projet'!$E$9+1,1))</f>
        <v>179.44051550872138</v>
      </c>
      <c r="T167" s="59">
        <f t="shared" si="142"/>
        <v>272.9500808380069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8.6568860993609</v>
      </c>
      <c r="AA167" s="21">
        <f>EXP(-LN(2)/25)*AA166+(1-EXP(-LN(2)/25))/(LN(2)/25)*Calculateur!V167*Calculateur!X167*VLOOKUP('Données projet'!$B$9,Paramètres!$A$1:$I$89,3,0)*0.475*44/12</f>
        <v>1.1782314375133036</v>
      </c>
      <c r="AB167" s="21">
        <f>EXP(-LN(2)/2)*AB166+(1-EXP(-LN(2)/2))/(LN(2)/2)*V167*Y167*VLOOKUP('Données projet'!$B$9,Paramètres!$A$1:$I$89,3,0)*0.475*44/12</f>
        <v>1.4960993735225473E-21</v>
      </c>
      <c r="AC167" s="22">
        <f t="shared" si="163"/>
        <v>9.8351175368742041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2.4999999999997442</v>
      </c>
      <c r="AJ167" s="13">
        <f>AI167*VLOOKUP('Données projet'!$B$10,Paramètres!$A$1:$I$89,3,0)*VLOOKUP('Données projet'!$B$10,Paramètres!$A$1:$I$89,5,0)</f>
        <v>1.2024999999998769</v>
      </c>
      <c r="AK167" s="13">
        <f t="shared" si="164"/>
        <v>0.54239446125464896</v>
      </c>
      <c r="AL167" s="20">
        <f t="shared" si="165"/>
        <v>3.0390245200182986</v>
      </c>
      <c r="AM167" s="59">
        <f t="shared" si="113"/>
        <v>296.37235785335162</v>
      </c>
      <c r="AN167" s="59">
        <f ca="1">AVERAGE(OFFSET($AM$3,0,0,'Données projet'!$E$10+1,1))-AVERAGE(OFFSET($H$3,0,0,'Données projet'!$E$10+1,1))</f>
        <v>174.18188687702559</v>
      </c>
      <c r="AO167" s="59">
        <f t="shared" si="144"/>
        <v>32.17353897322738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89.865750884592927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89.865750884592927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0.8600000000003547</v>
      </c>
      <c r="BE167" s="13">
        <f>BD167*VLOOKUP('Données projet'!$B$11,Paramètres!$A$1:$I$89,3,0)*VLOOKUP('Données projet'!$B$11,Paramètres!$A$1:$I$89,5,0)</f>
        <v>0.48074000000019829</v>
      </c>
      <c r="BF167" s="13">
        <f t="shared" si="167"/>
        <v>0.24126147010950588</v>
      </c>
      <c r="BG167" s="20">
        <f t="shared" si="168"/>
        <v>1.2574858937744013</v>
      </c>
      <c r="BH167" s="59">
        <f t="shared" si="116"/>
        <v>294.59081922710772</v>
      </c>
      <c r="BI167" s="59">
        <f ca="1">AVERAGE(OFFSET($BH$3,0,0,'Données projet'!$E$11+1,1))-AVERAGE(OFFSET($H$3,0,0,'Données projet'!$E$11+1,1))</f>
        <v>350.01600895263641</v>
      </c>
      <c r="BJ167" s="59">
        <f t="shared" si="146"/>
        <v>464.08921044376882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42.934271301541479</v>
      </c>
      <c r="BQ167" s="21">
        <f>EXP(-LN(2)/25)*BQ166+(1-EXP(-LN(2)/25))/(LN(2)/25)*Calculateur!BL167*Calculateur!BN167*VLOOKUP('Données projet'!$B$11,Paramètres!$A$1:$I$89,3,0)*0.475*44/12</f>
        <v>1.2313544853899894</v>
      </c>
      <c r="BR167" s="21">
        <f>EXP(-LN(2)/2)*BR166+(1-EXP(-LN(2)/2))/(LN(2)/2)*BL167*BO167*VLOOKUP('Données projet'!$B$11,Paramètres!$A$1:$I$89,3,0)*0.475*44/12</f>
        <v>5.0138965317282796E-21</v>
      </c>
      <c r="BS167" s="22">
        <f t="shared" si="169"/>
        <v>44.165625786931471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253.79640000000001</v>
      </c>
      <c r="CA167" s="13">
        <f t="shared" si="170"/>
        <v>61.39816832228076</v>
      </c>
      <c r="CB167" s="20">
        <f t="shared" si="171"/>
        <v>548.96387316130563</v>
      </c>
      <c r="CC167" s="59">
        <f t="shared" si="119"/>
        <v>842.29720649463889</v>
      </c>
      <c r="CD167" s="59">
        <f ca="1">AVERAGE(OFFSET($CC$3,0,0,'Données projet'!$E$12+1,1))-AVERAGE(OFFSET($H$3,0,0,'Données projet'!$E$12+1,1))</f>
        <v>279.49721661620544</v>
      </c>
      <c r="CE167" s="59">
        <f t="shared" si="148"/>
        <v>275.18739333988754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10.073497326301265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10.073497326301265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18.829999999999643</v>
      </c>
      <c r="CU167" s="17">
        <f>CT167*VLOOKUP('Données projet'!$B$13,Paramètres!$A$1:$I$89,3,0)*VLOOKUP('Données projet'!$B$13,Paramètres!$A$1:$I$89,5,0)</f>
        <v>19.093619999999639</v>
      </c>
      <c r="CV167" s="13">
        <f t="shared" si="173"/>
        <v>6.2423044268988592</v>
      </c>
      <c r="CW167" s="20">
        <f t="shared" si="174"/>
        <v>44.126735043514884</v>
      </c>
      <c r="CX167" s="59">
        <f t="shared" si="122"/>
        <v>337.4600683768482</v>
      </c>
      <c r="CY167" s="59">
        <f ca="1">AVERAGE(OFFSET($CX$3,0,0,'Données projet'!$E$13+1,1))-AVERAGE(OFFSET($H$3,0,0,'Données projet'!$E$13+1,1))</f>
        <v>402.54350692668021</v>
      </c>
      <c r="CZ167" s="59">
        <f t="shared" si="150"/>
        <v>163.60655196884522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236.69891247585156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236.69891247585156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404.00000000000017</v>
      </c>
      <c r="DP167" s="17">
        <f>DO167*VLOOKUP('Données projet'!$B$14,Paramètres!$A$1:$I$89,3,0)*VLOOKUP('Données projet'!$B$14,Paramètres!$A$1:$I$89,5,0)</f>
        <v>346.63200000000018</v>
      </c>
      <c r="DQ167" s="13">
        <f t="shared" si="176"/>
        <v>80.868615263336864</v>
      </c>
      <c r="DR167" s="20">
        <f t="shared" si="177"/>
        <v>744.56357158364528</v>
      </c>
      <c r="DS167" s="59">
        <f t="shared" si="125"/>
        <v>1037.8969049169787</v>
      </c>
      <c r="DT167" s="59">
        <f ca="1">AVERAGE(OFFSET($DS$3,0,0,'Données projet'!$E$14+1,1))-AVERAGE(OFFSET($H$3,0,0,'Données projet'!$E$14+1,1))</f>
        <v>352.76625414822473</v>
      </c>
      <c r="DU167" s="59">
        <f t="shared" si="152"/>
        <v>186.48649111821521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41.818641380029909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41.818641380029909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210.25641030000014</v>
      </c>
      <c r="EK167" s="17">
        <f>EJ167*VLOOKUP('Données projet'!$B$15,Paramètres!$A$1:$I$89,3,0)*VLOOKUP('Données projet'!$B$15,Paramètres!$A$1:$I$89,5,0)</f>
        <v>164.00000003400012</v>
      </c>
      <c r="EL167" s="13">
        <f t="shared" si="179"/>
        <v>41.743425916009095</v>
      </c>
      <c r="EM167" s="20">
        <f t="shared" si="180"/>
        <v>358.3364668629327</v>
      </c>
      <c r="EN167" s="59">
        <f t="shared" si="128"/>
        <v>651.66980019626601</v>
      </c>
      <c r="EO167" s="59">
        <f ca="1">AVERAGE(OFFSET($EN$3,0,0,'Données projet'!$E$15+1,1))-AVERAGE(OFFSET($H$3,0,0,'Données projet'!$E$15+1,1))</f>
        <v>130.66539383144681</v>
      </c>
      <c r="EP167" s="59">
        <f t="shared" si="154"/>
        <v>126.36398121441903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4.9210054934658496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4.9210054934658496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18.829999999999643</v>
      </c>
      <c r="FF167" s="17">
        <f>FE167*VLOOKUP('Données projet'!$B$16,Paramètres!$A$1:$I$89,3,0)*VLOOKUP('Données projet'!$B$16,Paramètres!$A$1:$I$89,5,0)</f>
        <v>18.212375999999654</v>
      </c>
      <c r="FG167" s="13">
        <f t="shared" si="182"/>
        <v>5.9870377924133553</v>
      </c>
      <c r="FH167" s="20">
        <f t="shared" si="183"/>
        <v>42.147312355119332</v>
      </c>
      <c r="FI167" s="59">
        <f t="shared" si="131"/>
        <v>335.48064568845263</v>
      </c>
      <c r="FJ167" s="59">
        <f ca="1">AVERAGE(OFFSET($FI$3,0,0,'Données projet'!$E$16+1,1))-AVERAGE(OFFSET($H$3,0,0,'Données projet'!$E$16+1,1))</f>
        <v>380.43199889536805</v>
      </c>
      <c r="FK167" s="59">
        <f t="shared" si="156"/>
        <v>154.72646317672996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225.77434728465843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225.77434728465843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304</v>
      </c>
      <c r="O168" s="13">
        <f>N168*VLOOKUP('Données projet'!$B$9,Paramètres!$A$1:$I$89,3,0)*VLOOKUP('Données projet'!$B$9,Paramètres!$A$1:$I$89,5,0)</f>
        <v>189.696</v>
      </c>
      <c r="P168" s="13">
        <f t="shared" si="141"/>
        <v>47.472736505152469</v>
      </c>
      <c r="Q168" s="20">
        <f t="shared" si="162"/>
        <v>413.06888274647389</v>
      </c>
      <c r="R168" s="59">
        <f t="shared" si="109"/>
        <v>706.4022160798072</v>
      </c>
      <c r="S168" s="59">
        <f ca="1">AVERAGE(OFFSET($R$3,0,0,'Données projet'!$E$9+1,1))-AVERAGE(OFFSET($H$3,0,0,'Données projet'!$E$9+1,1))</f>
        <v>179.44051550872138</v>
      </c>
      <c r="T168" s="59">
        <f t="shared" si="142"/>
        <v>272.9500808380069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8.4871298431315783</v>
      </c>
      <c r="AA168" s="21">
        <f>EXP(-LN(2)/25)*AA167+(1-EXP(-LN(2)/25))/(LN(2)/25)*Calculateur!V168*Calculateur!X168*VLOOKUP('Données projet'!$B$9,Paramètres!$A$1:$I$89,3,0)*0.475*44/12</f>
        <v>1.146012636894004</v>
      </c>
      <c r="AB168" s="21">
        <f>EXP(-LN(2)/2)*AB167+(1-EXP(-LN(2)/2))/(LN(2)/2)*V168*Y168*VLOOKUP('Données projet'!$B$9,Paramètres!$A$1:$I$89,3,0)*0.475*44/12</f>
        <v>1.0579020123467387E-21</v>
      </c>
      <c r="AC168" s="22">
        <f t="shared" si="163"/>
        <v>9.6331424800255832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2.4999999999997442</v>
      </c>
      <c r="AJ168" s="13">
        <f>AI168*VLOOKUP('Données projet'!$B$10,Paramètres!$A$1:$I$89,3,0)*VLOOKUP('Données projet'!$B$10,Paramètres!$A$1:$I$89,5,0)</f>
        <v>1.2024999999998769</v>
      </c>
      <c r="AK168" s="13">
        <f t="shared" si="164"/>
        <v>0.54239446125464896</v>
      </c>
      <c r="AL168" s="20">
        <f t="shared" si="165"/>
        <v>3.0390245200182986</v>
      </c>
      <c r="AM168" s="59">
        <f t="shared" si="113"/>
        <v>296.37235785335162</v>
      </c>
      <c r="AN168" s="59">
        <f ca="1">AVERAGE(OFFSET($AM$3,0,0,'Données projet'!$E$10+1,1))-AVERAGE(OFFSET($H$3,0,0,'Données projet'!$E$10+1,1))</f>
        <v>174.18188687702559</v>
      </c>
      <c r="AO168" s="59">
        <f t="shared" si="144"/>
        <v>32.17353897322738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88.103538322441793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88.103538322441793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0.8600000000003547</v>
      </c>
      <c r="BE168" s="13">
        <f>BD168*VLOOKUP('Données projet'!$B$11,Paramètres!$A$1:$I$89,3,0)*VLOOKUP('Données projet'!$B$11,Paramètres!$A$1:$I$89,5,0)</f>
        <v>0.48074000000019829</v>
      </c>
      <c r="BF168" s="13">
        <f t="shared" si="167"/>
        <v>0.24126147010950588</v>
      </c>
      <c r="BG168" s="20">
        <f t="shared" si="168"/>
        <v>1.2574858937744013</v>
      </c>
      <c r="BH168" s="59">
        <f t="shared" si="116"/>
        <v>294.59081922710772</v>
      </c>
      <c r="BI168" s="59">
        <f ca="1">AVERAGE(OFFSET($BH$3,0,0,'Données projet'!$E$11+1,1))-AVERAGE(OFFSET($H$3,0,0,'Données projet'!$E$11+1,1))</f>
        <v>350.01600895263641</v>
      </c>
      <c r="BJ168" s="59">
        <f t="shared" si="146"/>
        <v>464.08921044376882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42.092356428637963</v>
      </c>
      <c r="BQ168" s="21">
        <f>EXP(-LN(2)/25)*BQ167+(1-EXP(-LN(2)/25))/(LN(2)/25)*Calculateur!BL168*Calculateur!BN168*VLOOKUP('Données projet'!$B$11,Paramètres!$A$1:$I$89,3,0)*0.475*44/12</f>
        <v>1.197683032232882</v>
      </c>
      <c r="BR168" s="21">
        <f>EXP(-LN(2)/2)*BR167+(1-EXP(-LN(2)/2))/(LN(2)/2)*BL168*BO168*VLOOKUP('Données projet'!$B$11,Paramètres!$A$1:$I$89,3,0)*0.475*44/12</f>
        <v>3.5453602377527781E-21</v>
      </c>
      <c r="BS168" s="22">
        <f t="shared" si="169"/>
        <v>43.290039460870844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253.79640000000001</v>
      </c>
      <c r="CA168" s="13">
        <f t="shared" si="170"/>
        <v>61.39816832228076</v>
      </c>
      <c r="CB168" s="20">
        <f t="shared" si="171"/>
        <v>548.96387316130563</v>
      </c>
      <c r="CC168" s="59">
        <f t="shared" si="119"/>
        <v>842.29720649463889</v>
      </c>
      <c r="CD168" s="59">
        <f ca="1">AVERAGE(OFFSET($CC$3,0,0,'Données projet'!$E$12+1,1))-AVERAGE(OFFSET($H$3,0,0,'Données projet'!$E$12+1,1))</f>
        <v>279.49721661620544</v>
      </c>
      <c r="CE168" s="59">
        <f t="shared" si="148"/>
        <v>275.18739333988754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9.8759621879591748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9.8759621879591748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18.829999999999643</v>
      </c>
      <c r="CU168" s="17">
        <f>CT168*VLOOKUP('Données projet'!$B$13,Paramètres!$A$1:$I$89,3,0)*VLOOKUP('Données projet'!$B$13,Paramètres!$A$1:$I$89,5,0)</f>
        <v>19.093619999999639</v>
      </c>
      <c r="CV168" s="13">
        <f t="shared" si="173"/>
        <v>6.2423044268988592</v>
      </c>
      <c r="CW168" s="20">
        <f t="shared" si="174"/>
        <v>44.126735043514884</v>
      </c>
      <c r="CX168" s="59">
        <f t="shared" si="122"/>
        <v>337.4600683768482</v>
      </c>
      <c r="CY168" s="59">
        <f ca="1">AVERAGE(OFFSET($CX$3,0,0,'Données projet'!$E$13+1,1))-AVERAGE(OFFSET($H$3,0,0,'Données projet'!$E$13+1,1))</f>
        <v>402.54350692668021</v>
      </c>
      <c r="CZ168" s="59">
        <f t="shared" si="150"/>
        <v>163.60655196884522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232.05739117428115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232.05739117428115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404.00000000000017</v>
      </c>
      <c r="DP168" s="17">
        <f>DO168*VLOOKUP('Données projet'!$B$14,Paramètres!$A$1:$I$89,3,0)*VLOOKUP('Données projet'!$B$14,Paramètres!$A$1:$I$89,5,0)</f>
        <v>346.63200000000018</v>
      </c>
      <c r="DQ168" s="13">
        <f t="shared" si="176"/>
        <v>80.868615263336864</v>
      </c>
      <c r="DR168" s="20">
        <f t="shared" si="177"/>
        <v>744.56357158364528</v>
      </c>
      <c r="DS168" s="59">
        <f t="shared" si="125"/>
        <v>1037.8969049169787</v>
      </c>
      <c r="DT168" s="59">
        <f ca="1">AVERAGE(OFFSET($DS$3,0,0,'Données projet'!$E$14+1,1))-AVERAGE(OFFSET($H$3,0,0,'Données projet'!$E$14+1,1))</f>
        <v>352.76625414822473</v>
      </c>
      <c r="DU168" s="59">
        <f t="shared" si="152"/>
        <v>186.48649111821521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40.99860332942017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40.99860332942017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210.25641030000014</v>
      </c>
      <c r="EK168" s="17">
        <f>EJ168*VLOOKUP('Données projet'!$B$15,Paramètres!$A$1:$I$89,3,0)*VLOOKUP('Données projet'!$B$15,Paramètres!$A$1:$I$89,5,0)</f>
        <v>164.00000003400012</v>
      </c>
      <c r="EL168" s="13">
        <f t="shared" si="179"/>
        <v>41.743425916009095</v>
      </c>
      <c r="EM168" s="20">
        <f t="shared" si="180"/>
        <v>358.3364668629327</v>
      </c>
      <c r="EN168" s="59">
        <f t="shared" si="128"/>
        <v>651.66980019626601</v>
      </c>
      <c r="EO168" s="59">
        <f ca="1">AVERAGE(OFFSET($EN$3,0,0,'Données projet'!$E$15+1,1))-AVERAGE(OFFSET($H$3,0,0,'Données projet'!$E$15+1,1))</f>
        <v>130.66539383144681</v>
      </c>
      <c r="EP168" s="59">
        <f t="shared" si="154"/>
        <v>126.36398121441903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4.82450757725596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4.82450757725596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18.829999999999643</v>
      </c>
      <c r="FF168" s="17">
        <f>FE168*VLOOKUP('Données projet'!$B$16,Paramètres!$A$1:$I$89,3,0)*VLOOKUP('Données projet'!$B$16,Paramètres!$A$1:$I$89,5,0)</f>
        <v>18.212375999999654</v>
      </c>
      <c r="FG168" s="13">
        <f t="shared" si="182"/>
        <v>5.9870377924133553</v>
      </c>
      <c r="FH168" s="20">
        <f t="shared" si="183"/>
        <v>42.147312355119332</v>
      </c>
      <c r="FI168" s="59">
        <f t="shared" si="131"/>
        <v>335.48064568845263</v>
      </c>
      <c r="FJ168" s="59">
        <f ca="1">AVERAGE(OFFSET($FI$3,0,0,'Données projet'!$E$16+1,1))-AVERAGE(OFFSET($H$3,0,0,'Données projet'!$E$16+1,1))</f>
        <v>380.43199889536805</v>
      </c>
      <c r="FK168" s="59">
        <f t="shared" si="156"/>
        <v>154.72646317672996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221.34705004316052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221.34705004316052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304</v>
      </c>
      <c r="O169" s="13">
        <f>N169*VLOOKUP('Données projet'!$B$9,Paramètres!$A$1:$I$89,3,0)*VLOOKUP('Données projet'!$B$9,Paramètres!$A$1:$I$89,5,0)</f>
        <v>189.696</v>
      </c>
      <c r="P169" s="13">
        <f t="shared" si="141"/>
        <v>47.472736505152469</v>
      </c>
      <c r="Q169" s="20">
        <f t="shared" si="162"/>
        <v>413.06888274647389</v>
      </c>
      <c r="R169" s="59">
        <f t="shared" si="109"/>
        <v>706.4022160798072</v>
      </c>
      <c r="S169" s="59">
        <f ca="1">AVERAGE(OFFSET($R$3,0,0,'Données projet'!$E$9+1,1))-AVERAGE(OFFSET($H$3,0,0,'Données projet'!$E$9+1,1))</f>
        <v>179.44051550872138</v>
      </c>
      <c r="T169" s="59">
        <f t="shared" si="142"/>
        <v>272.9500808380069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8.3207024035458215</v>
      </c>
      <c r="AA169" s="21">
        <f>EXP(-LN(2)/25)*AA168+(1-EXP(-LN(2)/25))/(LN(2)/25)*Calculateur!V169*Calculateur!X169*VLOOKUP('Données projet'!$B$9,Paramètres!$A$1:$I$89,3,0)*0.475*44/12</f>
        <v>1.1146748610719521</v>
      </c>
      <c r="AB169" s="21">
        <f>EXP(-LN(2)/2)*AB168+(1-EXP(-LN(2)/2))/(LN(2)/2)*V169*Y169*VLOOKUP('Données projet'!$B$9,Paramètres!$A$1:$I$89,3,0)*0.475*44/12</f>
        <v>7.4804968676127364E-22</v>
      </c>
      <c r="AC169" s="22">
        <f t="shared" si="163"/>
        <v>9.4353772646177738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2.4999999999997442</v>
      </c>
      <c r="AJ169" s="13">
        <f>AI169*VLOOKUP('Données projet'!$B$10,Paramètres!$A$1:$I$89,3,0)*VLOOKUP('Données projet'!$B$10,Paramètres!$A$1:$I$89,5,0)</f>
        <v>1.2024999999998769</v>
      </c>
      <c r="AK169" s="13">
        <f t="shared" si="164"/>
        <v>0.54239446125464896</v>
      </c>
      <c r="AL169" s="20">
        <f t="shared" si="165"/>
        <v>3.0390245200182986</v>
      </c>
      <c r="AM169" s="59">
        <f t="shared" si="113"/>
        <v>296.37235785335162</v>
      </c>
      <c r="AN169" s="59">
        <f ca="1">AVERAGE(OFFSET($AM$3,0,0,'Données projet'!$E$10+1,1))-AVERAGE(OFFSET($H$3,0,0,'Données projet'!$E$10+1,1))</f>
        <v>174.18188687702559</v>
      </c>
      <c r="AO169" s="59">
        <f t="shared" si="144"/>
        <v>32.17353897322738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86.375881673790914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86.375881673790914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0.8600000000003547</v>
      </c>
      <c r="BE169" s="13">
        <f>BD169*VLOOKUP('Données projet'!$B$11,Paramètres!$A$1:$I$89,3,0)*VLOOKUP('Données projet'!$B$11,Paramètres!$A$1:$I$89,5,0)</f>
        <v>0.48074000000019829</v>
      </c>
      <c r="BF169" s="13">
        <f t="shared" si="167"/>
        <v>0.24126147010950588</v>
      </c>
      <c r="BG169" s="20">
        <f t="shared" si="168"/>
        <v>1.2574858937744013</v>
      </c>
      <c r="BH169" s="59">
        <f t="shared" si="116"/>
        <v>294.59081922710772</v>
      </c>
      <c r="BI169" s="59">
        <f ca="1">AVERAGE(OFFSET($BH$3,0,0,'Données projet'!$E$11+1,1))-AVERAGE(OFFSET($H$3,0,0,'Données projet'!$E$11+1,1))</f>
        <v>350.01600895263641</v>
      </c>
      <c r="BJ169" s="59">
        <f t="shared" si="146"/>
        <v>464.08921044376882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41.266950992874719</v>
      </c>
      <c r="BQ169" s="21">
        <f>EXP(-LN(2)/25)*BQ168+(1-EXP(-LN(2)/25))/(LN(2)/25)*Calculateur!BL169*Calculateur!BN169*VLOOKUP('Données projet'!$B$11,Paramètres!$A$1:$I$89,3,0)*0.475*44/12</f>
        <v>1.1649323267330605</v>
      </c>
      <c r="BR169" s="21">
        <f>EXP(-LN(2)/2)*BR168+(1-EXP(-LN(2)/2))/(LN(2)/2)*BL169*BO169*VLOOKUP('Données projet'!$B$11,Paramètres!$A$1:$I$89,3,0)*0.475*44/12</f>
        <v>2.5069482658641398E-21</v>
      </c>
      <c r="BS169" s="22">
        <f t="shared" si="169"/>
        <v>42.431883319607778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253.79640000000001</v>
      </c>
      <c r="CA169" s="13">
        <f t="shared" si="170"/>
        <v>61.39816832228076</v>
      </c>
      <c r="CB169" s="20">
        <f t="shared" si="171"/>
        <v>548.96387316130563</v>
      </c>
      <c r="CC169" s="59">
        <f t="shared" si="119"/>
        <v>842.29720649463889</v>
      </c>
      <c r="CD169" s="59">
        <f ca="1">AVERAGE(OFFSET($CC$3,0,0,'Données projet'!$E$12+1,1))-AVERAGE(OFFSET($H$3,0,0,'Données projet'!$E$12+1,1))</f>
        <v>279.49721661620544</v>
      </c>
      <c r="CE169" s="59">
        <f t="shared" si="148"/>
        <v>275.18739333988754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9.6823005931954356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9.6823005931954356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18.829999999999643</v>
      </c>
      <c r="CU169" s="17">
        <f>CT169*VLOOKUP('Données projet'!$B$13,Paramètres!$A$1:$I$89,3,0)*VLOOKUP('Données projet'!$B$13,Paramètres!$A$1:$I$89,5,0)</f>
        <v>19.093619999999639</v>
      </c>
      <c r="CV169" s="13">
        <f t="shared" si="173"/>
        <v>6.2423044268988592</v>
      </c>
      <c r="CW169" s="20">
        <f t="shared" si="174"/>
        <v>44.126735043514884</v>
      </c>
      <c r="CX169" s="59">
        <f t="shared" si="122"/>
        <v>337.4600683768482</v>
      </c>
      <c r="CY169" s="59">
        <f ca="1">AVERAGE(OFFSET($CX$3,0,0,'Données projet'!$E$13+1,1))-AVERAGE(OFFSET($H$3,0,0,'Données projet'!$E$13+1,1))</f>
        <v>402.54350692668021</v>
      </c>
      <c r="CZ169" s="59">
        <f t="shared" si="150"/>
        <v>163.60655196884522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227.50688727438609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227.50688727438609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404.00000000000017</v>
      </c>
      <c r="DP169" s="17">
        <f>DO169*VLOOKUP('Données projet'!$B$14,Paramètres!$A$1:$I$89,3,0)*VLOOKUP('Données projet'!$B$14,Paramètres!$A$1:$I$89,5,0)</f>
        <v>346.63200000000018</v>
      </c>
      <c r="DQ169" s="13">
        <f t="shared" si="176"/>
        <v>80.868615263336864</v>
      </c>
      <c r="DR169" s="20">
        <f t="shared" si="177"/>
        <v>744.56357158364528</v>
      </c>
      <c r="DS169" s="59">
        <f t="shared" si="125"/>
        <v>1037.8969049169787</v>
      </c>
      <c r="DT169" s="59">
        <f ca="1">AVERAGE(OFFSET($DS$3,0,0,'Données projet'!$E$14+1,1))-AVERAGE(OFFSET($H$3,0,0,'Données projet'!$E$14+1,1))</f>
        <v>352.76625414822473</v>
      </c>
      <c r="DU169" s="59">
        <f t="shared" si="152"/>
        <v>186.48649111821521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40.194645724809064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40.194645724809064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210.25641030000014</v>
      </c>
      <c r="EK169" s="17">
        <f>EJ169*VLOOKUP('Données projet'!$B$15,Paramètres!$A$1:$I$89,3,0)*VLOOKUP('Données projet'!$B$15,Paramètres!$A$1:$I$89,5,0)</f>
        <v>164.00000003400012</v>
      </c>
      <c r="EL169" s="13">
        <f t="shared" si="179"/>
        <v>41.743425916009095</v>
      </c>
      <c r="EM169" s="20">
        <f t="shared" si="180"/>
        <v>358.3364668629327</v>
      </c>
      <c r="EN169" s="59">
        <f t="shared" si="128"/>
        <v>651.66980019626601</v>
      </c>
      <c r="EO169" s="59">
        <f ca="1">AVERAGE(OFFSET($EN$3,0,0,'Données projet'!$E$15+1,1))-AVERAGE(OFFSET($H$3,0,0,'Données projet'!$E$15+1,1))</f>
        <v>130.66539383144681</v>
      </c>
      <c r="EP169" s="59">
        <f t="shared" si="154"/>
        <v>126.36398121441903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4.729901926325029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4.729901926325029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18.829999999999643</v>
      </c>
      <c r="FF169" s="17">
        <f>FE169*VLOOKUP('Données projet'!$B$16,Paramètres!$A$1:$I$89,3,0)*VLOOKUP('Données projet'!$B$16,Paramètres!$A$1:$I$89,5,0)</f>
        <v>18.212375999999654</v>
      </c>
      <c r="FG169" s="13">
        <f t="shared" si="182"/>
        <v>5.9870377924133553</v>
      </c>
      <c r="FH169" s="20">
        <f t="shared" si="183"/>
        <v>42.147312355119332</v>
      </c>
      <c r="FI169" s="59">
        <f t="shared" si="131"/>
        <v>335.48064568845263</v>
      </c>
      <c r="FJ169" s="59">
        <f ca="1">AVERAGE(OFFSET($FI$3,0,0,'Données projet'!$E$16+1,1))-AVERAGE(OFFSET($H$3,0,0,'Données projet'!$E$16+1,1))</f>
        <v>380.43199889536805</v>
      </c>
      <c r="FK169" s="59">
        <f t="shared" si="156"/>
        <v>154.72646317672996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217.00656940018371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217.00656940018371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304</v>
      </c>
      <c r="O170" s="13">
        <f>N170*VLOOKUP('Données projet'!$B$9,Paramètres!$A$1:$I$89,3,0)*VLOOKUP('Données projet'!$B$9,Paramètres!$A$1:$I$89,5,0)</f>
        <v>189.696</v>
      </c>
      <c r="P170" s="13">
        <f t="shared" si="141"/>
        <v>47.472736505152469</v>
      </c>
      <c r="Q170" s="20">
        <f t="shared" si="162"/>
        <v>413.06888274647389</v>
      </c>
      <c r="R170" s="59">
        <f t="shared" si="109"/>
        <v>706.4022160798072</v>
      </c>
      <c r="S170" s="59">
        <f ca="1">AVERAGE(OFFSET($R$3,0,0,'Données projet'!$E$9+1,1))-AVERAGE(OFFSET($H$3,0,0,'Données projet'!$E$9+1,1))</f>
        <v>179.44051550872138</v>
      </c>
      <c r="T170" s="59">
        <f t="shared" si="142"/>
        <v>272.9500808380069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8.1575385045396267</v>
      </c>
      <c r="AA170" s="21">
        <f>EXP(-LN(2)/25)*AA169+(1-EXP(-LN(2)/25))/(LN(2)/25)*Calculateur!V170*Calculateur!X170*VLOOKUP('Données projet'!$B$9,Paramètres!$A$1:$I$89,3,0)*0.475*44/12</f>
        <v>1.0841940183777363</v>
      </c>
      <c r="AB170" s="21">
        <f>EXP(-LN(2)/2)*AB169+(1-EXP(-LN(2)/2))/(LN(2)/2)*V170*Y170*VLOOKUP('Données projet'!$B$9,Paramètres!$A$1:$I$89,3,0)*0.475*44/12</f>
        <v>5.2895100617336933E-22</v>
      </c>
      <c r="AC170" s="22">
        <f t="shared" si="163"/>
        <v>9.2417325229173635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2.4999999999997442</v>
      </c>
      <c r="AJ170" s="13">
        <f>AI170*VLOOKUP('Données projet'!$B$10,Paramètres!$A$1:$I$89,3,0)*VLOOKUP('Données projet'!$B$10,Paramètres!$A$1:$I$89,5,0)</f>
        <v>1.2024999999998769</v>
      </c>
      <c r="AK170" s="13">
        <f t="shared" si="164"/>
        <v>0.54239446125464896</v>
      </c>
      <c r="AL170" s="20">
        <f t="shared" si="165"/>
        <v>3.0390245200182986</v>
      </c>
      <c r="AM170" s="59">
        <f t="shared" si="113"/>
        <v>296.37235785335162</v>
      </c>
      <c r="AN170" s="59">
        <f ca="1">AVERAGE(OFFSET($AM$3,0,0,'Données projet'!$E$10+1,1))-AVERAGE(OFFSET($H$3,0,0,'Données projet'!$E$10+1,1))</f>
        <v>174.18188687702559</v>
      </c>
      <c r="AO170" s="59">
        <f t="shared" si="144"/>
        <v>32.17353897322738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84.682103318253567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84.682103318253567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0.8600000000003547</v>
      </c>
      <c r="BE170" s="13">
        <f>BD170*VLOOKUP('Données projet'!$B$11,Paramètres!$A$1:$I$89,3,0)*VLOOKUP('Données projet'!$B$11,Paramètres!$A$1:$I$89,5,0)</f>
        <v>0.48074000000019829</v>
      </c>
      <c r="BF170" s="13">
        <f t="shared" si="167"/>
        <v>0.24126147010950588</v>
      </c>
      <c r="BG170" s="20">
        <f t="shared" si="168"/>
        <v>1.2574858937744013</v>
      </c>
      <c r="BH170" s="59">
        <f t="shared" si="116"/>
        <v>294.59081922710772</v>
      </c>
      <c r="BI170" s="59">
        <f ca="1">AVERAGE(OFFSET($BH$3,0,0,'Données projet'!$E$11+1,1))-AVERAGE(OFFSET($H$3,0,0,'Données projet'!$E$11+1,1))</f>
        <v>350.01600895263641</v>
      </c>
      <c r="BJ170" s="59">
        <f t="shared" si="146"/>
        <v>464.08921044376882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40.457731254259187</v>
      </c>
      <c r="BQ170" s="21">
        <f>EXP(-LN(2)/25)*BQ169+(1-EXP(-LN(2)/25))/(LN(2)/25)*Calculateur!BL170*Calculateur!BN170*VLOOKUP('Données projet'!$B$11,Paramètres!$A$1:$I$89,3,0)*0.475*44/12</f>
        <v>1.1330771909974164</v>
      </c>
      <c r="BR170" s="21">
        <f>EXP(-LN(2)/2)*BR169+(1-EXP(-LN(2)/2))/(LN(2)/2)*BL170*BO170*VLOOKUP('Données projet'!$B$11,Paramètres!$A$1:$I$89,3,0)*0.475*44/12</f>
        <v>1.772680118876389E-21</v>
      </c>
      <c r="BS170" s="22">
        <f t="shared" si="169"/>
        <v>41.590808445256606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253.79640000000001</v>
      </c>
      <c r="CA170" s="13">
        <f t="shared" si="170"/>
        <v>61.39816832228076</v>
      </c>
      <c r="CB170" s="20">
        <f t="shared" si="171"/>
        <v>548.96387316130563</v>
      </c>
      <c r="CC170" s="59">
        <f t="shared" si="119"/>
        <v>842.29720649463889</v>
      </c>
      <c r="CD170" s="59">
        <f ca="1">AVERAGE(OFFSET($CC$3,0,0,'Données projet'!$E$12+1,1))-AVERAGE(OFFSET($H$3,0,0,'Données projet'!$E$12+1,1))</f>
        <v>279.49721661620544</v>
      </c>
      <c r="CE170" s="59">
        <f t="shared" si="148"/>
        <v>275.18739333988754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9.4924365841831033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9.4924365841831033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18.829999999999643</v>
      </c>
      <c r="CU170" s="17">
        <f>CT170*VLOOKUP('Données projet'!$B$13,Paramètres!$A$1:$I$89,3,0)*VLOOKUP('Données projet'!$B$13,Paramètres!$A$1:$I$89,5,0)</f>
        <v>19.093619999999639</v>
      </c>
      <c r="CV170" s="13">
        <f t="shared" si="173"/>
        <v>6.2423044268988592</v>
      </c>
      <c r="CW170" s="20">
        <f t="shared" si="174"/>
        <v>44.126735043514884</v>
      </c>
      <c r="CX170" s="59">
        <f t="shared" si="122"/>
        <v>337.4600683768482</v>
      </c>
      <c r="CY170" s="59">
        <f ca="1">AVERAGE(OFFSET($CX$3,0,0,'Données projet'!$E$13+1,1))-AVERAGE(OFFSET($H$3,0,0,'Données projet'!$E$13+1,1))</f>
        <v>402.54350692668021</v>
      </c>
      <c r="CZ170" s="59">
        <f t="shared" si="150"/>
        <v>163.60655196884522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223.04561598043466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223.04561598043466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404.00000000000017</v>
      </c>
      <c r="DP170" s="17">
        <f>DO170*VLOOKUP('Données projet'!$B$14,Paramètres!$A$1:$I$89,3,0)*VLOOKUP('Données projet'!$B$14,Paramètres!$A$1:$I$89,5,0)</f>
        <v>346.63200000000018</v>
      </c>
      <c r="DQ170" s="13">
        <f t="shared" si="176"/>
        <v>80.868615263336864</v>
      </c>
      <c r="DR170" s="20">
        <f t="shared" si="177"/>
        <v>744.56357158364528</v>
      </c>
      <c r="DS170" s="59">
        <f t="shared" si="125"/>
        <v>1037.8969049169787</v>
      </c>
      <c r="DT170" s="59">
        <f ca="1">AVERAGE(OFFSET($DS$3,0,0,'Données projet'!$E$14+1,1))-AVERAGE(OFFSET($H$3,0,0,'Données projet'!$E$14+1,1))</f>
        <v>352.76625414822473</v>
      </c>
      <c r="DU170" s="59">
        <f t="shared" si="152"/>
        <v>186.48649111821521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39.406453238458667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39.406453238458667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210.25641030000014</v>
      </c>
      <c r="EK170" s="17">
        <f>EJ170*VLOOKUP('Données projet'!$B$15,Paramètres!$A$1:$I$89,3,0)*VLOOKUP('Données projet'!$B$15,Paramètres!$A$1:$I$89,5,0)</f>
        <v>164.00000003400012</v>
      </c>
      <c r="EL170" s="13">
        <f t="shared" si="179"/>
        <v>41.743425916009095</v>
      </c>
      <c r="EM170" s="20">
        <f t="shared" si="180"/>
        <v>358.3364668629327</v>
      </c>
      <c r="EN170" s="59">
        <f t="shared" si="128"/>
        <v>651.66980019626601</v>
      </c>
      <c r="EO170" s="59">
        <f ca="1">AVERAGE(OFFSET($EN$3,0,0,'Données projet'!$E$15+1,1))-AVERAGE(OFFSET($H$3,0,0,'Données projet'!$E$15+1,1))</f>
        <v>130.66539383144681</v>
      </c>
      <c r="EP170" s="59">
        <f t="shared" si="154"/>
        <v>126.36398121441903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4.637151434505105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4.637151434505105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18.829999999999643</v>
      </c>
      <c r="FF170" s="17">
        <f>FE170*VLOOKUP('Données projet'!$B$16,Paramètres!$A$1:$I$89,3,0)*VLOOKUP('Données projet'!$B$16,Paramètres!$A$1:$I$89,5,0)</f>
        <v>18.212375999999654</v>
      </c>
      <c r="FG170" s="13">
        <f t="shared" si="182"/>
        <v>5.9870377924133553</v>
      </c>
      <c r="FH170" s="20">
        <f t="shared" si="183"/>
        <v>42.147312355119332</v>
      </c>
      <c r="FI170" s="59">
        <f t="shared" si="131"/>
        <v>335.48064568845263</v>
      </c>
      <c r="FJ170" s="59">
        <f ca="1">AVERAGE(OFFSET($FI$3,0,0,'Données projet'!$E$16+1,1))-AVERAGE(OFFSET($H$3,0,0,'Données projet'!$E$16+1,1))</f>
        <v>380.43199889536805</v>
      </c>
      <c r="FK170" s="59">
        <f t="shared" si="156"/>
        <v>154.72646317672996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212.75120293518387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212.75120293518387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304</v>
      </c>
      <c r="O171" s="13">
        <f>N171*VLOOKUP('Données projet'!$B$9,Paramètres!$A$1:$I$89,3,0)*VLOOKUP('Données projet'!$B$9,Paramètres!$A$1:$I$89,5,0)</f>
        <v>189.696</v>
      </c>
      <c r="P171" s="13">
        <f t="shared" si="141"/>
        <v>47.472736505152469</v>
      </c>
      <c r="Q171" s="20">
        <f t="shared" si="162"/>
        <v>413.06888274647389</v>
      </c>
      <c r="R171" s="59">
        <f t="shared" si="109"/>
        <v>706.4022160798072</v>
      </c>
      <c r="S171" s="59">
        <f ca="1">AVERAGE(OFFSET($R$3,0,0,'Données projet'!$E$9+1,1))-AVERAGE(OFFSET($H$3,0,0,'Données projet'!$E$9+1,1))</f>
        <v>179.44051550872138</v>
      </c>
      <c r="T171" s="59">
        <f t="shared" si="142"/>
        <v>272.9500808380069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7.9975741500727917</v>
      </c>
      <c r="AA171" s="21">
        <f>EXP(-LN(2)/25)*AA170+(1-EXP(-LN(2)/25))/(LN(2)/25)*Calculateur!V171*Calculateur!X171*VLOOKUP('Données projet'!$B$9,Paramètres!$A$1:$I$89,3,0)*0.475*44/12</f>
        <v>1.0545466759299116</v>
      </c>
      <c r="AB171" s="21">
        <f>EXP(-LN(2)/2)*AB170+(1-EXP(-LN(2)/2))/(LN(2)/2)*V171*Y171*VLOOKUP('Données projet'!$B$9,Paramètres!$A$1:$I$89,3,0)*0.475*44/12</f>
        <v>3.7402484338063682E-22</v>
      </c>
      <c r="AC171" s="22">
        <f t="shared" si="163"/>
        <v>9.0521208260027031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2.4999999999997442</v>
      </c>
      <c r="AJ171" s="13">
        <f>AI171*VLOOKUP('Données projet'!$B$10,Paramètres!$A$1:$I$89,3,0)*VLOOKUP('Données projet'!$B$10,Paramètres!$A$1:$I$89,5,0)</f>
        <v>1.2024999999998769</v>
      </c>
      <c r="AK171" s="13">
        <f t="shared" si="164"/>
        <v>0.54239446125464896</v>
      </c>
      <c r="AL171" s="20">
        <f t="shared" si="165"/>
        <v>3.0390245200182986</v>
      </c>
      <c r="AM171" s="59">
        <f t="shared" si="113"/>
        <v>296.37235785335162</v>
      </c>
      <c r="AN171" s="59">
        <f ca="1">AVERAGE(OFFSET($AM$3,0,0,'Données projet'!$E$10+1,1))-AVERAGE(OFFSET($H$3,0,0,'Données projet'!$E$10+1,1))</f>
        <v>174.18188687702559</v>
      </c>
      <c r="AO171" s="59">
        <f t="shared" si="144"/>
        <v>32.17353897322738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83.021538923165522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83.021538923165522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0.8600000000003547</v>
      </c>
      <c r="BE171" s="13">
        <f>BD171*VLOOKUP('Données projet'!$B$11,Paramètres!$A$1:$I$89,3,0)*VLOOKUP('Données projet'!$B$11,Paramètres!$A$1:$I$89,5,0)</f>
        <v>0.48074000000019829</v>
      </c>
      <c r="BF171" s="13">
        <f t="shared" si="167"/>
        <v>0.24126147010950588</v>
      </c>
      <c r="BG171" s="20">
        <f t="shared" si="168"/>
        <v>1.2574858937744013</v>
      </c>
      <c r="BH171" s="59">
        <f t="shared" si="116"/>
        <v>294.59081922710772</v>
      </c>
      <c r="BI171" s="59">
        <f ca="1">AVERAGE(OFFSET($BH$3,0,0,'Données projet'!$E$11+1,1))-AVERAGE(OFFSET($H$3,0,0,'Données projet'!$E$11+1,1))</f>
        <v>350.01600895263641</v>
      </c>
      <c r="BJ171" s="59">
        <f t="shared" si="146"/>
        <v>464.08921044376882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39.664379821142603</v>
      </c>
      <c r="BQ171" s="21">
        <f>EXP(-LN(2)/25)*BQ170+(1-EXP(-LN(2)/25))/(LN(2)/25)*Calculateur!BL171*Calculateur!BN171*VLOOKUP('Données projet'!$B$11,Paramètres!$A$1:$I$89,3,0)*0.475*44/12</f>
        <v>1.1020931356236523</v>
      </c>
      <c r="BR171" s="21">
        <f>EXP(-LN(2)/2)*BR170+(1-EXP(-LN(2)/2))/(LN(2)/2)*BL171*BO171*VLOOKUP('Données projet'!$B$11,Paramètres!$A$1:$I$89,3,0)*0.475*44/12</f>
        <v>1.2534741329320699E-21</v>
      </c>
      <c r="BS171" s="22">
        <f t="shared" si="169"/>
        <v>40.766472956766258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253.79640000000001</v>
      </c>
      <c r="CA171" s="13">
        <f t="shared" si="170"/>
        <v>61.39816832228076</v>
      </c>
      <c r="CB171" s="20">
        <f t="shared" si="171"/>
        <v>548.96387316130563</v>
      </c>
      <c r="CC171" s="59">
        <f t="shared" si="119"/>
        <v>842.29720649463889</v>
      </c>
      <c r="CD171" s="59">
        <f ca="1">AVERAGE(OFFSET($CC$3,0,0,'Données projet'!$E$12+1,1))-AVERAGE(OFFSET($H$3,0,0,'Données projet'!$E$12+1,1))</f>
        <v>279.49721661620544</v>
      </c>
      <c r="CE171" s="59">
        <f t="shared" si="148"/>
        <v>275.18739333988754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9.3062956925818927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9.3062956925818927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18.829999999999643</v>
      </c>
      <c r="CU171" s="17">
        <f>CT171*VLOOKUP('Données projet'!$B$13,Paramètres!$A$1:$I$89,3,0)*VLOOKUP('Données projet'!$B$13,Paramètres!$A$1:$I$89,5,0)</f>
        <v>19.093619999999639</v>
      </c>
      <c r="CV171" s="13">
        <f t="shared" si="173"/>
        <v>6.2423044268988592</v>
      </c>
      <c r="CW171" s="20">
        <f t="shared" si="174"/>
        <v>44.126735043514884</v>
      </c>
      <c r="CX171" s="59">
        <f t="shared" si="122"/>
        <v>337.4600683768482</v>
      </c>
      <c r="CY171" s="59">
        <f ca="1">AVERAGE(OFFSET($CX$3,0,0,'Données projet'!$E$13+1,1))-AVERAGE(OFFSET($H$3,0,0,'Données projet'!$E$13+1,1))</f>
        <v>402.54350692668021</v>
      </c>
      <c r="CZ171" s="59">
        <f t="shared" si="150"/>
        <v>163.60655196884522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218.67182749545083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218.67182749545083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404.00000000000017</v>
      </c>
      <c r="DP171" s="17">
        <f>DO171*VLOOKUP('Données projet'!$B$14,Paramètres!$A$1:$I$89,3,0)*VLOOKUP('Données projet'!$B$14,Paramètres!$A$1:$I$89,5,0)</f>
        <v>346.63200000000018</v>
      </c>
      <c r="DQ171" s="13">
        <f t="shared" si="176"/>
        <v>80.868615263336864</v>
      </c>
      <c r="DR171" s="20">
        <f t="shared" si="177"/>
        <v>744.56357158364528</v>
      </c>
      <c r="DS171" s="59">
        <f t="shared" si="125"/>
        <v>1037.8969049169787</v>
      </c>
      <c r="DT171" s="59">
        <f ca="1">AVERAGE(OFFSET($DS$3,0,0,'Données projet'!$E$14+1,1))-AVERAGE(OFFSET($H$3,0,0,'Données projet'!$E$14+1,1))</f>
        <v>352.76625414822473</v>
      </c>
      <c r="DU171" s="59">
        <f t="shared" si="152"/>
        <v>186.48649111821521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38.633716726015656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38.633716726015656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210.25641030000014</v>
      </c>
      <c r="EK171" s="17">
        <f>EJ171*VLOOKUP('Données projet'!$B$15,Paramètres!$A$1:$I$89,3,0)*VLOOKUP('Données projet'!$B$15,Paramètres!$A$1:$I$89,5,0)</f>
        <v>164.00000003400012</v>
      </c>
      <c r="EL171" s="13">
        <f t="shared" si="179"/>
        <v>41.743425916009095</v>
      </c>
      <c r="EM171" s="20">
        <f t="shared" si="180"/>
        <v>358.3364668629327</v>
      </c>
      <c r="EN171" s="59">
        <f t="shared" si="128"/>
        <v>651.66980019626601</v>
      </c>
      <c r="EO171" s="59">
        <f ca="1">AVERAGE(OFFSET($EN$3,0,0,'Données projet'!$E$15+1,1))-AVERAGE(OFFSET($H$3,0,0,'Données projet'!$E$15+1,1))</f>
        <v>130.66539383144681</v>
      </c>
      <c r="EP171" s="59">
        <f t="shared" si="154"/>
        <v>126.36398121441903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4.546219723257555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4.546219723257555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18.829999999999643</v>
      </c>
      <c r="FF171" s="17">
        <f>FE171*VLOOKUP('Données projet'!$B$16,Paramètres!$A$1:$I$89,3,0)*VLOOKUP('Données projet'!$B$16,Paramètres!$A$1:$I$89,5,0)</f>
        <v>18.212375999999654</v>
      </c>
      <c r="FG171" s="13">
        <f t="shared" si="182"/>
        <v>5.9870377924133553</v>
      </c>
      <c r="FH171" s="20">
        <f t="shared" si="183"/>
        <v>42.147312355119332</v>
      </c>
      <c r="FI171" s="59">
        <f t="shared" si="131"/>
        <v>335.48064568845263</v>
      </c>
      <c r="FJ171" s="59">
        <f ca="1">AVERAGE(OFFSET($FI$3,0,0,'Données projet'!$E$16+1,1))-AVERAGE(OFFSET($H$3,0,0,'Données projet'!$E$16+1,1))</f>
        <v>380.43199889536805</v>
      </c>
      <c r="FK171" s="59">
        <f t="shared" si="156"/>
        <v>154.72646317672996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208.57928161104545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208.57928161104545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304</v>
      </c>
      <c r="O172" s="13">
        <f>N172*VLOOKUP('Données projet'!$B$9,Paramètres!$A$1:$I$89,3,0)*VLOOKUP('Données projet'!$B$9,Paramètres!$A$1:$I$89,5,0)</f>
        <v>189.696</v>
      </c>
      <c r="P172" s="13">
        <f t="shared" si="141"/>
        <v>47.472736505152469</v>
      </c>
      <c r="Q172" s="20">
        <f t="shared" si="162"/>
        <v>413.06888274647389</v>
      </c>
      <c r="R172" s="59">
        <f t="shared" si="109"/>
        <v>706.4022160798072</v>
      </c>
      <c r="S172" s="59">
        <f ca="1">AVERAGE(OFFSET($R$3,0,0,'Données projet'!$E$9+1,1))-AVERAGE(OFFSET($H$3,0,0,'Données projet'!$E$9+1,1))</f>
        <v>179.44051550872138</v>
      </c>
      <c r="T172" s="59">
        <f t="shared" si="142"/>
        <v>272.9500808380069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7.8407465990284297</v>
      </c>
      <c r="AA172" s="21">
        <f>EXP(-LN(2)/25)*AA171+(1-EXP(-LN(2)/25))/(LN(2)/25)*Calculateur!V172*Calculateur!X172*VLOOKUP('Données projet'!$B$9,Paramètres!$A$1:$I$89,3,0)*0.475*44/12</f>
        <v>1.0257100416204086</v>
      </c>
      <c r="AB172" s="21">
        <f>EXP(-LN(2)/2)*AB171+(1-EXP(-LN(2)/2))/(LN(2)/2)*V172*Y172*VLOOKUP('Données projet'!$B$9,Paramètres!$A$1:$I$89,3,0)*0.475*44/12</f>
        <v>2.6447550308668466E-22</v>
      </c>
      <c r="AC172" s="22">
        <f t="shared" si="163"/>
        <v>8.8664566406488383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2.4999999999997442</v>
      </c>
      <c r="AJ172" s="13">
        <f>AI172*VLOOKUP('Données projet'!$B$10,Paramètres!$A$1:$I$89,3,0)*VLOOKUP('Données projet'!$B$10,Paramètres!$A$1:$I$89,5,0)</f>
        <v>1.2024999999998769</v>
      </c>
      <c r="AK172" s="13">
        <f t="shared" si="164"/>
        <v>0.54239446125464896</v>
      </c>
      <c r="AL172" s="20">
        <f t="shared" si="165"/>
        <v>3.0390245200182986</v>
      </c>
      <c r="AM172" s="59">
        <f t="shared" si="113"/>
        <v>296.37235785335162</v>
      </c>
      <c r="AN172" s="59">
        <f ca="1">AVERAGE(OFFSET($AM$3,0,0,'Données projet'!$E$10+1,1))-AVERAGE(OFFSET($H$3,0,0,'Données projet'!$E$10+1,1))</f>
        <v>174.18188687702559</v>
      </c>
      <c r="AO172" s="59">
        <f t="shared" si="144"/>
        <v>32.17353897322738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81.393537183020882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81.393537183020882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0.8600000000003547</v>
      </c>
      <c r="BE172" s="13">
        <f>BD172*VLOOKUP('Données projet'!$B$11,Paramètres!$A$1:$I$89,3,0)*VLOOKUP('Données projet'!$B$11,Paramètres!$A$1:$I$89,5,0)</f>
        <v>0.48074000000019829</v>
      </c>
      <c r="BF172" s="13">
        <f t="shared" si="167"/>
        <v>0.24126147010950588</v>
      </c>
      <c r="BG172" s="20">
        <f t="shared" si="168"/>
        <v>1.2574858937744013</v>
      </c>
      <c r="BH172" s="59">
        <f t="shared" si="116"/>
        <v>294.59081922710772</v>
      </c>
      <c r="BI172" s="59">
        <f ca="1">AVERAGE(OFFSET($BH$3,0,0,'Données projet'!$E$11+1,1))-AVERAGE(OFFSET($H$3,0,0,'Données projet'!$E$11+1,1))</f>
        <v>350.01600895263641</v>
      </c>
      <c r="BJ172" s="59">
        <f t="shared" si="146"/>
        <v>464.08921044376882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38.886585525732841</v>
      </c>
      <c r="BQ172" s="21">
        <f>EXP(-LN(2)/25)*BQ171+(1-EXP(-LN(2)/25))/(LN(2)/25)*Calculateur!BL172*Calculateur!BN172*VLOOKUP('Données projet'!$B$11,Paramètres!$A$1:$I$89,3,0)*0.475*44/12</f>
        <v>1.0719563408734645</v>
      </c>
      <c r="BR172" s="21">
        <f>EXP(-LN(2)/2)*BR171+(1-EXP(-LN(2)/2))/(LN(2)/2)*BL172*BO172*VLOOKUP('Données projet'!$B$11,Paramètres!$A$1:$I$89,3,0)*0.475*44/12</f>
        <v>8.8634005943819451E-22</v>
      </c>
      <c r="BS172" s="22">
        <f t="shared" si="169"/>
        <v>39.958541866606303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253.79640000000001</v>
      </c>
      <c r="CA172" s="13">
        <f t="shared" si="170"/>
        <v>61.39816832228076</v>
      </c>
      <c r="CB172" s="20">
        <f t="shared" si="171"/>
        <v>548.96387316130563</v>
      </c>
      <c r="CC172" s="59">
        <f t="shared" si="119"/>
        <v>842.29720649463889</v>
      </c>
      <c r="CD172" s="59">
        <f ca="1">AVERAGE(OFFSET($CC$3,0,0,'Données projet'!$E$12+1,1))-AVERAGE(OFFSET($H$3,0,0,'Données projet'!$E$12+1,1))</f>
        <v>279.49721661620544</v>
      </c>
      <c r="CE172" s="59">
        <f t="shared" si="148"/>
        <v>275.18739333988754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9.1238049103302483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9.1238049103302483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18.829999999999643</v>
      </c>
      <c r="CU172" s="17">
        <f>CT172*VLOOKUP('Données projet'!$B$13,Paramètres!$A$1:$I$89,3,0)*VLOOKUP('Données projet'!$B$13,Paramètres!$A$1:$I$89,5,0)</f>
        <v>19.093619999999639</v>
      </c>
      <c r="CV172" s="13">
        <f t="shared" si="173"/>
        <v>6.2423044268988592</v>
      </c>
      <c r="CW172" s="20">
        <f t="shared" si="174"/>
        <v>44.126735043514884</v>
      </c>
      <c r="CX172" s="59">
        <f t="shared" si="122"/>
        <v>337.4600683768482</v>
      </c>
      <c r="CY172" s="59">
        <f ca="1">AVERAGE(OFFSET($CX$3,0,0,'Données projet'!$E$13+1,1))-AVERAGE(OFFSET($H$3,0,0,'Données projet'!$E$13+1,1))</f>
        <v>402.54350692668021</v>
      </c>
      <c r="CZ172" s="59">
        <f t="shared" si="150"/>
        <v>163.60655196884522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214.38380633490996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214.38380633490996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404.00000000000017</v>
      </c>
      <c r="DP172" s="17">
        <f>DO172*VLOOKUP('Données projet'!$B$14,Paramètres!$A$1:$I$89,3,0)*VLOOKUP('Données projet'!$B$14,Paramètres!$A$1:$I$89,5,0)</f>
        <v>346.63200000000018</v>
      </c>
      <c r="DQ172" s="13">
        <f t="shared" si="176"/>
        <v>80.868615263336864</v>
      </c>
      <c r="DR172" s="20">
        <f t="shared" si="177"/>
        <v>744.56357158364528</v>
      </c>
      <c r="DS172" s="59">
        <f t="shared" si="125"/>
        <v>1037.8969049169787</v>
      </c>
      <c r="DT172" s="59">
        <f ca="1">AVERAGE(OFFSET($DS$3,0,0,'Données projet'!$E$14+1,1))-AVERAGE(OFFSET($H$3,0,0,'Données projet'!$E$14+1,1))</f>
        <v>352.76625414822473</v>
      </c>
      <c r="DU172" s="59">
        <f t="shared" si="152"/>
        <v>186.48649111821521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37.876133105258916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37.876133105258916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210.25641030000014</v>
      </c>
      <c r="EK172" s="17">
        <f>EJ172*VLOOKUP('Données projet'!$B$15,Paramètres!$A$1:$I$89,3,0)*VLOOKUP('Données projet'!$B$15,Paramètres!$A$1:$I$89,5,0)</f>
        <v>164.00000003400012</v>
      </c>
      <c r="EL172" s="13">
        <f t="shared" si="179"/>
        <v>41.743425916009095</v>
      </c>
      <c r="EM172" s="20">
        <f t="shared" si="180"/>
        <v>358.3364668629327</v>
      </c>
      <c r="EN172" s="59">
        <f t="shared" si="128"/>
        <v>651.66980019626601</v>
      </c>
      <c r="EO172" s="59">
        <f ca="1">AVERAGE(OFFSET($EN$3,0,0,'Données projet'!$E$15+1,1))-AVERAGE(OFFSET($H$3,0,0,'Données projet'!$E$15+1,1))</f>
        <v>130.66539383144681</v>
      </c>
      <c r="EP172" s="59">
        <f t="shared" si="154"/>
        <v>126.36398121441903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4.4570711274047028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4.4570711274047028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18.829999999999643</v>
      </c>
      <c r="FF172" s="17">
        <f>FE172*VLOOKUP('Données projet'!$B$16,Paramètres!$A$1:$I$89,3,0)*VLOOKUP('Données projet'!$B$16,Paramètres!$A$1:$I$89,5,0)</f>
        <v>18.212375999999654</v>
      </c>
      <c r="FG172" s="13">
        <f t="shared" si="182"/>
        <v>5.9870377924133553</v>
      </c>
      <c r="FH172" s="20">
        <f t="shared" si="183"/>
        <v>42.147312355119332</v>
      </c>
      <c r="FI172" s="59">
        <f t="shared" si="131"/>
        <v>335.48064568845263</v>
      </c>
      <c r="FJ172" s="59">
        <f ca="1">AVERAGE(OFFSET($FI$3,0,0,'Données projet'!$E$16+1,1))-AVERAGE(OFFSET($H$3,0,0,'Données projet'!$E$16+1,1))</f>
        <v>380.43199889536805</v>
      </c>
      <c r="FK172" s="59">
        <f t="shared" si="156"/>
        <v>154.72646317672996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204.48916911945261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204.48916911945261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304</v>
      </c>
      <c r="O173" s="13">
        <f>N173*VLOOKUP('Données projet'!$B$9,Paramètres!$A$1:$I$89,3,0)*VLOOKUP('Données projet'!$B$9,Paramètres!$A$1:$I$89,5,0)</f>
        <v>189.696</v>
      </c>
      <c r="P173" s="13">
        <f t="shared" si="141"/>
        <v>47.472736505152469</v>
      </c>
      <c r="Q173" s="20">
        <f t="shared" si="162"/>
        <v>413.06888274647389</v>
      </c>
      <c r="R173" s="59">
        <f t="shared" si="109"/>
        <v>706.4022160798072</v>
      </c>
      <c r="S173" s="59">
        <f ca="1">AVERAGE(OFFSET($R$3,0,0,'Données projet'!$E$9+1,1))-AVERAGE(OFFSET($H$3,0,0,'Données projet'!$E$9+1,1))</f>
        <v>179.44051550872138</v>
      </c>
      <c r="T173" s="59">
        <f t="shared" si="142"/>
        <v>272.9500808380069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7.6869943406046861</v>
      </c>
      <c r="AA173" s="21">
        <f>EXP(-LN(2)/25)*AA172+(1-EXP(-LN(2)/25))/(LN(2)/25)*Calculateur!V173*Calculateur!X173*VLOOKUP('Données projet'!$B$9,Paramètres!$A$1:$I$89,3,0)*0.475*44/12</f>
        <v>0.9976619465925517</v>
      </c>
      <c r="AB173" s="21">
        <f>EXP(-LN(2)/2)*AB172+(1-EXP(-LN(2)/2))/(LN(2)/2)*V173*Y173*VLOOKUP('Données projet'!$B$9,Paramètres!$A$1:$I$89,3,0)*0.475*44/12</f>
        <v>1.8701242169031841E-22</v>
      </c>
      <c r="AC173" s="22">
        <f t="shared" si="163"/>
        <v>8.684656287197237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2.4999999999997442</v>
      </c>
      <c r="AJ173" s="13">
        <f>AI173*VLOOKUP('Données projet'!$B$10,Paramètres!$A$1:$I$89,3,0)*VLOOKUP('Données projet'!$B$10,Paramètres!$A$1:$I$89,5,0)</f>
        <v>1.2024999999998769</v>
      </c>
      <c r="AK173" s="13">
        <f t="shared" si="164"/>
        <v>0.54239446125464896</v>
      </c>
      <c r="AL173" s="20">
        <f t="shared" si="165"/>
        <v>3.0390245200182986</v>
      </c>
      <c r="AM173" s="59">
        <f t="shared" si="113"/>
        <v>296.37235785335162</v>
      </c>
      <c r="AN173" s="59">
        <f ca="1">AVERAGE(OFFSET($AM$3,0,0,'Données projet'!$E$10+1,1))-AVERAGE(OFFSET($H$3,0,0,'Données projet'!$E$10+1,1))</f>
        <v>174.18188687702559</v>
      </c>
      <c r="AO173" s="59">
        <f t="shared" si="144"/>
        <v>32.17353897322738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79.797459564017473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79.797459564017473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0.8600000000003547</v>
      </c>
      <c r="BE173" s="13">
        <f>BD173*VLOOKUP('Données projet'!$B$11,Paramètres!$A$1:$I$89,3,0)*VLOOKUP('Données projet'!$B$11,Paramètres!$A$1:$I$89,5,0)</f>
        <v>0.48074000000019829</v>
      </c>
      <c r="BF173" s="13">
        <f t="shared" si="167"/>
        <v>0.24126147010950588</v>
      </c>
      <c r="BG173" s="20">
        <f t="shared" si="168"/>
        <v>1.2574858937744013</v>
      </c>
      <c r="BH173" s="59">
        <f t="shared" si="116"/>
        <v>294.59081922710772</v>
      </c>
      <c r="BI173" s="59">
        <f ca="1">AVERAGE(OFFSET($BH$3,0,0,'Données projet'!$E$11+1,1))-AVERAGE(OFFSET($H$3,0,0,'Données projet'!$E$11+1,1))</f>
        <v>350.01600895263641</v>
      </c>
      <c r="BJ173" s="59">
        <f t="shared" si="146"/>
        <v>464.08921044376882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38.124043302048385</v>
      </c>
      <c r="BQ173" s="21">
        <f>EXP(-LN(2)/25)*BQ172+(1-EXP(-LN(2)/25))/(LN(2)/25)*Calculateur!BL173*Calculateur!BN173*VLOOKUP('Données projet'!$B$11,Paramètres!$A$1:$I$89,3,0)*0.475*44/12</f>
        <v>1.0426436383605455</v>
      </c>
      <c r="BR173" s="21">
        <f>EXP(-LN(2)/2)*BR172+(1-EXP(-LN(2)/2))/(LN(2)/2)*BL173*BO173*VLOOKUP('Données projet'!$B$11,Paramètres!$A$1:$I$89,3,0)*0.475*44/12</f>
        <v>6.2673706646603495E-22</v>
      </c>
      <c r="BS173" s="22">
        <f t="shared" si="169"/>
        <v>39.16668694040893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253.79640000000001</v>
      </c>
      <c r="CA173" s="13">
        <f t="shared" si="170"/>
        <v>61.39816832228076</v>
      </c>
      <c r="CB173" s="20">
        <f t="shared" si="171"/>
        <v>548.96387316130563</v>
      </c>
      <c r="CC173" s="59">
        <f t="shared" si="119"/>
        <v>842.29720649463889</v>
      </c>
      <c r="CD173" s="59">
        <f ca="1">AVERAGE(OFFSET($CC$3,0,0,'Données projet'!$E$12+1,1))-AVERAGE(OFFSET($H$3,0,0,'Données projet'!$E$12+1,1))</f>
        <v>279.49721661620544</v>
      </c>
      <c r="CE173" s="59">
        <f t="shared" si="148"/>
        <v>275.18739333988754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8.9448926610101722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8.9448926610101722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18.829999999999643</v>
      </c>
      <c r="CU173" s="17">
        <f>CT173*VLOOKUP('Données projet'!$B$13,Paramètres!$A$1:$I$89,3,0)*VLOOKUP('Données projet'!$B$13,Paramètres!$A$1:$I$89,5,0)</f>
        <v>19.093619999999639</v>
      </c>
      <c r="CV173" s="13">
        <f t="shared" si="173"/>
        <v>6.2423044268988592</v>
      </c>
      <c r="CW173" s="20">
        <f t="shared" si="174"/>
        <v>44.126735043514884</v>
      </c>
      <c r="CX173" s="59">
        <f t="shared" si="122"/>
        <v>337.4600683768482</v>
      </c>
      <c r="CY173" s="59">
        <f ca="1">AVERAGE(OFFSET($CX$3,0,0,'Données projet'!$E$13+1,1))-AVERAGE(OFFSET($H$3,0,0,'Données projet'!$E$13+1,1))</f>
        <v>402.54350692668021</v>
      </c>
      <c r="CZ173" s="59">
        <f t="shared" si="150"/>
        <v>163.60655196884522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210.17987065389264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210.17987065389264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404.00000000000017</v>
      </c>
      <c r="DP173" s="17">
        <f>DO173*VLOOKUP('Données projet'!$B$14,Paramètres!$A$1:$I$89,3,0)*VLOOKUP('Données projet'!$B$14,Paramètres!$A$1:$I$89,5,0)</f>
        <v>346.63200000000018</v>
      </c>
      <c r="DQ173" s="13">
        <f t="shared" si="176"/>
        <v>80.868615263336864</v>
      </c>
      <c r="DR173" s="20">
        <f t="shared" si="177"/>
        <v>744.56357158364528</v>
      </c>
      <c r="DS173" s="59">
        <f t="shared" si="125"/>
        <v>1037.8969049169787</v>
      </c>
      <c r="DT173" s="59">
        <f ca="1">AVERAGE(OFFSET($DS$3,0,0,'Données projet'!$E$14+1,1))-AVERAGE(OFFSET($H$3,0,0,'Données projet'!$E$14+1,1))</f>
        <v>352.76625414822473</v>
      </c>
      <c r="DU173" s="59">
        <f t="shared" si="152"/>
        <v>186.48649111821521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37.133405237224835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37.133405237224835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210.25641030000014</v>
      </c>
      <c r="EK173" s="17">
        <f>EJ173*VLOOKUP('Données projet'!$B$15,Paramètres!$A$1:$I$89,3,0)*VLOOKUP('Données projet'!$B$15,Paramètres!$A$1:$I$89,5,0)</f>
        <v>164.00000003400012</v>
      </c>
      <c r="EL173" s="13">
        <f t="shared" si="179"/>
        <v>41.743425916009095</v>
      </c>
      <c r="EM173" s="20">
        <f t="shared" si="180"/>
        <v>358.3364668629327</v>
      </c>
      <c r="EN173" s="59">
        <f t="shared" si="128"/>
        <v>651.66980019626601</v>
      </c>
      <c r="EO173" s="59">
        <f ca="1">AVERAGE(OFFSET($EN$3,0,0,'Données projet'!$E$15+1,1))-AVERAGE(OFFSET($H$3,0,0,'Données projet'!$E$15+1,1))</f>
        <v>130.66539383144681</v>
      </c>
      <c r="EP173" s="59">
        <f t="shared" si="154"/>
        <v>126.36398121441903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4.3696706811412502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4.3696706811412502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18.829999999999643</v>
      </c>
      <c r="FF173" s="17">
        <f>FE173*VLOOKUP('Données projet'!$B$16,Paramètres!$A$1:$I$89,3,0)*VLOOKUP('Données projet'!$B$16,Paramètres!$A$1:$I$89,5,0)</f>
        <v>18.212375999999654</v>
      </c>
      <c r="FG173" s="13">
        <f t="shared" si="182"/>
        <v>5.9870377924133553</v>
      </c>
      <c r="FH173" s="20">
        <f t="shared" si="183"/>
        <v>42.147312355119332</v>
      </c>
      <c r="FI173" s="59">
        <f t="shared" si="131"/>
        <v>335.48064568845263</v>
      </c>
      <c r="FJ173" s="59">
        <f ca="1">AVERAGE(OFFSET($FI$3,0,0,'Données projet'!$E$16+1,1))-AVERAGE(OFFSET($H$3,0,0,'Données projet'!$E$16+1,1))</f>
        <v>380.43199889536805</v>
      </c>
      <c r="FK173" s="59">
        <f t="shared" si="156"/>
        <v>154.72646317672996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200.47926123909764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200.47926123909764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304</v>
      </c>
      <c r="O174" s="13">
        <f>N174*VLOOKUP('Données projet'!$B$9,Paramètres!$A$1:$I$89,3,0)*VLOOKUP('Données projet'!$B$9,Paramètres!$A$1:$I$89,5,0)</f>
        <v>189.696</v>
      </c>
      <c r="P174" s="13">
        <f t="shared" si="141"/>
        <v>47.472736505152469</v>
      </c>
      <c r="Q174" s="20">
        <f t="shared" si="162"/>
        <v>413.06888274647389</v>
      </c>
      <c r="R174" s="59">
        <f t="shared" si="109"/>
        <v>706.4022160798072</v>
      </c>
      <c r="S174" s="59">
        <f ca="1">AVERAGE(OFFSET($R$3,0,0,'Données projet'!$E$9+1,1))-AVERAGE(OFFSET($H$3,0,0,'Données projet'!$E$9+1,1))</f>
        <v>179.44051550872138</v>
      </c>
      <c r="T174" s="59">
        <f t="shared" si="142"/>
        <v>272.9500808380069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7.5362570701890146</v>
      </c>
      <c r="AA174" s="21">
        <f>EXP(-LN(2)/25)*AA173+(1-EXP(-LN(2)/25))/(LN(2)/25)*Calculateur!V174*Calculateur!X174*VLOOKUP('Données projet'!$B$9,Paramètres!$A$1:$I$89,3,0)*0.475*44/12</f>
        <v>0.9703808281982168</v>
      </c>
      <c r="AB174" s="21">
        <f>EXP(-LN(2)/2)*AB173+(1-EXP(-LN(2)/2))/(LN(2)/2)*V174*Y174*VLOOKUP('Données projet'!$B$9,Paramètres!$A$1:$I$89,3,0)*0.475*44/12</f>
        <v>1.3223775154334233E-22</v>
      </c>
      <c r="AC174" s="22">
        <f t="shared" si="163"/>
        <v>8.5066378983872308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2.4999999999997442</v>
      </c>
      <c r="AJ174" s="13">
        <f>AI174*VLOOKUP('Données projet'!$B$10,Paramètres!$A$1:$I$89,3,0)*VLOOKUP('Données projet'!$B$10,Paramètres!$A$1:$I$89,5,0)</f>
        <v>1.2024999999998769</v>
      </c>
      <c r="AK174" s="13">
        <f t="shared" si="164"/>
        <v>0.54239446125464896</v>
      </c>
      <c r="AL174" s="20">
        <f t="shared" si="165"/>
        <v>3.0390245200182986</v>
      </c>
      <c r="AM174" s="59">
        <f t="shared" si="113"/>
        <v>296.37235785335162</v>
      </c>
      <c r="AN174" s="59">
        <f ca="1">AVERAGE(OFFSET($AM$3,0,0,'Données projet'!$E$10+1,1))-AVERAGE(OFFSET($H$3,0,0,'Données projet'!$E$10+1,1))</f>
        <v>174.18188687702559</v>
      </c>
      <c r="AO174" s="59">
        <f t="shared" si="144"/>
        <v>32.17353897322738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78.232680053611503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78.232680053611503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0.8600000000003547</v>
      </c>
      <c r="BE174" s="13">
        <f>BD174*VLOOKUP('Données projet'!$B$11,Paramètres!$A$1:$I$89,3,0)*VLOOKUP('Données projet'!$B$11,Paramètres!$A$1:$I$89,5,0)</f>
        <v>0.48074000000019829</v>
      </c>
      <c r="BF174" s="13">
        <f t="shared" si="167"/>
        <v>0.24126147010950588</v>
      </c>
      <c r="BG174" s="20">
        <f t="shared" si="168"/>
        <v>1.2574858937744013</v>
      </c>
      <c r="BH174" s="59">
        <f t="shared" si="116"/>
        <v>294.59081922710772</v>
      </c>
      <c r="BI174" s="59">
        <f ca="1">AVERAGE(OFFSET($BH$3,0,0,'Données projet'!$E$11+1,1))-AVERAGE(OFFSET($H$3,0,0,'Données projet'!$E$11+1,1))</f>
        <v>350.01600895263641</v>
      </c>
      <c r="BJ174" s="59">
        <f t="shared" si="146"/>
        <v>464.08921044376882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37.376454066265552</v>
      </c>
      <c r="BQ174" s="21">
        <f>EXP(-LN(2)/25)*BQ173+(1-EXP(-LN(2)/25))/(LN(2)/25)*Calculateur!BL174*Calculateur!BN174*VLOOKUP('Données projet'!$B$11,Paramètres!$A$1:$I$89,3,0)*0.475*44/12</f>
        <v>1.0141324932393305</v>
      </c>
      <c r="BR174" s="21">
        <f>EXP(-LN(2)/2)*BR173+(1-EXP(-LN(2)/2))/(LN(2)/2)*BL174*BO174*VLOOKUP('Données projet'!$B$11,Paramètres!$A$1:$I$89,3,0)*0.475*44/12</f>
        <v>4.4317002971909726E-22</v>
      </c>
      <c r="BS174" s="22">
        <f t="shared" si="169"/>
        <v>38.390586559504882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253.79640000000001</v>
      </c>
      <c r="CA174" s="13">
        <f t="shared" si="170"/>
        <v>61.39816832228076</v>
      </c>
      <c r="CB174" s="20">
        <f t="shared" si="171"/>
        <v>548.96387316130563</v>
      </c>
      <c r="CC174" s="59">
        <f t="shared" si="119"/>
        <v>842.29720649463889</v>
      </c>
      <c r="CD174" s="59">
        <f ca="1">AVERAGE(OFFSET($CC$3,0,0,'Données projet'!$E$12+1,1))-AVERAGE(OFFSET($H$3,0,0,'Données projet'!$E$12+1,1))</f>
        <v>279.49721661620544</v>
      </c>
      <c r="CE174" s="59">
        <f t="shared" si="148"/>
        <v>275.18739333988754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8.7694887717735668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8.7694887717735668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18.829999999999643</v>
      </c>
      <c r="CU174" s="17">
        <f>CT174*VLOOKUP('Données projet'!$B$13,Paramètres!$A$1:$I$89,3,0)*VLOOKUP('Données projet'!$B$13,Paramètres!$A$1:$I$89,5,0)</f>
        <v>19.093619999999639</v>
      </c>
      <c r="CV174" s="13">
        <f t="shared" si="173"/>
        <v>6.2423044268988592</v>
      </c>
      <c r="CW174" s="20">
        <f t="shared" si="174"/>
        <v>44.126735043514884</v>
      </c>
      <c r="CX174" s="59">
        <f t="shared" si="122"/>
        <v>337.4600683768482</v>
      </c>
      <c r="CY174" s="59">
        <f ca="1">AVERAGE(OFFSET($CX$3,0,0,'Données projet'!$E$13+1,1))-AVERAGE(OFFSET($H$3,0,0,'Données projet'!$E$13+1,1))</f>
        <v>402.54350692668021</v>
      </c>
      <c r="CZ174" s="59">
        <f t="shared" si="150"/>
        <v>163.60655196884522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206.0583715874325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206.0583715874325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404.00000000000017</v>
      </c>
      <c r="DP174" s="17">
        <f>DO174*VLOOKUP('Données projet'!$B$14,Paramètres!$A$1:$I$89,3,0)*VLOOKUP('Données projet'!$B$14,Paramètres!$A$1:$I$89,5,0)</f>
        <v>346.63200000000018</v>
      </c>
      <c r="DQ174" s="13">
        <f t="shared" si="176"/>
        <v>80.868615263336864</v>
      </c>
      <c r="DR174" s="20">
        <f t="shared" si="177"/>
        <v>744.56357158364528</v>
      </c>
      <c r="DS174" s="59">
        <f t="shared" si="125"/>
        <v>1037.8969049169787</v>
      </c>
      <c r="DT174" s="59">
        <f ca="1">AVERAGE(OFFSET($DS$3,0,0,'Données projet'!$E$14+1,1))-AVERAGE(OFFSET($H$3,0,0,'Données projet'!$E$14+1,1))</f>
        <v>352.76625414822473</v>
      </c>
      <c r="DU174" s="59">
        <f t="shared" si="152"/>
        <v>186.48649111821521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36.405241809663636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36.405241809663636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210.25641030000014</v>
      </c>
      <c r="EK174" s="17">
        <f>EJ174*VLOOKUP('Données projet'!$B$15,Paramètres!$A$1:$I$89,3,0)*VLOOKUP('Données projet'!$B$15,Paramètres!$A$1:$I$89,5,0)</f>
        <v>164.00000003400012</v>
      </c>
      <c r="EL174" s="13">
        <f t="shared" si="179"/>
        <v>41.743425916009095</v>
      </c>
      <c r="EM174" s="20">
        <f t="shared" si="180"/>
        <v>358.3364668629327</v>
      </c>
      <c r="EN174" s="59">
        <f t="shared" si="128"/>
        <v>651.66980019626601</v>
      </c>
      <c r="EO174" s="59">
        <f ca="1">AVERAGE(OFFSET($EN$3,0,0,'Données projet'!$E$15+1,1))-AVERAGE(OFFSET($H$3,0,0,'Données projet'!$E$15+1,1))</f>
        <v>130.66539383144681</v>
      </c>
      <c r="EP174" s="59">
        <f t="shared" si="154"/>
        <v>126.36398121441903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4.283984104320016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4.283984104320016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18.829999999999643</v>
      </c>
      <c r="FF174" s="17">
        <f>FE174*VLOOKUP('Données projet'!$B$16,Paramètres!$A$1:$I$89,3,0)*VLOOKUP('Données projet'!$B$16,Paramètres!$A$1:$I$89,5,0)</f>
        <v>18.212375999999654</v>
      </c>
      <c r="FG174" s="13">
        <f t="shared" si="182"/>
        <v>5.9870377924133553</v>
      </c>
      <c r="FH174" s="20">
        <f t="shared" si="183"/>
        <v>42.147312355119332</v>
      </c>
      <c r="FI174" s="59">
        <f t="shared" si="131"/>
        <v>335.48064568845263</v>
      </c>
      <c r="FJ174" s="59">
        <f ca="1">AVERAGE(OFFSET($FI$3,0,0,'Données projet'!$E$16+1,1))-AVERAGE(OFFSET($H$3,0,0,'Données projet'!$E$16+1,1))</f>
        <v>380.43199889536805</v>
      </c>
      <c r="FK174" s="59">
        <f t="shared" si="156"/>
        <v>154.72646317672996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196.54798520647412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196.54798520647412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304</v>
      </c>
      <c r="O175" s="13">
        <f>N175*VLOOKUP('Données projet'!$B$9,Paramètres!$A$1:$I$89,3,0)*VLOOKUP('Données projet'!$B$9,Paramètres!$A$1:$I$89,5,0)</f>
        <v>189.696</v>
      </c>
      <c r="P175" s="13">
        <f t="shared" si="141"/>
        <v>47.472736505152469</v>
      </c>
      <c r="Q175" s="20">
        <f t="shared" si="162"/>
        <v>413.06888274647389</v>
      </c>
      <c r="R175" s="59">
        <f t="shared" si="109"/>
        <v>706.4022160798072</v>
      </c>
      <c r="S175" s="59">
        <f ca="1">AVERAGE(OFFSET($R$3,0,0,'Données projet'!$E$9+1,1))-AVERAGE(OFFSET($H$3,0,0,'Données projet'!$E$9+1,1))</f>
        <v>179.44051550872138</v>
      </c>
      <c r="T175" s="59">
        <f t="shared" si="142"/>
        <v>272.9500808380069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7.3884756657055384</v>
      </c>
      <c r="AA175" s="21">
        <f>EXP(-LN(2)/25)*AA174+(1-EXP(-LN(2)/25))/(LN(2)/25)*Calculateur!V175*Calculateur!X175*VLOOKUP('Données projet'!$B$9,Paramètres!$A$1:$I$89,3,0)*0.475*44/12</f>
        <v>0.94384571342102663</v>
      </c>
      <c r="AB175" s="21">
        <f>EXP(-LN(2)/2)*AB174+(1-EXP(-LN(2)/2))/(LN(2)/2)*V175*Y175*VLOOKUP('Données projet'!$B$9,Paramètres!$A$1:$I$89,3,0)*0.475*44/12</f>
        <v>9.3506210845159205E-23</v>
      </c>
      <c r="AC175" s="22">
        <f t="shared" si="163"/>
        <v>8.3323213791265651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2.4999999999997442</v>
      </c>
      <c r="AJ175" s="13">
        <f>AI175*VLOOKUP('Données projet'!$B$10,Paramètres!$A$1:$I$89,3,0)*VLOOKUP('Données projet'!$B$10,Paramètres!$A$1:$I$89,5,0)</f>
        <v>1.2024999999998769</v>
      </c>
      <c r="AK175" s="13">
        <f t="shared" si="164"/>
        <v>0.54239446125464896</v>
      </c>
      <c r="AL175" s="20">
        <f t="shared" si="165"/>
        <v>3.0390245200182986</v>
      </c>
      <c r="AM175" s="59">
        <f t="shared" si="113"/>
        <v>296.37235785335162</v>
      </c>
      <c r="AN175" s="59">
        <f ca="1">AVERAGE(OFFSET($AM$3,0,0,'Données projet'!$E$10+1,1))-AVERAGE(OFFSET($H$3,0,0,'Données projet'!$E$10+1,1))</f>
        <v>174.18188687702559</v>
      </c>
      <c r="AO175" s="59">
        <f t="shared" si="144"/>
        <v>32.17353897322738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76.698584914983329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76.698584914983329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0.8600000000003547</v>
      </c>
      <c r="BE175" s="13">
        <f>BD175*VLOOKUP('Données projet'!$B$11,Paramètres!$A$1:$I$89,3,0)*VLOOKUP('Données projet'!$B$11,Paramètres!$A$1:$I$89,5,0)</f>
        <v>0.48074000000019829</v>
      </c>
      <c r="BF175" s="13">
        <f t="shared" si="167"/>
        <v>0.24126147010950588</v>
      </c>
      <c r="BG175" s="20">
        <f t="shared" si="168"/>
        <v>1.2574858937744013</v>
      </c>
      <c r="BH175" s="59">
        <f t="shared" si="116"/>
        <v>294.59081922710772</v>
      </c>
      <c r="BI175" s="59">
        <f ca="1">AVERAGE(OFFSET($BH$3,0,0,'Données projet'!$E$11+1,1))-AVERAGE(OFFSET($H$3,0,0,'Données projet'!$E$11+1,1))</f>
        <v>350.01600895263641</v>
      </c>
      <c r="BJ175" s="59">
        <f t="shared" si="146"/>
        <v>464.08921044376882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36.643524599412011</v>
      </c>
      <c r="BQ175" s="21">
        <f>EXP(-LN(2)/25)*BQ174+(1-EXP(-LN(2)/25))/(LN(2)/25)*Calculateur!BL175*Calculateur!BN175*VLOOKUP('Données projet'!$B$11,Paramètres!$A$1:$I$89,3,0)*0.475*44/12</f>
        <v>0.98640098688079103</v>
      </c>
      <c r="BR175" s="21">
        <f>EXP(-LN(2)/2)*BR174+(1-EXP(-LN(2)/2))/(LN(2)/2)*BL175*BO175*VLOOKUP('Données projet'!$B$11,Paramètres!$A$1:$I$89,3,0)*0.475*44/12</f>
        <v>3.1336853323301748E-22</v>
      </c>
      <c r="BS175" s="22">
        <f t="shared" si="169"/>
        <v>37.629925586292799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253.79640000000001</v>
      </c>
      <c r="CA175" s="13">
        <f t="shared" si="170"/>
        <v>61.39816832228076</v>
      </c>
      <c r="CB175" s="20">
        <f t="shared" si="171"/>
        <v>548.96387316130563</v>
      </c>
      <c r="CC175" s="59">
        <f t="shared" si="119"/>
        <v>842.29720649463889</v>
      </c>
      <c r="CD175" s="59">
        <f ca="1">AVERAGE(OFFSET($CC$3,0,0,'Données projet'!$E$12+1,1))-AVERAGE(OFFSET($H$3,0,0,'Données projet'!$E$12+1,1))</f>
        <v>279.49721661620544</v>
      </c>
      <c r="CE175" s="59">
        <f t="shared" si="148"/>
        <v>275.18739333988754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8.5975244458190812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8.5975244458190812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18.829999999999643</v>
      </c>
      <c r="CU175" s="17">
        <f>CT175*VLOOKUP('Données projet'!$B$13,Paramètres!$A$1:$I$89,3,0)*VLOOKUP('Données projet'!$B$13,Paramètres!$A$1:$I$89,5,0)</f>
        <v>19.093619999999639</v>
      </c>
      <c r="CV175" s="13">
        <f t="shared" si="173"/>
        <v>6.2423044268988592</v>
      </c>
      <c r="CW175" s="20">
        <f t="shared" si="174"/>
        <v>44.126735043514884</v>
      </c>
      <c r="CX175" s="59">
        <f t="shared" si="122"/>
        <v>337.4600683768482</v>
      </c>
      <c r="CY175" s="59">
        <f ca="1">AVERAGE(OFFSET($CX$3,0,0,'Données projet'!$E$13+1,1))-AVERAGE(OFFSET($H$3,0,0,'Données projet'!$E$13+1,1))</f>
        <v>402.54350692668021</v>
      </c>
      <c r="CZ175" s="59">
        <f t="shared" si="150"/>
        <v>163.60655196884522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202.01769260379945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202.01769260379945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404.00000000000017</v>
      </c>
      <c r="DP175" s="17">
        <f>DO175*VLOOKUP('Données projet'!$B$14,Paramètres!$A$1:$I$89,3,0)*VLOOKUP('Données projet'!$B$14,Paramètres!$A$1:$I$89,5,0)</f>
        <v>346.63200000000018</v>
      </c>
      <c r="DQ175" s="13">
        <f t="shared" si="176"/>
        <v>80.868615263336864</v>
      </c>
      <c r="DR175" s="20">
        <f t="shared" si="177"/>
        <v>744.56357158364528</v>
      </c>
      <c r="DS175" s="59">
        <f t="shared" si="125"/>
        <v>1037.8969049169787</v>
      </c>
      <c r="DT175" s="59">
        <f ca="1">AVERAGE(OFFSET($DS$3,0,0,'Données projet'!$E$14+1,1))-AVERAGE(OFFSET($H$3,0,0,'Données projet'!$E$14+1,1))</f>
        <v>352.76625414822473</v>
      </c>
      <c r="DU175" s="59">
        <f t="shared" si="152"/>
        <v>186.48649111821521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35.691357222781072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35.691357222781072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210.25641030000014</v>
      </c>
      <c r="EK175" s="17">
        <f>EJ175*VLOOKUP('Données projet'!$B$15,Paramètres!$A$1:$I$89,3,0)*VLOOKUP('Données projet'!$B$15,Paramètres!$A$1:$I$89,5,0)</f>
        <v>164.00000003400012</v>
      </c>
      <c r="EL175" s="13">
        <f t="shared" si="179"/>
        <v>41.743425916009095</v>
      </c>
      <c r="EM175" s="20">
        <f t="shared" si="180"/>
        <v>358.3364668629327</v>
      </c>
      <c r="EN175" s="59">
        <f t="shared" si="128"/>
        <v>651.66980019626601</v>
      </c>
      <c r="EO175" s="59">
        <f ca="1">AVERAGE(OFFSET($EN$3,0,0,'Données projet'!$E$15+1,1))-AVERAGE(OFFSET($H$3,0,0,'Données projet'!$E$15+1,1))</f>
        <v>130.66539383144681</v>
      </c>
      <c r="EP175" s="59">
        <f t="shared" si="154"/>
        <v>126.36398121441903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4.1999777890065948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4.1999777890065948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18.829999999999643</v>
      </c>
      <c r="FF175" s="17">
        <f>FE175*VLOOKUP('Données projet'!$B$16,Paramètres!$A$1:$I$89,3,0)*VLOOKUP('Données projet'!$B$16,Paramètres!$A$1:$I$89,5,0)</f>
        <v>18.212375999999654</v>
      </c>
      <c r="FG175" s="13">
        <f t="shared" si="182"/>
        <v>5.9870377924133553</v>
      </c>
      <c r="FH175" s="20">
        <f t="shared" si="183"/>
        <v>42.147312355119332</v>
      </c>
      <c r="FI175" s="59">
        <f t="shared" si="131"/>
        <v>335.48064568845263</v>
      </c>
      <c r="FJ175" s="59">
        <f ca="1">AVERAGE(OFFSET($FI$3,0,0,'Données projet'!$E$16+1,1))-AVERAGE(OFFSET($H$3,0,0,'Données projet'!$E$16+1,1))</f>
        <v>380.43199889536805</v>
      </c>
      <c r="FK175" s="59">
        <f t="shared" si="156"/>
        <v>154.72646317672996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192.69379909900874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192.69379909900874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304</v>
      </c>
      <c r="O176" s="13">
        <f>N176*VLOOKUP('Données projet'!$B$9,Paramètres!$A$1:$I$89,3,0)*VLOOKUP('Données projet'!$B$9,Paramètres!$A$1:$I$89,5,0)</f>
        <v>189.696</v>
      </c>
      <c r="P176" s="13">
        <f t="shared" si="141"/>
        <v>47.472736505152469</v>
      </c>
      <c r="Q176" s="20">
        <f t="shared" si="162"/>
        <v>413.06888274647389</v>
      </c>
      <c r="R176" s="59">
        <f t="shared" si="109"/>
        <v>706.4022160798072</v>
      </c>
      <c r="S176" s="59">
        <f ca="1">AVERAGE(OFFSET($R$3,0,0,'Données projet'!$E$9+1,1))-AVERAGE(OFFSET($H$3,0,0,'Données projet'!$E$9+1,1))</f>
        <v>179.44051550872138</v>
      </c>
      <c r="T176" s="59">
        <f t="shared" si="142"/>
        <v>272.9500808380069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7.2435921644262269</v>
      </c>
      <c r="AA176" s="21">
        <f>EXP(-LN(2)/25)*AA175+(1-EXP(-LN(2)/25))/(LN(2)/25)*Calculateur!V176*Calculateur!X176*VLOOKUP('Données projet'!$B$9,Paramètres!$A$1:$I$89,3,0)*0.475*44/12</f>
        <v>0.91803620275283981</v>
      </c>
      <c r="AB176" s="21">
        <f>EXP(-LN(2)/2)*AB175+(1-EXP(-LN(2)/2))/(LN(2)/2)*V176*Y176*VLOOKUP('Données projet'!$B$9,Paramètres!$A$1:$I$89,3,0)*0.475*44/12</f>
        <v>6.6118875771671166E-23</v>
      </c>
      <c r="AC176" s="22">
        <f t="shared" si="163"/>
        <v>8.1616283671790661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2.4999999999997442</v>
      </c>
      <c r="AJ176" s="13">
        <f>AI176*VLOOKUP('Données projet'!$B$10,Paramètres!$A$1:$I$89,3,0)*VLOOKUP('Données projet'!$B$10,Paramètres!$A$1:$I$89,5,0)</f>
        <v>1.2024999999998769</v>
      </c>
      <c r="AK176" s="13">
        <f t="shared" si="164"/>
        <v>0.54239446125464896</v>
      </c>
      <c r="AL176" s="20">
        <f t="shared" si="165"/>
        <v>3.0390245200182986</v>
      </c>
      <c r="AM176" s="59">
        <f t="shared" si="113"/>
        <v>296.37235785335162</v>
      </c>
      <c r="AN176" s="59">
        <f ca="1">AVERAGE(OFFSET($AM$3,0,0,'Données projet'!$E$10+1,1))-AVERAGE(OFFSET($H$3,0,0,'Données projet'!$E$10+1,1))</f>
        <v>174.18188687702559</v>
      </c>
      <c r="AO176" s="59">
        <f t="shared" si="144"/>
        <v>32.17353897322738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75.194572446318006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75.194572446318006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0.8600000000003547</v>
      </c>
      <c r="BE176" s="13">
        <f>BD176*VLOOKUP('Données projet'!$B$11,Paramètres!$A$1:$I$89,3,0)*VLOOKUP('Données projet'!$B$11,Paramètres!$A$1:$I$89,5,0)</f>
        <v>0.48074000000019829</v>
      </c>
      <c r="BF176" s="13">
        <f t="shared" si="167"/>
        <v>0.24126147010950588</v>
      </c>
      <c r="BG176" s="20">
        <f t="shared" si="168"/>
        <v>1.2574858937744013</v>
      </c>
      <c r="BH176" s="59">
        <f t="shared" si="116"/>
        <v>294.59081922710772</v>
      </c>
      <c r="BI176" s="59">
        <f ca="1">AVERAGE(OFFSET($BH$3,0,0,'Données projet'!$E$11+1,1))-AVERAGE(OFFSET($H$3,0,0,'Données projet'!$E$11+1,1))</f>
        <v>350.01600895263641</v>
      </c>
      <c r="BJ176" s="59">
        <f t="shared" si="146"/>
        <v>464.08921044376882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35.924967432360631</v>
      </c>
      <c r="BQ176" s="21">
        <f>EXP(-LN(2)/25)*BQ175+(1-EXP(-LN(2)/25))/(LN(2)/25)*Calculateur!BL176*Calculateur!BN176*VLOOKUP('Données projet'!$B$11,Paramètres!$A$1:$I$89,3,0)*0.475*44/12</f>
        <v>0.95942780002196237</v>
      </c>
      <c r="BR176" s="21">
        <f>EXP(-LN(2)/2)*BR175+(1-EXP(-LN(2)/2))/(LN(2)/2)*BL176*BO176*VLOOKUP('Données projet'!$B$11,Paramètres!$A$1:$I$89,3,0)*0.475*44/12</f>
        <v>2.2158501485954863E-22</v>
      </c>
      <c r="BS176" s="22">
        <f t="shared" si="169"/>
        <v>36.884395232382595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253.79640000000001</v>
      </c>
      <c r="CA176" s="13">
        <f t="shared" si="170"/>
        <v>61.39816832228076</v>
      </c>
      <c r="CB176" s="20">
        <f t="shared" si="171"/>
        <v>548.96387316130563</v>
      </c>
      <c r="CC176" s="59">
        <f t="shared" si="119"/>
        <v>842.29720649463889</v>
      </c>
      <c r="CD176" s="59">
        <f ca="1">AVERAGE(OFFSET($CC$3,0,0,'Données projet'!$E$12+1,1))-AVERAGE(OFFSET($H$3,0,0,'Données projet'!$E$12+1,1))</f>
        <v>279.49721661620544</v>
      </c>
      <c r="CE176" s="59">
        <f t="shared" si="148"/>
        <v>275.18739333988754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8.4289322354086824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8.4289322354086824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18.829999999999643</v>
      </c>
      <c r="CU176" s="17">
        <f>CT176*VLOOKUP('Données projet'!$B$13,Paramètres!$A$1:$I$89,3,0)*VLOOKUP('Données projet'!$B$13,Paramètres!$A$1:$I$89,5,0)</f>
        <v>19.093619999999639</v>
      </c>
      <c r="CV176" s="13">
        <f t="shared" si="173"/>
        <v>6.2423044268988592</v>
      </c>
      <c r="CW176" s="20">
        <f t="shared" si="174"/>
        <v>44.126735043514884</v>
      </c>
      <c r="CX176" s="59">
        <f t="shared" si="122"/>
        <v>337.4600683768482</v>
      </c>
      <c r="CY176" s="59">
        <f ca="1">AVERAGE(OFFSET($CX$3,0,0,'Données projet'!$E$13+1,1))-AVERAGE(OFFSET($H$3,0,0,'Données projet'!$E$13+1,1))</f>
        <v>402.54350692668021</v>
      </c>
      <c r="CZ176" s="59">
        <f t="shared" si="150"/>
        <v>163.60655196884522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198.0562488704646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198.0562488704646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404.00000000000017</v>
      </c>
      <c r="DP176" s="17">
        <f>DO176*VLOOKUP('Données projet'!$B$14,Paramètres!$A$1:$I$89,3,0)*VLOOKUP('Données projet'!$B$14,Paramètres!$A$1:$I$89,5,0)</f>
        <v>346.63200000000018</v>
      </c>
      <c r="DQ176" s="13">
        <f t="shared" si="176"/>
        <v>80.868615263336864</v>
      </c>
      <c r="DR176" s="20">
        <f t="shared" si="177"/>
        <v>744.56357158364528</v>
      </c>
      <c r="DS176" s="59">
        <f t="shared" si="125"/>
        <v>1037.8969049169787</v>
      </c>
      <c r="DT176" s="59">
        <f ca="1">AVERAGE(OFFSET($DS$3,0,0,'Données projet'!$E$14+1,1))-AVERAGE(OFFSET($H$3,0,0,'Données projet'!$E$14+1,1))</f>
        <v>352.76625414822473</v>
      </c>
      <c r="DU176" s="59">
        <f t="shared" si="152"/>
        <v>186.48649111821521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34.991471477220671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34.991471477220671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210.25641030000014</v>
      </c>
      <c r="EK176" s="17">
        <f>EJ176*VLOOKUP('Données projet'!$B$15,Paramètres!$A$1:$I$89,3,0)*VLOOKUP('Données projet'!$B$15,Paramètres!$A$1:$I$89,5,0)</f>
        <v>164.00000003400012</v>
      </c>
      <c r="EL176" s="13">
        <f t="shared" si="179"/>
        <v>41.743425916009095</v>
      </c>
      <c r="EM176" s="20">
        <f t="shared" si="180"/>
        <v>358.3364668629327</v>
      </c>
      <c r="EN176" s="59">
        <f t="shared" si="128"/>
        <v>651.66980019626601</v>
      </c>
      <c r="EO176" s="59">
        <f ca="1">AVERAGE(OFFSET($EN$3,0,0,'Données projet'!$E$15+1,1))-AVERAGE(OFFSET($H$3,0,0,'Données projet'!$E$15+1,1))</f>
        <v>130.66539383144681</v>
      </c>
      <c r="EP176" s="59">
        <f t="shared" si="154"/>
        <v>126.36398121441903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4.117618786297677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4.117618786297677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18.829999999999643</v>
      </c>
      <c r="FF176" s="17">
        <f>FE176*VLOOKUP('Données projet'!$B$16,Paramètres!$A$1:$I$89,3,0)*VLOOKUP('Données projet'!$B$16,Paramètres!$A$1:$I$89,5,0)</f>
        <v>18.212375999999654</v>
      </c>
      <c r="FG176" s="13">
        <f t="shared" si="182"/>
        <v>5.9870377924133553</v>
      </c>
      <c r="FH176" s="20">
        <f t="shared" si="183"/>
        <v>42.147312355119332</v>
      </c>
      <c r="FI176" s="59">
        <f t="shared" si="131"/>
        <v>335.48064568845263</v>
      </c>
      <c r="FJ176" s="59">
        <f ca="1">AVERAGE(OFFSET($FI$3,0,0,'Données projet'!$E$16+1,1))-AVERAGE(OFFSET($H$3,0,0,'Données projet'!$E$16+1,1))</f>
        <v>380.43199889536805</v>
      </c>
      <c r="FK176" s="59">
        <f t="shared" si="156"/>
        <v>154.72646317672996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188.91519123028934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188.91519123028934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304</v>
      </c>
      <c r="O177" s="13">
        <f>N177*VLOOKUP('Données projet'!$B$9,Paramètres!$A$1:$I$89,3,0)*VLOOKUP('Données projet'!$B$9,Paramètres!$A$1:$I$89,5,0)</f>
        <v>189.696</v>
      </c>
      <c r="P177" s="13">
        <f t="shared" si="141"/>
        <v>47.472736505152469</v>
      </c>
      <c r="Q177" s="20">
        <f t="shared" si="162"/>
        <v>413.06888274647389</v>
      </c>
      <c r="R177" s="59">
        <f t="shared" si="109"/>
        <v>706.4022160798072</v>
      </c>
      <c r="S177" s="59">
        <f ca="1">AVERAGE(OFFSET($R$3,0,0,'Données projet'!$E$9+1,1))-AVERAGE(OFFSET($H$3,0,0,'Données projet'!$E$9+1,1))</f>
        <v>179.44051550872138</v>
      </c>
      <c r="T177" s="59">
        <f t="shared" si="142"/>
        <v>272.9500808380069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7.1015497402367922</v>
      </c>
      <c r="AA177" s="21">
        <f>EXP(-LN(2)/25)*AA176+(1-EXP(-LN(2)/25))/(LN(2)/25)*Calculateur!V177*Calculateur!X177*VLOOKUP('Données projet'!$B$9,Paramètres!$A$1:$I$89,3,0)*0.475*44/12</f>
        <v>0.89293245451113767</v>
      </c>
      <c r="AB177" s="21">
        <f>EXP(-LN(2)/2)*AB176+(1-EXP(-LN(2)/2))/(LN(2)/2)*V177*Y177*VLOOKUP('Données projet'!$B$9,Paramètres!$A$1:$I$89,3,0)*0.475*44/12</f>
        <v>4.6753105422579602E-23</v>
      </c>
      <c r="AC177" s="22">
        <f t="shared" si="163"/>
        <v>7.9944821947479294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2.4999999999997442</v>
      </c>
      <c r="AJ177" s="13">
        <f>AI177*VLOOKUP('Données projet'!$B$10,Paramètres!$A$1:$I$89,3,0)*VLOOKUP('Données projet'!$B$10,Paramètres!$A$1:$I$89,5,0)</f>
        <v>1.2024999999998769</v>
      </c>
      <c r="AK177" s="13">
        <f t="shared" si="164"/>
        <v>0.54239446125464896</v>
      </c>
      <c r="AL177" s="20">
        <f t="shared" si="165"/>
        <v>3.0390245200182986</v>
      </c>
      <c r="AM177" s="59">
        <f t="shared" si="113"/>
        <v>296.37235785335162</v>
      </c>
      <c r="AN177" s="59">
        <f ca="1">AVERAGE(OFFSET($AM$3,0,0,'Données projet'!$E$10+1,1))-AVERAGE(OFFSET($H$3,0,0,'Données projet'!$E$10+1,1))</f>
        <v>174.18188687702559</v>
      </c>
      <c r="AO177" s="59">
        <f t="shared" si="144"/>
        <v>32.17353897322738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73.720052744806196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73.720052744806196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0.8600000000003547</v>
      </c>
      <c r="BE177" s="13">
        <f>BD177*VLOOKUP('Données projet'!$B$11,Paramètres!$A$1:$I$89,3,0)*VLOOKUP('Données projet'!$B$11,Paramètres!$A$1:$I$89,5,0)</f>
        <v>0.48074000000019829</v>
      </c>
      <c r="BF177" s="13">
        <f t="shared" si="167"/>
        <v>0.24126147010950588</v>
      </c>
      <c r="BG177" s="20">
        <f t="shared" si="168"/>
        <v>1.2574858937744013</v>
      </c>
      <c r="BH177" s="59">
        <f t="shared" si="116"/>
        <v>294.59081922710772</v>
      </c>
      <c r="BI177" s="59">
        <f ca="1">AVERAGE(OFFSET($BH$3,0,0,'Données projet'!$E$11+1,1))-AVERAGE(OFFSET($H$3,0,0,'Données projet'!$E$11+1,1))</f>
        <v>350.01600895263641</v>
      </c>
      <c r="BJ177" s="59">
        <f t="shared" si="146"/>
        <v>464.08921044376882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35.220500733078538</v>
      </c>
      <c r="BQ177" s="21">
        <f>EXP(-LN(2)/25)*BQ176+(1-EXP(-LN(2)/25))/(LN(2)/25)*Calculateur!BL177*Calculateur!BN177*VLOOKUP('Données projet'!$B$11,Paramètres!$A$1:$I$89,3,0)*0.475*44/12</f>
        <v>0.93319219637624662</v>
      </c>
      <c r="BR177" s="21">
        <f>EXP(-LN(2)/2)*BR176+(1-EXP(-LN(2)/2))/(LN(2)/2)*BL177*BO177*VLOOKUP('Données projet'!$B$11,Paramètres!$A$1:$I$89,3,0)*0.475*44/12</f>
        <v>1.5668426661650874E-22</v>
      </c>
      <c r="BS177" s="22">
        <f t="shared" si="169"/>
        <v>36.153692929454785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253.79640000000001</v>
      </c>
      <c r="CA177" s="13">
        <f t="shared" si="170"/>
        <v>61.39816832228076</v>
      </c>
      <c r="CB177" s="20">
        <f t="shared" si="171"/>
        <v>548.96387316130563</v>
      </c>
      <c r="CC177" s="59">
        <f t="shared" si="119"/>
        <v>842.29720649463889</v>
      </c>
      <c r="CD177" s="59">
        <f ca="1">AVERAGE(OFFSET($CC$3,0,0,'Données projet'!$E$12+1,1))-AVERAGE(OFFSET($H$3,0,0,'Données projet'!$E$12+1,1))</f>
        <v>279.49721661620544</v>
      </c>
      <c r="CE177" s="59">
        <f t="shared" si="148"/>
        <v>275.18739333988754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8.263646015413336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8.263646015413336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18.829999999999643</v>
      </c>
      <c r="CU177" s="17">
        <f>CT177*VLOOKUP('Données projet'!$B$13,Paramètres!$A$1:$I$89,3,0)*VLOOKUP('Données projet'!$B$13,Paramètres!$A$1:$I$89,5,0)</f>
        <v>19.093619999999639</v>
      </c>
      <c r="CV177" s="13">
        <f t="shared" si="173"/>
        <v>6.2423044268988592</v>
      </c>
      <c r="CW177" s="20">
        <f t="shared" si="174"/>
        <v>44.126735043514884</v>
      </c>
      <c r="CX177" s="59">
        <f t="shared" si="122"/>
        <v>337.4600683768482</v>
      </c>
      <c r="CY177" s="59">
        <f ca="1">AVERAGE(OFFSET($CX$3,0,0,'Données projet'!$E$13+1,1))-AVERAGE(OFFSET($H$3,0,0,'Données projet'!$E$13+1,1))</f>
        <v>402.54350692668021</v>
      </c>
      <c r="CZ177" s="59">
        <f t="shared" si="150"/>
        <v>163.60655196884522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194.17248663249836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194.17248663249836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404.00000000000017</v>
      </c>
      <c r="DP177" s="17">
        <f>DO177*VLOOKUP('Données projet'!$B$14,Paramètres!$A$1:$I$89,3,0)*VLOOKUP('Données projet'!$B$14,Paramètres!$A$1:$I$89,5,0)</f>
        <v>346.63200000000018</v>
      </c>
      <c r="DQ177" s="13">
        <f t="shared" si="176"/>
        <v>80.868615263336864</v>
      </c>
      <c r="DR177" s="20">
        <f t="shared" si="177"/>
        <v>744.56357158364528</v>
      </c>
      <c r="DS177" s="59">
        <f t="shared" si="125"/>
        <v>1037.8969049169787</v>
      </c>
      <c r="DT177" s="59">
        <f ca="1">AVERAGE(OFFSET($DS$3,0,0,'Données projet'!$E$14+1,1))-AVERAGE(OFFSET($H$3,0,0,'Données projet'!$E$14+1,1))</f>
        <v>352.76625414822473</v>
      </c>
      <c r="DU177" s="59">
        <f t="shared" si="152"/>
        <v>186.48649111821521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34.305310064242562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34.305310064242562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210.25641030000014</v>
      </c>
      <c r="EK177" s="17">
        <f>EJ177*VLOOKUP('Données projet'!$B$15,Paramètres!$A$1:$I$89,3,0)*VLOOKUP('Données projet'!$B$15,Paramètres!$A$1:$I$89,5,0)</f>
        <v>164.00000003400012</v>
      </c>
      <c r="EL177" s="13">
        <f t="shared" si="179"/>
        <v>41.743425916009095</v>
      </c>
      <c r="EM177" s="20">
        <f t="shared" si="180"/>
        <v>358.3364668629327</v>
      </c>
      <c r="EN177" s="59">
        <f t="shared" si="128"/>
        <v>651.66980019626601</v>
      </c>
      <c r="EO177" s="59">
        <f ca="1">AVERAGE(OFFSET($EN$3,0,0,'Données projet'!$E$15+1,1))-AVERAGE(OFFSET($H$3,0,0,'Données projet'!$E$15+1,1))</f>
        <v>130.66539383144681</v>
      </c>
      <c r="EP177" s="59">
        <f t="shared" si="154"/>
        <v>126.36398121441903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4.0368747933978488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4.0368747933978488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18.829999999999643</v>
      </c>
      <c r="FF177" s="17">
        <f>FE177*VLOOKUP('Données projet'!$B$16,Paramètres!$A$1:$I$89,3,0)*VLOOKUP('Données projet'!$B$16,Paramètres!$A$1:$I$89,5,0)</f>
        <v>18.212375999999654</v>
      </c>
      <c r="FG177" s="13">
        <f t="shared" si="182"/>
        <v>5.9870377924133553</v>
      </c>
      <c r="FH177" s="20">
        <f t="shared" si="183"/>
        <v>42.147312355119332</v>
      </c>
      <c r="FI177" s="59">
        <f t="shared" si="131"/>
        <v>335.48064568845263</v>
      </c>
      <c r="FJ177" s="59">
        <f ca="1">AVERAGE(OFFSET($FI$3,0,0,'Données projet'!$E$16+1,1))-AVERAGE(OFFSET($H$3,0,0,'Données projet'!$E$16+1,1))</f>
        <v>380.43199889536805</v>
      </c>
      <c r="FK177" s="59">
        <f t="shared" si="156"/>
        <v>154.72646317672996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185.2106795571523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185.2106795571523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304</v>
      </c>
      <c r="O178" s="13">
        <f>N178*VLOOKUP('Données projet'!$B$9,Paramètres!$A$1:$I$89,3,0)*VLOOKUP('Données projet'!$B$9,Paramètres!$A$1:$I$89,5,0)</f>
        <v>189.696</v>
      </c>
      <c r="P178" s="13">
        <f t="shared" si="141"/>
        <v>47.472736505152469</v>
      </c>
      <c r="Q178" s="20">
        <f t="shared" si="162"/>
        <v>413.06888274647389</v>
      </c>
      <c r="R178" s="59">
        <f t="shared" si="109"/>
        <v>706.4022160798072</v>
      </c>
      <c r="S178" s="59">
        <f ca="1">AVERAGE(OFFSET($R$3,0,0,'Données projet'!$E$9+1,1))-AVERAGE(OFFSET($H$3,0,0,'Données projet'!$E$9+1,1))</f>
        <v>179.44051550872138</v>
      </c>
      <c r="T178" s="59">
        <f t="shared" si="142"/>
        <v>272.9500808380069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6.9622926813483881</v>
      </c>
      <c r="AA178" s="21">
        <f>EXP(-LN(2)/25)*AA177+(1-EXP(-LN(2)/25))/(LN(2)/25)*Calculateur!V178*Calculateur!X178*VLOOKUP('Données projet'!$B$9,Paramètres!$A$1:$I$89,3,0)*0.475*44/12</f>
        <v>0.86851516958525365</v>
      </c>
      <c r="AB178" s="21">
        <f>EXP(-LN(2)/2)*AB177+(1-EXP(-LN(2)/2))/(LN(2)/2)*V178*Y178*VLOOKUP('Données projet'!$B$9,Paramètres!$A$1:$I$89,3,0)*0.475*44/12</f>
        <v>3.3059437885835583E-23</v>
      </c>
      <c r="AC178" s="22">
        <f t="shared" si="163"/>
        <v>7.8308078509336418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2.4999999999997442</v>
      </c>
      <c r="AJ178" s="13">
        <f>AI178*VLOOKUP('Données projet'!$B$10,Paramètres!$A$1:$I$89,3,0)*VLOOKUP('Données projet'!$B$10,Paramètres!$A$1:$I$89,5,0)</f>
        <v>1.2024999999998769</v>
      </c>
      <c r="AK178" s="13">
        <f t="shared" si="164"/>
        <v>0.54239446125464896</v>
      </c>
      <c r="AL178" s="20">
        <f t="shared" si="165"/>
        <v>3.0390245200182986</v>
      </c>
      <c r="AM178" s="59">
        <f t="shared" si="113"/>
        <v>296.37235785335162</v>
      </c>
      <c r="AN178" s="59">
        <f ca="1">AVERAGE(OFFSET($AM$3,0,0,'Données projet'!$E$10+1,1))-AVERAGE(OFFSET($H$3,0,0,'Données projet'!$E$10+1,1))</f>
        <v>174.18188687702559</v>
      </c>
      <c r="AO178" s="59">
        <f t="shared" si="144"/>
        <v>32.17353897322738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72.274447475272822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72.274447475272822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0.8600000000003547</v>
      </c>
      <c r="BE178" s="13">
        <f>BD178*VLOOKUP('Données projet'!$B$11,Paramètres!$A$1:$I$89,3,0)*VLOOKUP('Données projet'!$B$11,Paramètres!$A$1:$I$89,5,0)</f>
        <v>0.48074000000019829</v>
      </c>
      <c r="BF178" s="13">
        <f t="shared" si="167"/>
        <v>0.24126147010950588</v>
      </c>
      <c r="BG178" s="20">
        <f t="shared" si="168"/>
        <v>1.2574858937744013</v>
      </c>
      <c r="BH178" s="59">
        <f t="shared" si="116"/>
        <v>294.59081922710772</v>
      </c>
      <c r="BI178" s="59">
        <f ca="1">AVERAGE(OFFSET($BH$3,0,0,'Données projet'!$E$11+1,1))-AVERAGE(OFFSET($H$3,0,0,'Données projet'!$E$11+1,1))</f>
        <v>350.01600895263641</v>
      </c>
      <c r="BJ178" s="59">
        <f t="shared" si="146"/>
        <v>464.08921044376882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34.529848196087109</v>
      </c>
      <c r="BQ178" s="21">
        <f>EXP(-LN(2)/25)*BQ177+(1-EXP(-LN(2)/25))/(LN(2)/25)*Calculateur!BL178*Calculateur!BN178*VLOOKUP('Données projet'!$B$11,Paramètres!$A$1:$I$89,3,0)*0.475*44/12</f>
        <v>0.90767400669189335</v>
      </c>
      <c r="BR178" s="21">
        <f>EXP(-LN(2)/2)*BR177+(1-EXP(-LN(2)/2))/(LN(2)/2)*BL178*BO178*VLOOKUP('Données projet'!$B$11,Paramètres!$A$1:$I$89,3,0)*0.475*44/12</f>
        <v>1.1079250742977431E-22</v>
      </c>
      <c r="BS178" s="22">
        <f t="shared" si="169"/>
        <v>35.437522202779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253.79640000000001</v>
      </c>
      <c r="CA178" s="13">
        <f t="shared" si="170"/>
        <v>61.39816832228076</v>
      </c>
      <c r="CB178" s="20">
        <f t="shared" si="171"/>
        <v>548.96387316130563</v>
      </c>
      <c r="CC178" s="59">
        <f t="shared" si="119"/>
        <v>842.29720649463889</v>
      </c>
      <c r="CD178" s="59">
        <f ca="1">AVERAGE(OFFSET($CC$3,0,0,'Données projet'!$E$12+1,1))-AVERAGE(OFFSET($H$3,0,0,'Données projet'!$E$12+1,1))</f>
        <v>279.49721661620544</v>
      </c>
      <c r="CE178" s="59">
        <f t="shared" si="148"/>
        <v>275.18739333988754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8.1016009573774586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8.1016009573774586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18.829999999999643</v>
      </c>
      <c r="CU178" s="17">
        <f>CT178*VLOOKUP('Données projet'!$B$13,Paramètres!$A$1:$I$89,3,0)*VLOOKUP('Données projet'!$B$13,Paramètres!$A$1:$I$89,5,0)</f>
        <v>19.093619999999639</v>
      </c>
      <c r="CV178" s="13">
        <f t="shared" si="173"/>
        <v>6.2423044268988592</v>
      </c>
      <c r="CW178" s="20">
        <f t="shared" si="174"/>
        <v>44.126735043514884</v>
      </c>
      <c r="CX178" s="59">
        <f t="shared" si="122"/>
        <v>337.4600683768482</v>
      </c>
      <c r="CY178" s="59">
        <f ca="1">AVERAGE(OFFSET($CX$3,0,0,'Données projet'!$E$13+1,1))-AVERAGE(OFFSET($H$3,0,0,'Données projet'!$E$13+1,1))</f>
        <v>402.54350692668021</v>
      </c>
      <c r="CZ178" s="59">
        <f t="shared" si="150"/>
        <v>163.60655196884522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190.36488260315758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190.36488260315758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404.00000000000017</v>
      </c>
      <c r="DP178" s="17">
        <f>DO178*VLOOKUP('Données projet'!$B$14,Paramètres!$A$1:$I$89,3,0)*VLOOKUP('Données projet'!$B$14,Paramètres!$A$1:$I$89,5,0)</f>
        <v>346.63200000000018</v>
      </c>
      <c r="DQ178" s="13">
        <f t="shared" si="176"/>
        <v>80.868615263336864</v>
      </c>
      <c r="DR178" s="20">
        <f t="shared" si="177"/>
        <v>744.56357158364528</v>
      </c>
      <c r="DS178" s="59">
        <f t="shared" si="125"/>
        <v>1037.8969049169787</v>
      </c>
      <c r="DT178" s="59">
        <f ca="1">AVERAGE(OFFSET($DS$3,0,0,'Données projet'!$E$14+1,1))-AVERAGE(OFFSET($H$3,0,0,'Données projet'!$E$14+1,1))</f>
        <v>352.76625414822473</v>
      </c>
      <c r="DU178" s="59">
        <f t="shared" si="152"/>
        <v>186.48649111821521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33.632603858055816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33.632603858055816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210.25641030000014</v>
      </c>
      <c r="EK178" s="17">
        <f>EJ178*VLOOKUP('Données projet'!$B$15,Paramètres!$A$1:$I$89,3,0)*VLOOKUP('Données projet'!$B$15,Paramètres!$A$1:$I$89,5,0)</f>
        <v>164.00000003400012</v>
      </c>
      <c r="EL178" s="13">
        <f t="shared" si="179"/>
        <v>41.743425916009095</v>
      </c>
      <c r="EM178" s="20">
        <f t="shared" si="180"/>
        <v>358.3364668629327</v>
      </c>
      <c r="EN178" s="59">
        <f t="shared" si="128"/>
        <v>651.66980019626601</v>
      </c>
      <c r="EO178" s="59">
        <f ca="1">AVERAGE(OFFSET($EN$3,0,0,'Données projet'!$E$15+1,1))-AVERAGE(OFFSET($H$3,0,0,'Données projet'!$E$15+1,1))</f>
        <v>130.66539383144681</v>
      </c>
      <c r="EP178" s="59">
        <f t="shared" si="154"/>
        <v>126.36398121441903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3.9577141409498138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3.9577141409498138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18.829999999999643</v>
      </c>
      <c r="FF178" s="17">
        <f>FE178*VLOOKUP('Données projet'!$B$16,Paramètres!$A$1:$I$89,3,0)*VLOOKUP('Données projet'!$B$16,Paramètres!$A$1:$I$89,5,0)</f>
        <v>18.212375999999654</v>
      </c>
      <c r="FG178" s="13">
        <f t="shared" si="182"/>
        <v>5.9870377924133553</v>
      </c>
      <c r="FH178" s="20">
        <f t="shared" si="183"/>
        <v>42.147312355119332</v>
      </c>
      <c r="FI178" s="59">
        <f t="shared" si="131"/>
        <v>335.48064568845263</v>
      </c>
      <c r="FJ178" s="59">
        <f ca="1">AVERAGE(OFFSET($FI$3,0,0,'Données projet'!$E$16+1,1))-AVERAGE(OFFSET($H$3,0,0,'Données projet'!$E$16+1,1))</f>
        <v>380.43199889536805</v>
      </c>
      <c r="FK178" s="59">
        <f t="shared" si="156"/>
        <v>154.72646317672996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181.57881109839647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181.57881109839647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304</v>
      </c>
      <c r="O179" s="13">
        <f>N179*VLOOKUP('Données projet'!$B$9,Paramètres!$A$1:$I$89,3,0)*VLOOKUP('Données projet'!$B$9,Paramètres!$A$1:$I$89,5,0)</f>
        <v>189.696</v>
      </c>
      <c r="P179" s="13">
        <f t="shared" si="141"/>
        <v>47.472736505152469</v>
      </c>
      <c r="Q179" s="20">
        <f t="shared" si="162"/>
        <v>413.06888274647389</v>
      </c>
      <c r="R179" s="59">
        <f t="shared" si="109"/>
        <v>706.4022160798072</v>
      </c>
      <c r="S179" s="59">
        <f ca="1">AVERAGE(OFFSET($R$3,0,0,'Données projet'!$E$9+1,1))-AVERAGE(OFFSET($H$3,0,0,'Données projet'!$E$9+1,1))</f>
        <v>179.44051550872138</v>
      </c>
      <c r="T179" s="59">
        <f t="shared" si="142"/>
        <v>272.9500808380069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6.8257663684463665</v>
      </c>
      <c r="AA179" s="21">
        <f>EXP(-LN(2)/25)*AA178+(1-EXP(-LN(2)/25))/(LN(2)/25)*Calculateur!V179*Calculateur!X179*VLOOKUP('Données projet'!$B$9,Paramètres!$A$1:$I$89,3,0)*0.475*44/12</f>
        <v>0.84476557659971718</v>
      </c>
      <c r="AB179" s="21">
        <f>EXP(-LN(2)/2)*AB178+(1-EXP(-LN(2)/2))/(LN(2)/2)*V179*Y179*VLOOKUP('Données projet'!$B$9,Paramètres!$A$1:$I$89,3,0)*0.475*44/12</f>
        <v>2.3376552711289801E-23</v>
      </c>
      <c r="AC179" s="22">
        <f t="shared" si="163"/>
        <v>7.6705319450460836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2.4999999999997442</v>
      </c>
      <c r="AJ179" s="13">
        <f>AI179*VLOOKUP('Données projet'!$B$10,Paramètres!$A$1:$I$89,3,0)*VLOOKUP('Données projet'!$B$10,Paramètres!$A$1:$I$89,5,0)</f>
        <v>1.2024999999998769</v>
      </c>
      <c r="AK179" s="13">
        <f t="shared" si="164"/>
        <v>0.54239446125464896</v>
      </c>
      <c r="AL179" s="20">
        <f t="shared" si="165"/>
        <v>3.0390245200182986</v>
      </c>
      <c r="AM179" s="59">
        <f t="shared" si="113"/>
        <v>296.37235785335162</v>
      </c>
      <c r="AN179" s="59">
        <f ca="1">AVERAGE(OFFSET($AM$3,0,0,'Données projet'!$E$10+1,1))-AVERAGE(OFFSET($H$3,0,0,'Données projet'!$E$10+1,1))</f>
        <v>174.18188687702559</v>
      </c>
      <c r="AO179" s="59">
        <f t="shared" si="144"/>
        <v>32.17353897322738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70.857189643342835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70.857189643342835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0.8600000000003547</v>
      </c>
      <c r="BE179" s="13">
        <f>BD179*VLOOKUP('Données projet'!$B$11,Paramètres!$A$1:$I$89,3,0)*VLOOKUP('Données projet'!$B$11,Paramètres!$A$1:$I$89,5,0)</f>
        <v>0.48074000000019829</v>
      </c>
      <c r="BF179" s="13">
        <f t="shared" si="167"/>
        <v>0.24126147010950588</v>
      </c>
      <c r="BG179" s="20">
        <f t="shared" si="168"/>
        <v>1.2574858937744013</v>
      </c>
      <c r="BH179" s="59">
        <f t="shared" si="116"/>
        <v>294.59081922710772</v>
      </c>
      <c r="BI179" s="59">
        <f ca="1">AVERAGE(OFFSET($BH$3,0,0,'Données projet'!$E$11+1,1))-AVERAGE(OFFSET($H$3,0,0,'Données projet'!$E$11+1,1))</f>
        <v>350.01600895263641</v>
      </c>
      <c r="BJ179" s="59">
        <f t="shared" si="146"/>
        <v>464.08921044376882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33.852738934089629</v>
      </c>
      <c r="BQ179" s="21">
        <f>EXP(-LN(2)/25)*BQ178+(1-EXP(-LN(2)/25))/(LN(2)/25)*Calculateur!BL179*Calculateur!BN179*VLOOKUP('Données projet'!$B$11,Paramètres!$A$1:$I$89,3,0)*0.475*44/12</f>
        <v>0.88285361324640199</v>
      </c>
      <c r="BR179" s="21">
        <f>EXP(-LN(2)/2)*BR178+(1-EXP(-LN(2)/2))/(LN(2)/2)*BL179*BO179*VLOOKUP('Données projet'!$B$11,Paramètres!$A$1:$I$89,3,0)*0.475*44/12</f>
        <v>7.8342133308254369E-23</v>
      </c>
      <c r="BS179" s="22">
        <f t="shared" si="169"/>
        <v>34.735592547336033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253.79640000000001</v>
      </c>
      <c r="CA179" s="13">
        <f t="shared" si="170"/>
        <v>61.39816832228076</v>
      </c>
      <c r="CB179" s="20">
        <f t="shared" si="171"/>
        <v>548.96387316130563</v>
      </c>
      <c r="CC179" s="59">
        <f t="shared" si="119"/>
        <v>842.29720649463889</v>
      </c>
      <c r="CD179" s="59">
        <f ca="1">AVERAGE(OFFSET($CC$3,0,0,'Données projet'!$E$12+1,1))-AVERAGE(OFFSET($H$3,0,0,'Données projet'!$E$12+1,1))</f>
        <v>279.49721661620544</v>
      </c>
      <c r="CE179" s="59">
        <f t="shared" si="148"/>
        <v>275.18739333988754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7.9427335040919393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7.9427335040919393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18.829999999999643</v>
      </c>
      <c r="CU179" s="17">
        <f>CT179*VLOOKUP('Données projet'!$B$13,Paramètres!$A$1:$I$89,3,0)*VLOOKUP('Données projet'!$B$13,Paramètres!$A$1:$I$89,5,0)</f>
        <v>19.093619999999639</v>
      </c>
      <c r="CV179" s="13">
        <f t="shared" si="173"/>
        <v>6.2423044268988592</v>
      </c>
      <c r="CW179" s="20">
        <f t="shared" si="174"/>
        <v>44.126735043514884</v>
      </c>
      <c r="CX179" s="59">
        <f t="shared" si="122"/>
        <v>337.4600683768482</v>
      </c>
      <c r="CY179" s="59">
        <f ca="1">AVERAGE(OFFSET($CX$3,0,0,'Données projet'!$E$13+1,1))-AVERAGE(OFFSET($H$3,0,0,'Données projet'!$E$13+1,1))</f>
        <v>402.54350692668021</v>
      </c>
      <c r="CZ179" s="59">
        <f t="shared" si="150"/>
        <v>163.60655196884522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186.63194336642303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186.63194336642303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404.00000000000017</v>
      </c>
      <c r="DP179" s="17">
        <f>DO179*VLOOKUP('Données projet'!$B$14,Paramètres!$A$1:$I$89,3,0)*VLOOKUP('Données projet'!$B$14,Paramètres!$A$1:$I$89,5,0)</f>
        <v>346.63200000000018</v>
      </c>
      <c r="DQ179" s="13">
        <f t="shared" si="176"/>
        <v>80.868615263336864</v>
      </c>
      <c r="DR179" s="20">
        <f t="shared" si="177"/>
        <v>744.56357158364528</v>
      </c>
      <c r="DS179" s="59">
        <f t="shared" si="125"/>
        <v>1037.8969049169787</v>
      </c>
      <c r="DT179" s="59">
        <f ca="1">AVERAGE(OFFSET($DS$3,0,0,'Données projet'!$E$14+1,1))-AVERAGE(OFFSET($H$3,0,0,'Données projet'!$E$14+1,1))</f>
        <v>352.76625414822473</v>
      </c>
      <c r="DU179" s="59">
        <f t="shared" si="152"/>
        <v>186.48649111821521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32.973089010262122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32.973089010262122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210.25641030000014</v>
      </c>
      <c r="EK179" s="17">
        <f>EJ179*VLOOKUP('Données projet'!$B$15,Paramètres!$A$1:$I$89,3,0)*VLOOKUP('Données projet'!$B$15,Paramètres!$A$1:$I$89,5,0)</f>
        <v>164.00000003400012</v>
      </c>
      <c r="EL179" s="13">
        <f t="shared" si="179"/>
        <v>41.743425916009095</v>
      </c>
      <c r="EM179" s="20">
        <f t="shared" si="180"/>
        <v>358.3364668629327</v>
      </c>
      <c r="EN179" s="59">
        <f t="shared" si="128"/>
        <v>651.66980019626601</v>
      </c>
      <c r="EO179" s="59">
        <f ca="1">AVERAGE(OFFSET($EN$3,0,0,'Données projet'!$E$15+1,1))-AVERAGE(OFFSET($H$3,0,0,'Données projet'!$E$15+1,1))</f>
        <v>130.66539383144681</v>
      </c>
      <c r="EP179" s="59">
        <f t="shared" si="154"/>
        <v>126.36398121441903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3.8801057806130546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3.8801057806130546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18.829999999999643</v>
      </c>
      <c r="FF179" s="17">
        <f>FE179*VLOOKUP('Données projet'!$B$16,Paramètres!$A$1:$I$89,3,0)*VLOOKUP('Données projet'!$B$16,Paramètres!$A$1:$I$89,5,0)</f>
        <v>18.212375999999654</v>
      </c>
      <c r="FG179" s="13">
        <f t="shared" si="182"/>
        <v>5.9870377924133553</v>
      </c>
      <c r="FH179" s="20">
        <f t="shared" si="183"/>
        <v>42.147312355119332</v>
      </c>
      <c r="FI179" s="59">
        <f t="shared" si="131"/>
        <v>335.48064568845263</v>
      </c>
      <c r="FJ179" s="59">
        <f ca="1">AVERAGE(OFFSET($FI$3,0,0,'Données projet'!$E$16+1,1))-AVERAGE(OFFSET($H$3,0,0,'Données projet'!$E$16+1,1))</f>
        <v>380.43199889536805</v>
      </c>
      <c r="FK179" s="59">
        <f t="shared" si="156"/>
        <v>154.72646317672996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178.01816136489583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178.01816136489583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304</v>
      </c>
      <c r="O180" s="13">
        <f>N180*VLOOKUP('Données projet'!$B$9,Paramètres!$A$1:$I$89,3,0)*VLOOKUP('Données projet'!$B$9,Paramètres!$A$1:$I$89,5,0)</f>
        <v>189.696</v>
      </c>
      <c r="P180" s="13">
        <f t="shared" si="141"/>
        <v>47.472736505152469</v>
      </c>
      <c r="Q180" s="20">
        <f t="shared" si="162"/>
        <v>413.06888274647389</v>
      </c>
      <c r="R180" s="59">
        <f t="shared" si="109"/>
        <v>706.4022160798072</v>
      </c>
      <c r="S180" s="59">
        <f ca="1">AVERAGE(OFFSET($R$3,0,0,'Données projet'!$E$9+1,1))-AVERAGE(OFFSET($H$3,0,0,'Données projet'!$E$9+1,1))</f>
        <v>179.44051550872138</v>
      </c>
      <c r="T180" s="59">
        <f t="shared" si="142"/>
        <v>272.9500808380069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6.6919172532675253</v>
      </c>
      <c r="AA180" s="21">
        <f>EXP(-LN(2)/25)*AA179+(1-EXP(-LN(2)/25))/(LN(2)/25)*Calculateur!V180*Calculateur!X180*VLOOKUP('Données projet'!$B$9,Paramètres!$A$1:$I$89,3,0)*0.475*44/12</f>
        <v>0.82166541748330701</v>
      </c>
      <c r="AB180" s="21">
        <f>EXP(-LN(2)/2)*AB179+(1-EXP(-LN(2)/2))/(LN(2)/2)*V180*Y180*VLOOKUP('Données projet'!$B$9,Paramètres!$A$1:$I$89,3,0)*0.475*44/12</f>
        <v>1.6529718942917792E-23</v>
      </c>
      <c r="AC180" s="22">
        <f t="shared" si="163"/>
        <v>7.5135826707508322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2.4999999999997442</v>
      </c>
      <c r="AJ180" s="13">
        <f>AI180*VLOOKUP('Données projet'!$B$10,Paramètres!$A$1:$I$89,3,0)*VLOOKUP('Données projet'!$B$10,Paramètres!$A$1:$I$89,5,0)</f>
        <v>1.2024999999998769</v>
      </c>
      <c r="AK180" s="13">
        <f t="shared" si="164"/>
        <v>0.54239446125464896</v>
      </c>
      <c r="AL180" s="20">
        <f t="shared" si="165"/>
        <v>3.0390245200182986</v>
      </c>
      <c r="AM180" s="59">
        <f t="shared" si="113"/>
        <v>296.37235785335162</v>
      </c>
      <c r="AN180" s="59">
        <f ca="1">AVERAGE(OFFSET($AM$3,0,0,'Données projet'!$E$10+1,1))-AVERAGE(OFFSET($H$3,0,0,'Données projet'!$E$10+1,1))</f>
        <v>174.18188687702559</v>
      </c>
      <c r="AO180" s="59">
        <f t="shared" si="144"/>
        <v>32.17353897322738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69.46772337305508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69.46772337305508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0.8600000000003547</v>
      </c>
      <c r="BE180" s="13">
        <f>BD180*VLOOKUP('Données projet'!$B$11,Paramètres!$A$1:$I$89,3,0)*VLOOKUP('Données projet'!$B$11,Paramètres!$A$1:$I$89,5,0)</f>
        <v>0.48074000000019829</v>
      </c>
      <c r="BF180" s="13">
        <f t="shared" si="167"/>
        <v>0.24126147010950588</v>
      </c>
      <c r="BG180" s="20">
        <f t="shared" si="168"/>
        <v>1.2574858937744013</v>
      </c>
      <c r="BH180" s="59">
        <f t="shared" si="116"/>
        <v>294.59081922710772</v>
      </c>
      <c r="BI180" s="59">
        <f ca="1">AVERAGE(OFFSET($BH$3,0,0,'Données projet'!$E$11+1,1))-AVERAGE(OFFSET($H$3,0,0,'Données projet'!$E$11+1,1))</f>
        <v>350.01600895263641</v>
      </c>
      <c r="BJ180" s="59">
        <f t="shared" si="146"/>
        <v>464.08921044376882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33.188907371724049</v>
      </c>
      <c r="BQ180" s="21">
        <f>EXP(-LN(2)/25)*BQ179+(1-EXP(-LN(2)/25))/(LN(2)/25)*Calculateur!BL180*Calculateur!BN180*VLOOKUP('Données projet'!$B$11,Paramètres!$A$1:$I$89,3,0)*0.475*44/12</f>
        <v>0.85871193476492536</v>
      </c>
      <c r="BR180" s="21">
        <f>EXP(-LN(2)/2)*BR179+(1-EXP(-LN(2)/2))/(LN(2)/2)*BL180*BO180*VLOOKUP('Données projet'!$B$11,Paramètres!$A$1:$I$89,3,0)*0.475*44/12</f>
        <v>5.5396253714887157E-23</v>
      </c>
      <c r="BS180" s="22">
        <f t="shared" si="169"/>
        <v>34.047619306488976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253.79640000000001</v>
      </c>
      <c r="CA180" s="13">
        <f t="shared" si="170"/>
        <v>61.39816832228076</v>
      </c>
      <c r="CB180" s="20">
        <f t="shared" si="171"/>
        <v>548.96387316130563</v>
      </c>
      <c r="CC180" s="59">
        <f t="shared" si="119"/>
        <v>842.29720649463889</v>
      </c>
      <c r="CD180" s="59">
        <f ca="1">AVERAGE(OFFSET($CC$3,0,0,'Données projet'!$E$12+1,1))-AVERAGE(OFFSET($H$3,0,0,'Données projet'!$E$12+1,1))</f>
        <v>279.49721661620544</v>
      </c>
      <c r="CE180" s="59">
        <f t="shared" si="148"/>
        <v>275.18739333988754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7.7869813446657705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7.7869813446657705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18.829999999999643</v>
      </c>
      <c r="CU180" s="17">
        <f>CT180*VLOOKUP('Données projet'!$B$13,Paramètres!$A$1:$I$89,3,0)*VLOOKUP('Données projet'!$B$13,Paramètres!$A$1:$I$89,5,0)</f>
        <v>19.093619999999639</v>
      </c>
      <c r="CV180" s="13">
        <f t="shared" si="173"/>
        <v>6.2423044268988592</v>
      </c>
      <c r="CW180" s="20">
        <f t="shared" si="174"/>
        <v>44.126735043514884</v>
      </c>
      <c r="CX180" s="59">
        <f t="shared" si="122"/>
        <v>337.4600683768482</v>
      </c>
      <c r="CY180" s="59">
        <f ca="1">AVERAGE(OFFSET($CX$3,0,0,'Données projet'!$E$13+1,1))-AVERAGE(OFFSET($H$3,0,0,'Données projet'!$E$13+1,1))</f>
        <v>402.54350692668021</v>
      </c>
      <c r="CZ180" s="59">
        <f t="shared" si="150"/>
        <v>163.60655196884522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182.97220479125272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182.97220479125272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404.00000000000017</v>
      </c>
      <c r="DP180" s="17">
        <f>DO180*VLOOKUP('Données projet'!$B$14,Paramètres!$A$1:$I$89,3,0)*VLOOKUP('Données projet'!$B$14,Paramètres!$A$1:$I$89,5,0)</f>
        <v>346.63200000000018</v>
      </c>
      <c r="DQ180" s="13">
        <f t="shared" si="176"/>
        <v>80.868615263336864</v>
      </c>
      <c r="DR180" s="20">
        <f t="shared" si="177"/>
        <v>744.56357158364528</v>
      </c>
      <c r="DS180" s="59">
        <f t="shared" si="125"/>
        <v>1037.8969049169787</v>
      </c>
      <c r="DT180" s="59">
        <f ca="1">AVERAGE(OFFSET($DS$3,0,0,'Données projet'!$E$14+1,1))-AVERAGE(OFFSET($H$3,0,0,'Données projet'!$E$14+1,1))</f>
        <v>352.76625414822473</v>
      </c>
      <c r="DU180" s="59">
        <f t="shared" si="152"/>
        <v>186.48649111821521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32.32650684636932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32.32650684636932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210.25641030000014</v>
      </c>
      <c r="EK180" s="17">
        <f>EJ180*VLOOKUP('Données projet'!$B$15,Paramètres!$A$1:$I$89,3,0)*VLOOKUP('Données projet'!$B$15,Paramètres!$A$1:$I$89,5,0)</f>
        <v>164.00000003400012</v>
      </c>
      <c r="EL180" s="13">
        <f t="shared" si="179"/>
        <v>41.743425916009095</v>
      </c>
      <c r="EM180" s="20">
        <f t="shared" si="180"/>
        <v>358.3364668629327</v>
      </c>
      <c r="EN180" s="59">
        <f t="shared" si="128"/>
        <v>651.66980019626601</v>
      </c>
      <c r="EO180" s="59">
        <f ca="1">AVERAGE(OFFSET($EN$3,0,0,'Données projet'!$E$15+1,1))-AVERAGE(OFFSET($H$3,0,0,'Données projet'!$E$15+1,1))</f>
        <v>130.66539383144681</v>
      </c>
      <c r="EP180" s="59">
        <f t="shared" si="154"/>
        <v>126.36398121441903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3.8040192728860736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3.8040192728860736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18.829999999999643</v>
      </c>
      <c r="FF180" s="17">
        <f>FE180*VLOOKUP('Données projet'!$B$16,Paramètres!$A$1:$I$89,3,0)*VLOOKUP('Données projet'!$B$16,Paramètres!$A$1:$I$89,5,0)</f>
        <v>18.212375999999654</v>
      </c>
      <c r="FG180" s="13">
        <f t="shared" si="182"/>
        <v>5.9870377924133553</v>
      </c>
      <c r="FH180" s="20">
        <f t="shared" si="183"/>
        <v>42.147312355119332</v>
      </c>
      <c r="FI180" s="59">
        <f t="shared" si="131"/>
        <v>335.48064568845263</v>
      </c>
      <c r="FJ180" s="59">
        <f ca="1">AVERAGE(OFFSET($FI$3,0,0,'Données projet'!$E$16+1,1))-AVERAGE(OFFSET($H$3,0,0,'Données projet'!$E$16+1,1))</f>
        <v>380.43199889536805</v>
      </c>
      <c r="FK180" s="59">
        <f t="shared" si="156"/>
        <v>154.72646317672996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174.52733380088725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174.52733380088725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304</v>
      </c>
      <c r="O181" s="13">
        <f>N181*VLOOKUP('Données projet'!$B$9,Paramètres!$A$1:$I$89,3,0)*VLOOKUP('Données projet'!$B$9,Paramètres!$A$1:$I$89,5,0)</f>
        <v>189.696</v>
      </c>
      <c r="P181" s="13">
        <f t="shared" si="141"/>
        <v>47.472736505152469</v>
      </c>
      <c r="Q181" s="20">
        <f t="shared" si="162"/>
        <v>413.06888274647389</v>
      </c>
      <c r="R181" s="59">
        <f t="shared" si="109"/>
        <v>706.4022160798072</v>
      </c>
      <c r="S181" s="59">
        <f ca="1">AVERAGE(OFFSET($R$3,0,0,'Données projet'!$E$9+1,1))-AVERAGE(OFFSET($H$3,0,0,'Données projet'!$E$9+1,1))</f>
        <v>179.44051550872138</v>
      </c>
      <c r="T181" s="59">
        <f t="shared" si="142"/>
        <v>272.9500808380069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6.5606928375974425</v>
      </c>
      <c r="AA181" s="21">
        <f>EXP(-LN(2)/25)*AA180+(1-EXP(-LN(2)/25))/(LN(2)/25)*Calculateur!V181*Calculateur!X181*VLOOKUP('Données projet'!$B$9,Paramètres!$A$1:$I$89,3,0)*0.475*44/12</f>
        <v>0.79919693343271958</v>
      </c>
      <c r="AB181" s="21">
        <f>EXP(-LN(2)/2)*AB180+(1-EXP(-LN(2)/2))/(LN(2)/2)*V181*Y181*VLOOKUP('Données projet'!$B$9,Paramètres!$A$1:$I$89,3,0)*0.475*44/12</f>
        <v>1.1688276355644901E-23</v>
      </c>
      <c r="AC181" s="22">
        <f t="shared" si="163"/>
        <v>7.3598897710301623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2.4999999999997442</v>
      </c>
      <c r="AJ181" s="13">
        <f>AI181*VLOOKUP('Données projet'!$B$10,Paramètres!$A$1:$I$89,3,0)*VLOOKUP('Données projet'!$B$10,Paramètres!$A$1:$I$89,5,0)</f>
        <v>1.2024999999998769</v>
      </c>
      <c r="AK181" s="13">
        <f t="shared" si="164"/>
        <v>0.54239446125464896</v>
      </c>
      <c r="AL181" s="20">
        <f t="shared" si="165"/>
        <v>3.0390245200182986</v>
      </c>
      <c r="AM181" s="59">
        <f t="shared" si="113"/>
        <v>296.37235785335162</v>
      </c>
      <c r="AN181" s="59">
        <f ca="1">AVERAGE(OFFSET($AM$3,0,0,'Données projet'!$E$10+1,1))-AVERAGE(OFFSET($H$3,0,0,'Données projet'!$E$10+1,1))</f>
        <v>174.18188687702559</v>
      </c>
      <c r="AO181" s="59">
        <f t="shared" si="144"/>
        <v>32.17353897322738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68.105503688836919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68.105503688836919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0.8600000000003547</v>
      </c>
      <c r="BE181" s="13">
        <f>BD181*VLOOKUP('Données projet'!$B$11,Paramètres!$A$1:$I$89,3,0)*VLOOKUP('Données projet'!$B$11,Paramètres!$A$1:$I$89,5,0)</f>
        <v>0.48074000000019829</v>
      </c>
      <c r="BF181" s="13">
        <f t="shared" si="167"/>
        <v>0.24126147010950588</v>
      </c>
      <c r="BG181" s="20">
        <f t="shared" si="168"/>
        <v>1.2574858937744013</v>
      </c>
      <c r="BH181" s="59">
        <f t="shared" si="116"/>
        <v>294.59081922710772</v>
      </c>
      <c r="BI181" s="59">
        <f ca="1">AVERAGE(OFFSET($BH$3,0,0,'Données projet'!$E$11+1,1))-AVERAGE(OFFSET($H$3,0,0,'Données projet'!$E$11+1,1))</f>
        <v>350.01600895263641</v>
      </c>
      <c r="BJ181" s="59">
        <f t="shared" si="146"/>
        <v>464.08921044376882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32.538093141399187</v>
      </c>
      <c r="BQ181" s="21">
        <f>EXP(-LN(2)/25)*BQ180+(1-EXP(-LN(2)/25))/(LN(2)/25)*Calculateur!BL181*Calculateur!BN181*VLOOKUP('Données projet'!$B$11,Paramètres!$A$1:$I$89,3,0)*0.475*44/12</f>
        <v>0.83523041175108048</v>
      </c>
      <c r="BR181" s="21">
        <f>EXP(-LN(2)/2)*BR180+(1-EXP(-LN(2)/2))/(LN(2)/2)*BL181*BO181*VLOOKUP('Données projet'!$B$11,Paramètres!$A$1:$I$89,3,0)*0.475*44/12</f>
        <v>3.9171066654127185E-23</v>
      </c>
      <c r="BS181" s="22">
        <f t="shared" si="169"/>
        <v>33.373323553150271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253.79640000000001</v>
      </c>
      <c r="CA181" s="13">
        <f t="shared" si="170"/>
        <v>61.39816832228076</v>
      </c>
      <c r="CB181" s="20">
        <f t="shared" si="171"/>
        <v>548.96387316130563</v>
      </c>
      <c r="CC181" s="59">
        <f t="shared" si="119"/>
        <v>842.29720649463889</v>
      </c>
      <c r="CD181" s="59">
        <f ca="1">AVERAGE(OFFSET($CC$3,0,0,'Données projet'!$E$12+1,1))-AVERAGE(OFFSET($H$3,0,0,'Données projet'!$E$12+1,1))</f>
        <v>279.49721661620544</v>
      </c>
      <c r="CE181" s="59">
        <f t="shared" si="148"/>
        <v>275.18739333988754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7.6342833900865124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7.6342833900865124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18.829999999999643</v>
      </c>
      <c r="CU181" s="17">
        <f>CT181*VLOOKUP('Données projet'!$B$13,Paramètres!$A$1:$I$89,3,0)*VLOOKUP('Données projet'!$B$13,Paramètres!$A$1:$I$89,5,0)</f>
        <v>19.093619999999639</v>
      </c>
      <c r="CV181" s="13">
        <f t="shared" si="173"/>
        <v>6.2423044268988592</v>
      </c>
      <c r="CW181" s="20">
        <f t="shared" si="174"/>
        <v>44.126735043514884</v>
      </c>
      <c r="CX181" s="59">
        <f t="shared" si="122"/>
        <v>337.4600683768482</v>
      </c>
      <c r="CY181" s="59">
        <f ca="1">AVERAGE(OFFSET($CX$3,0,0,'Données projet'!$E$13+1,1))-AVERAGE(OFFSET($H$3,0,0,'Données projet'!$E$13+1,1))</f>
        <v>402.54350692668021</v>
      </c>
      <c r="CZ181" s="59">
        <f t="shared" si="150"/>
        <v>163.60655196884522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179.38423145732139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179.38423145732139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404.00000000000017</v>
      </c>
      <c r="DP181" s="17">
        <f>DO181*VLOOKUP('Données projet'!$B$14,Paramètres!$A$1:$I$89,3,0)*VLOOKUP('Données projet'!$B$14,Paramètres!$A$1:$I$89,5,0)</f>
        <v>346.63200000000018</v>
      </c>
      <c r="DQ181" s="13">
        <f t="shared" si="176"/>
        <v>80.868615263336864</v>
      </c>
      <c r="DR181" s="20">
        <f t="shared" si="177"/>
        <v>744.56357158364528</v>
      </c>
      <c r="DS181" s="59">
        <f t="shared" si="125"/>
        <v>1037.8969049169787</v>
      </c>
      <c r="DT181" s="59">
        <f ca="1">AVERAGE(OFFSET($DS$3,0,0,'Données projet'!$E$14+1,1))-AVERAGE(OFFSET($H$3,0,0,'Données projet'!$E$14+1,1))</f>
        <v>352.76625414822473</v>
      </c>
      <c r="DU181" s="59">
        <f t="shared" si="152"/>
        <v>186.48649111821521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31.69260376433428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31.69260376433428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210.25641030000014</v>
      </c>
      <c r="EK181" s="17">
        <f>EJ181*VLOOKUP('Données projet'!$B$15,Paramètres!$A$1:$I$89,3,0)*VLOOKUP('Données projet'!$B$15,Paramètres!$A$1:$I$89,5,0)</f>
        <v>164.00000003400012</v>
      </c>
      <c r="EL181" s="13">
        <f t="shared" si="179"/>
        <v>41.743425916009095</v>
      </c>
      <c r="EM181" s="20">
        <f t="shared" si="180"/>
        <v>358.3364668629327</v>
      </c>
      <c r="EN181" s="59">
        <f t="shared" si="128"/>
        <v>651.66980019626601</v>
      </c>
      <c r="EO181" s="59">
        <f ca="1">AVERAGE(OFFSET($EN$3,0,0,'Données projet'!$E$15+1,1))-AVERAGE(OFFSET($H$3,0,0,'Données projet'!$E$15+1,1))</f>
        <v>130.66539383144681</v>
      </c>
      <c r="EP181" s="59">
        <f t="shared" si="154"/>
        <v>126.36398121441903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3.729424775167431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3.729424775167431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18.829999999999643</v>
      </c>
      <c r="FF181" s="17">
        <f>FE181*VLOOKUP('Données projet'!$B$16,Paramètres!$A$1:$I$89,3,0)*VLOOKUP('Données projet'!$B$16,Paramètres!$A$1:$I$89,5,0)</f>
        <v>18.212375999999654</v>
      </c>
      <c r="FG181" s="13">
        <f t="shared" si="182"/>
        <v>5.9870377924133553</v>
      </c>
      <c r="FH181" s="20">
        <f t="shared" si="183"/>
        <v>42.147312355119332</v>
      </c>
      <c r="FI181" s="59">
        <f t="shared" si="131"/>
        <v>335.48064568845263</v>
      </c>
      <c r="FJ181" s="59">
        <f ca="1">AVERAGE(OFFSET($FI$3,0,0,'Données projet'!$E$16+1,1))-AVERAGE(OFFSET($H$3,0,0,'Données projet'!$E$16+1,1))</f>
        <v>380.43199889536805</v>
      </c>
      <c r="FK181" s="59">
        <f t="shared" si="156"/>
        <v>154.72646317672996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171.10495923621428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171.10495923621428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304</v>
      </c>
      <c r="O182" s="13">
        <f>N182*VLOOKUP('Données projet'!$B$9,Paramètres!$A$1:$I$89,3,0)*VLOOKUP('Données projet'!$B$9,Paramètres!$A$1:$I$89,5,0)</f>
        <v>189.696</v>
      </c>
      <c r="P182" s="13">
        <f t="shared" si="141"/>
        <v>47.472736505152469</v>
      </c>
      <c r="Q182" s="20">
        <f t="shared" si="162"/>
        <v>413.06888274647389</v>
      </c>
      <c r="R182" s="59">
        <f t="shared" si="109"/>
        <v>706.4022160798072</v>
      </c>
      <c r="S182" s="59">
        <f ca="1">AVERAGE(OFFSET($R$3,0,0,'Données projet'!$E$9+1,1))-AVERAGE(OFFSET($H$3,0,0,'Données projet'!$E$9+1,1))</f>
        <v>179.44051550872138</v>
      </c>
      <c r="T182" s="59">
        <f t="shared" si="142"/>
        <v>272.9500808380069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6.4320416526796595</v>
      </c>
      <c r="AA182" s="21">
        <f>EXP(-LN(2)/25)*AA181+(1-EXP(-LN(2)/25))/(LN(2)/25)*Calculateur!V182*Calculateur!X182*VLOOKUP('Données projet'!$B$9,Paramètres!$A$1:$I$89,3,0)*0.475*44/12</f>
        <v>0.77734285126006175</v>
      </c>
      <c r="AB182" s="21">
        <f>EXP(-LN(2)/2)*AB181+(1-EXP(-LN(2)/2))/(LN(2)/2)*V182*Y182*VLOOKUP('Données projet'!$B$9,Paramètres!$A$1:$I$89,3,0)*0.475*44/12</f>
        <v>8.2648594714588958E-24</v>
      </c>
      <c r="AC182" s="22">
        <f t="shared" si="163"/>
        <v>7.2093845039397211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2.4999999999997442</v>
      </c>
      <c r="AJ182" s="13">
        <f>AI182*VLOOKUP('Données projet'!$B$10,Paramètres!$A$1:$I$89,3,0)*VLOOKUP('Données projet'!$B$10,Paramètres!$A$1:$I$89,5,0)</f>
        <v>1.2024999999998769</v>
      </c>
      <c r="AK182" s="13">
        <f t="shared" si="164"/>
        <v>0.54239446125464896</v>
      </c>
      <c r="AL182" s="20">
        <f t="shared" si="165"/>
        <v>3.0390245200182986</v>
      </c>
      <c r="AM182" s="59">
        <f t="shared" si="113"/>
        <v>296.37235785335162</v>
      </c>
      <c r="AN182" s="59">
        <f ca="1">AVERAGE(OFFSET($AM$3,0,0,'Données projet'!$E$10+1,1))-AVERAGE(OFFSET($H$3,0,0,'Données projet'!$E$10+1,1))</f>
        <v>174.18188687702559</v>
      </c>
      <c r="AO182" s="59">
        <f t="shared" si="144"/>
        <v>32.17353897322738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66.769996301754318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66.769996301754318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0.8600000000003547</v>
      </c>
      <c r="BE182" s="13">
        <f>BD182*VLOOKUP('Données projet'!$B$11,Paramètres!$A$1:$I$89,3,0)*VLOOKUP('Données projet'!$B$11,Paramètres!$A$1:$I$89,5,0)</f>
        <v>0.48074000000019829</v>
      </c>
      <c r="BF182" s="13">
        <f t="shared" si="167"/>
        <v>0.24126147010950588</v>
      </c>
      <c r="BG182" s="20">
        <f t="shared" si="168"/>
        <v>1.2574858937744013</v>
      </c>
      <c r="BH182" s="59">
        <f t="shared" si="116"/>
        <v>294.59081922710772</v>
      </c>
      <c r="BI182" s="59">
        <f ca="1">AVERAGE(OFFSET($BH$3,0,0,'Données projet'!$E$11+1,1))-AVERAGE(OFFSET($H$3,0,0,'Données projet'!$E$11+1,1))</f>
        <v>350.01600895263641</v>
      </c>
      <c r="BJ182" s="59">
        <f t="shared" si="146"/>
        <v>464.08921044376882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31.900040981173508</v>
      </c>
      <c r="BQ182" s="21">
        <f>EXP(-LN(2)/25)*BQ181+(1-EXP(-LN(2)/25))/(LN(2)/25)*Calculateur!BL182*Calculateur!BN182*VLOOKUP('Données projet'!$B$11,Paramètres!$A$1:$I$89,3,0)*0.475*44/12</f>
        <v>0.81239099221888877</v>
      </c>
      <c r="BR182" s="21">
        <f>EXP(-LN(2)/2)*BR181+(1-EXP(-LN(2)/2))/(LN(2)/2)*BL182*BO182*VLOOKUP('Données projet'!$B$11,Paramètres!$A$1:$I$89,3,0)*0.475*44/12</f>
        <v>2.7698126857443579E-23</v>
      </c>
      <c r="BS182" s="22">
        <f t="shared" si="169"/>
        <v>32.712431973392398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253.79640000000001</v>
      </c>
      <c r="CA182" s="13">
        <f t="shared" si="170"/>
        <v>61.39816832228076</v>
      </c>
      <c r="CB182" s="20">
        <f t="shared" si="171"/>
        <v>548.96387316130563</v>
      </c>
      <c r="CC182" s="59">
        <f t="shared" si="119"/>
        <v>842.29720649463889</v>
      </c>
      <c r="CD182" s="59">
        <f ca="1">AVERAGE(OFFSET($CC$3,0,0,'Données projet'!$E$12+1,1))-AVERAGE(OFFSET($H$3,0,0,'Données projet'!$E$12+1,1))</f>
        <v>279.49721661620544</v>
      </c>
      <c r="CE182" s="59">
        <f t="shared" si="148"/>
        <v>275.18739333988754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7.4845797492599973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7.4845797492599973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18.829999999999643</v>
      </c>
      <c r="CU182" s="17">
        <f>CT182*VLOOKUP('Données projet'!$B$13,Paramètres!$A$1:$I$89,3,0)*VLOOKUP('Données projet'!$B$13,Paramètres!$A$1:$I$89,5,0)</f>
        <v>19.093619999999639</v>
      </c>
      <c r="CV182" s="13">
        <f t="shared" si="173"/>
        <v>6.2423044268988592</v>
      </c>
      <c r="CW182" s="20">
        <f t="shared" si="174"/>
        <v>44.126735043514884</v>
      </c>
      <c r="CX182" s="59">
        <f t="shared" si="122"/>
        <v>337.4600683768482</v>
      </c>
      <c r="CY182" s="59">
        <f ca="1">AVERAGE(OFFSET($CX$3,0,0,'Données projet'!$E$13+1,1))-AVERAGE(OFFSET($H$3,0,0,'Données projet'!$E$13+1,1))</f>
        <v>402.54350692668021</v>
      </c>
      <c r="CZ182" s="59">
        <f t="shared" si="150"/>
        <v>163.60655196884522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175.86661609202082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175.86661609202082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404.00000000000017</v>
      </c>
      <c r="DP182" s="17">
        <f>DO182*VLOOKUP('Données projet'!$B$14,Paramètres!$A$1:$I$89,3,0)*VLOOKUP('Données projet'!$B$14,Paramètres!$A$1:$I$89,5,0)</f>
        <v>346.63200000000018</v>
      </c>
      <c r="DQ182" s="13">
        <f t="shared" si="176"/>
        <v>80.868615263336864</v>
      </c>
      <c r="DR182" s="20">
        <f t="shared" si="177"/>
        <v>744.56357158364528</v>
      </c>
      <c r="DS182" s="59">
        <f t="shared" si="125"/>
        <v>1037.8969049169787</v>
      </c>
      <c r="DT182" s="59">
        <f ca="1">AVERAGE(OFFSET($DS$3,0,0,'Données projet'!$E$14+1,1))-AVERAGE(OFFSET($H$3,0,0,'Données projet'!$E$14+1,1))</f>
        <v>352.76625414822473</v>
      </c>
      <c r="DU182" s="59">
        <f t="shared" si="152"/>
        <v>186.48649111821521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31.071131135095243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31.071131135095243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210.25641030000014</v>
      </c>
      <c r="EK182" s="17">
        <f>EJ182*VLOOKUP('Données projet'!$B$15,Paramètres!$A$1:$I$89,3,0)*VLOOKUP('Données projet'!$B$15,Paramètres!$A$1:$I$89,5,0)</f>
        <v>164.00000003400012</v>
      </c>
      <c r="EL182" s="13">
        <f t="shared" si="179"/>
        <v>41.743425916009095</v>
      </c>
      <c r="EM182" s="20">
        <f t="shared" si="180"/>
        <v>358.3364668629327</v>
      </c>
      <c r="EN182" s="59">
        <f t="shared" si="128"/>
        <v>651.66980019626601</v>
      </c>
      <c r="EO182" s="59">
        <f ca="1">AVERAGE(OFFSET($EN$3,0,0,'Données projet'!$E$15+1,1))-AVERAGE(OFFSET($H$3,0,0,'Données projet'!$E$15+1,1))</f>
        <v>130.66539383144681</v>
      </c>
      <c r="EP182" s="59">
        <f t="shared" si="154"/>
        <v>126.36398121441903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3.6562930300509002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3.6562930300509002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18.829999999999643</v>
      </c>
      <c r="FF182" s="17">
        <f>FE182*VLOOKUP('Données projet'!$B$16,Paramètres!$A$1:$I$89,3,0)*VLOOKUP('Données projet'!$B$16,Paramètres!$A$1:$I$89,5,0)</f>
        <v>18.212375999999654</v>
      </c>
      <c r="FG182" s="13">
        <f t="shared" si="182"/>
        <v>5.9870377924133553</v>
      </c>
      <c r="FH182" s="20">
        <f t="shared" si="183"/>
        <v>42.147312355119332</v>
      </c>
      <c r="FI182" s="59">
        <f t="shared" si="131"/>
        <v>335.48064568845263</v>
      </c>
      <c r="FJ182" s="59">
        <f ca="1">AVERAGE(OFFSET($FI$3,0,0,'Données projet'!$E$16+1,1))-AVERAGE(OFFSET($H$3,0,0,'Données projet'!$E$16+1,1))</f>
        <v>380.43199889536805</v>
      </c>
      <c r="FK182" s="59">
        <f t="shared" si="156"/>
        <v>154.72646317672996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167.74969534931219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167.74969534931219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304</v>
      </c>
      <c r="O183" s="13">
        <f>N183*VLOOKUP('Données projet'!$B$9,Paramètres!$A$1:$I$89,3,0)*VLOOKUP('Données projet'!$B$9,Paramètres!$A$1:$I$89,5,0)</f>
        <v>189.696</v>
      </c>
      <c r="P183" s="13">
        <f t="shared" si="141"/>
        <v>47.472736505152469</v>
      </c>
      <c r="Q183" s="20">
        <f t="shared" si="162"/>
        <v>413.06888274647389</v>
      </c>
      <c r="R183" s="59">
        <f t="shared" si="109"/>
        <v>706.4022160798072</v>
      </c>
      <c r="S183" s="59">
        <f ca="1">AVERAGE(OFFSET($R$3,0,0,'Données projet'!$E$9+1,1))-AVERAGE(OFFSET($H$3,0,0,'Données projet'!$E$9+1,1))</f>
        <v>179.44051550872138</v>
      </c>
      <c r="T183" s="59">
        <f t="shared" si="142"/>
        <v>272.9500808380069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6.3059132390286399</v>
      </c>
      <c r="AA183" s="21">
        <f>EXP(-LN(2)/25)*AA182+(1-EXP(-LN(2)/25))/(LN(2)/25)*Calculateur!V183*Calculateur!X183*VLOOKUP('Données projet'!$B$9,Paramètres!$A$1:$I$89,3,0)*0.475*44/12</f>
        <v>0.75608637011367141</v>
      </c>
      <c r="AB183" s="21">
        <f>EXP(-LN(2)/2)*AB182+(1-EXP(-LN(2)/2))/(LN(2)/2)*V183*Y183*VLOOKUP('Données projet'!$B$9,Paramètres!$A$1:$I$89,3,0)*0.475*44/12</f>
        <v>5.8441381778224503E-24</v>
      </c>
      <c r="AC183" s="22">
        <f t="shared" si="163"/>
        <v>7.061999609142311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2.4999999999997442</v>
      </c>
      <c r="AJ183" s="13">
        <f>AI183*VLOOKUP('Données projet'!$B$10,Paramètres!$A$1:$I$89,3,0)*VLOOKUP('Données projet'!$B$10,Paramètres!$A$1:$I$89,5,0)</f>
        <v>1.2024999999998769</v>
      </c>
      <c r="AK183" s="13">
        <f t="shared" si="164"/>
        <v>0.54239446125464896</v>
      </c>
      <c r="AL183" s="20">
        <f t="shared" si="165"/>
        <v>3.0390245200182986</v>
      </c>
      <c r="AM183" s="59">
        <f t="shared" si="113"/>
        <v>296.37235785335162</v>
      </c>
      <c r="AN183" s="59">
        <f ca="1">AVERAGE(OFFSET($AM$3,0,0,'Données projet'!$E$10+1,1))-AVERAGE(OFFSET($H$3,0,0,'Données projet'!$E$10+1,1))</f>
        <v>174.18188687702559</v>
      </c>
      <c r="AO183" s="59">
        <f t="shared" si="144"/>
        <v>32.17353897322738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65.46067739995334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65.46067739995334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0.8600000000003547</v>
      </c>
      <c r="BE183" s="13">
        <f>BD183*VLOOKUP('Données projet'!$B$11,Paramètres!$A$1:$I$89,3,0)*VLOOKUP('Données projet'!$B$11,Paramètres!$A$1:$I$89,5,0)</f>
        <v>0.48074000000019829</v>
      </c>
      <c r="BF183" s="13">
        <f t="shared" si="167"/>
        <v>0.24126147010950588</v>
      </c>
      <c r="BG183" s="20">
        <f t="shared" si="168"/>
        <v>1.2574858937744013</v>
      </c>
      <c r="BH183" s="59">
        <f t="shared" si="116"/>
        <v>294.59081922710772</v>
      </c>
      <c r="BI183" s="59">
        <f ca="1">AVERAGE(OFFSET($BH$3,0,0,'Données projet'!$E$11+1,1))-AVERAGE(OFFSET($H$3,0,0,'Données projet'!$E$11+1,1))</f>
        <v>350.01600895263641</v>
      </c>
      <c r="BJ183" s="59">
        <f t="shared" si="146"/>
        <v>464.08921044376882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31.274500634636464</v>
      </c>
      <c r="BQ183" s="21">
        <f>EXP(-LN(2)/25)*BQ182+(1-EXP(-LN(2)/25))/(LN(2)/25)*Calculateur!BL183*Calculateur!BN183*VLOOKUP('Données projet'!$B$11,Paramètres!$A$1:$I$89,3,0)*0.475*44/12</f>
        <v>0.79017611781487773</v>
      </c>
      <c r="BR183" s="21">
        <f>EXP(-LN(2)/2)*BR182+(1-EXP(-LN(2)/2))/(LN(2)/2)*BL183*BO183*VLOOKUP('Données projet'!$B$11,Paramètres!$A$1:$I$89,3,0)*0.475*44/12</f>
        <v>1.9585533327063592E-23</v>
      </c>
      <c r="BS183" s="22">
        <f t="shared" si="169"/>
        <v>32.064676752451341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253.79640000000001</v>
      </c>
      <c r="CA183" s="13">
        <f t="shared" si="170"/>
        <v>61.39816832228076</v>
      </c>
      <c r="CB183" s="20">
        <f t="shared" si="171"/>
        <v>548.96387316130563</v>
      </c>
      <c r="CC183" s="59">
        <f t="shared" si="119"/>
        <v>842.29720649463889</v>
      </c>
      <c r="CD183" s="59">
        <f ca="1">AVERAGE(OFFSET($CC$3,0,0,'Données projet'!$E$12+1,1))-AVERAGE(OFFSET($H$3,0,0,'Données projet'!$E$12+1,1))</f>
        <v>279.49721661620544</v>
      </c>
      <c r="CE183" s="59">
        <f t="shared" si="148"/>
        <v>275.18739333988754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7.3378117055198855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7.3378117055198855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18.829999999999643</v>
      </c>
      <c r="CU183" s="17">
        <f>CT183*VLOOKUP('Données projet'!$B$13,Paramètres!$A$1:$I$89,3,0)*VLOOKUP('Données projet'!$B$13,Paramètres!$A$1:$I$89,5,0)</f>
        <v>19.093619999999639</v>
      </c>
      <c r="CV183" s="13">
        <f t="shared" si="173"/>
        <v>6.2423044268988592</v>
      </c>
      <c r="CW183" s="20">
        <f t="shared" si="174"/>
        <v>44.126735043514884</v>
      </c>
      <c r="CX183" s="59">
        <f t="shared" si="122"/>
        <v>337.4600683768482</v>
      </c>
      <c r="CY183" s="59">
        <f ca="1">AVERAGE(OFFSET($CX$3,0,0,'Données projet'!$E$13+1,1))-AVERAGE(OFFSET($H$3,0,0,'Données projet'!$E$13+1,1))</f>
        <v>402.54350692668021</v>
      </c>
      <c r="CZ183" s="59">
        <f t="shared" si="150"/>
        <v>163.60655196884522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172.41797901850026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172.41797901850026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404.00000000000017</v>
      </c>
      <c r="DP183" s="17">
        <f>DO183*VLOOKUP('Données projet'!$B$14,Paramètres!$A$1:$I$89,3,0)*VLOOKUP('Données projet'!$B$14,Paramètres!$A$1:$I$89,5,0)</f>
        <v>346.63200000000018</v>
      </c>
      <c r="DQ183" s="13">
        <f t="shared" si="176"/>
        <v>80.868615263336864</v>
      </c>
      <c r="DR183" s="20">
        <f t="shared" si="177"/>
        <v>744.56357158364528</v>
      </c>
      <c r="DS183" s="59">
        <f t="shared" si="125"/>
        <v>1037.8969049169787</v>
      </c>
      <c r="DT183" s="59">
        <f ca="1">AVERAGE(OFFSET($DS$3,0,0,'Données projet'!$E$14+1,1))-AVERAGE(OFFSET($H$3,0,0,'Données projet'!$E$14+1,1))</f>
        <v>352.76625414822473</v>
      </c>
      <c r="DU183" s="59">
        <f t="shared" si="152"/>
        <v>186.48649111821521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30.461845205054711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30.461845205054711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210.25641030000014</v>
      </c>
      <c r="EK183" s="17">
        <f>EJ183*VLOOKUP('Données projet'!$B$15,Paramètres!$A$1:$I$89,3,0)*VLOOKUP('Données projet'!$B$15,Paramètres!$A$1:$I$89,5,0)</f>
        <v>164.00000003400012</v>
      </c>
      <c r="EL183" s="13">
        <f t="shared" si="179"/>
        <v>41.743425916009095</v>
      </c>
      <c r="EM183" s="20">
        <f t="shared" si="180"/>
        <v>358.3364668629327</v>
      </c>
      <c r="EN183" s="59">
        <f t="shared" si="128"/>
        <v>651.66980019626601</v>
      </c>
      <c r="EO183" s="59">
        <f ca="1">AVERAGE(OFFSET($EN$3,0,0,'Données projet'!$E$15+1,1))-AVERAGE(OFFSET($H$3,0,0,'Données projet'!$E$15+1,1))</f>
        <v>130.66539383144681</v>
      </c>
      <c r="EP183" s="59">
        <f t="shared" si="154"/>
        <v>126.36398121441903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3.5845953538501445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3.5845953538501445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18.829999999999643</v>
      </c>
      <c r="FF183" s="17">
        <f>FE183*VLOOKUP('Données projet'!$B$16,Paramètres!$A$1:$I$89,3,0)*VLOOKUP('Données projet'!$B$16,Paramètres!$A$1:$I$89,5,0)</f>
        <v>18.212375999999654</v>
      </c>
      <c r="FG183" s="13">
        <f t="shared" si="182"/>
        <v>5.9870377924133553</v>
      </c>
      <c r="FH183" s="20">
        <f t="shared" si="183"/>
        <v>42.147312355119332</v>
      </c>
      <c r="FI183" s="59">
        <f t="shared" si="131"/>
        <v>335.48064568845263</v>
      </c>
      <c r="FJ183" s="59">
        <f ca="1">AVERAGE(OFFSET($FI$3,0,0,'Données projet'!$E$16+1,1))-AVERAGE(OFFSET($H$3,0,0,'Données projet'!$E$16+1,1))</f>
        <v>380.43199889536805</v>
      </c>
      <c r="FK183" s="59">
        <f t="shared" si="156"/>
        <v>154.72646317672996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164.46022614072336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164.46022614072336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304</v>
      </c>
      <c r="O184" s="13">
        <f>N184*VLOOKUP('Données projet'!$B$9,Paramètres!$A$1:$I$89,3,0)*VLOOKUP('Données projet'!$B$9,Paramètres!$A$1:$I$89,5,0)</f>
        <v>189.696</v>
      </c>
      <c r="P184" s="13">
        <f t="shared" si="141"/>
        <v>47.472736505152469</v>
      </c>
      <c r="Q184" s="20">
        <f t="shared" si="162"/>
        <v>413.06888274647389</v>
      </c>
      <c r="R184" s="59">
        <f t="shared" si="109"/>
        <v>706.4022160798072</v>
      </c>
      <c r="S184" s="59">
        <f ca="1">AVERAGE(OFFSET($R$3,0,0,'Données projet'!$E$9+1,1))-AVERAGE(OFFSET($H$3,0,0,'Données projet'!$E$9+1,1))</f>
        <v>179.44051550872138</v>
      </c>
      <c r="T184" s="59">
        <f t="shared" si="142"/>
        <v>272.9500808380069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6.1822581266385805</v>
      </c>
      <c r="AA184" s="21">
        <f>EXP(-LN(2)/25)*AA183+(1-EXP(-LN(2)/25))/(LN(2)/25)*Calculateur!V184*Calculateur!X184*VLOOKUP('Données projet'!$B$9,Paramètres!$A$1:$I$89,3,0)*0.475*44/12</f>
        <v>0.73541114856205891</v>
      </c>
      <c r="AB184" s="21">
        <f>EXP(-LN(2)/2)*AB183+(1-EXP(-LN(2)/2))/(LN(2)/2)*V184*Y184*VLOOKUP('Données projet'!$B$9,Paramètres!$A$1:$I$89,3,0)*0.475*44/12</f>
        <v>4.1324297357294479E-24</v>
      </c>
      <c r="AC184" s="22">
        <f t="shared" si="163"/>
        <v>6.9176692752006392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2.4999999999997442</v>
      </c>
      <c r="AJ184" s="13">
        <f>AI184*VLOOKUP('Données projet'!$B$10,Paramètres!$A$1:$I$89,3,0)*VLOOKUP('Données projet'!$B$10,Paramètres!$A$1:$I$89,5,0)</f>
        <v>1.2024999999998769</v>
      </c>
      <c r="AK184" s="13">
        <f t="shared" si="164"/>
        <v>0.54239446125464896</v>
      </c>
      <c r="AL184" s="20">
        <f t="shared" si="165"/>
        <v>3.0390245200182986</v>
      </c>
      <c r="AM184" s="59">
        <f t="shared" si="113"/>
        <v>296.37235785335162</v>
      </c>
      <c r="AN184" s="59">
        <f ca="1">AVERAGE(OFFSET($AM$3,0,0,'Données projet'!$E$10+1,1))-AVERAGE(OFFSET($H$3,0,0,'Données projet'!$E$10+1,1))</f>
        <v>174.18188687702559</v>
      </c>
      <c r="AO184" s="59">
        <f t="shared" si="144"/>
        <v>32.17353897322738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64.177033443211002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64.177033443211002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0.8600000000003547</v>
      </c>
      <c r="BE184" s="13">
        <f>BD184*VLOOKUP('Données projet'!$B$11,Paramètres!$A$1:$I$89,3,0)*VLOOKUP('Données projet'!$B$11,Paramètres!$A$1:$I$89,5,0)</f>
        <v>0.48074000000019829</v>
      </c>
      <c r="BF184" s="13">
        <f t="shared" si="167"/>
        <v>0.24126147010950588</v>
      </c>
      <c r="BG184" s="20">
        <f t="shared" si="168"/>
        <v>1.2574858937744013</v>
      </c>
      <c r="BH184" s="59">
        <f t="shared" si="116"/>
        <v>294.59081922710772</v>
      </c>
      <c r="BI184" s="59">
        <f ca="1">AVERAGE(OFFSET($BH$3,0,0,'Données projet'!$E$11+1,1))-AVERAGE(OFFSET($H$3,0,0,'Données projet'!$E$11+1,1))</f>
        <v>350.01600895263641</v>
      </c>
      <c r="BJ184" s="59">
        <f t="shared" si="146"/>
        <v>464.08921044376882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30.661226752753073</v>
      </c>
      <c r="BQ184" s="21">
        <f>EXP(-LN(2)/25)*BQ183+(1-EXP(-LN(2)/25))/(LN(2)/25)*Calculateur!BL184*Calculateur!BN184*VLOOKUP('Données projet'!$B$11,Paramètres!$A$1:$I$89,3,0)*0.475*44/12</f>
        <v>0.76856871031967389</v>
      </c>
      <c r="BR184" s="21">
        <f>EXP(-LN(2)/2)*BR183+(1-EXP(-LN(2)/2))/(LN(2)/2)*BL184*BO184*VLOOKUP('Données projet'!$B$11,Paramètres!$A$1:$I$89,3,0)*0.475*44/12</f>
        <v>1.3849063428721789E-23</v>
      </c>
      <c r="BS184" s="22">
        <f t="shared" si="169"/>
        <v>31.429795463072747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253.79640000000001</v>
      </c>
      <c r="CA184" s="13">
        <f t="shared" si="170"/>
        <v>61.39816832228076</v>
      </c>
      <c r="CB184" s="20">
        <f t="shared" si="171"/>
        <v>548.96387316130563</v>
      </c>
      <c r="CC184" s="59">
        <f t="shared" si="119"/>
        <v>842.29720649463889</v>
      </c>
      <c r="CD184" s="59">
        <f ca="1">AVERAGE(OFFSET($CC$3,0,0,'Données projet'!$E$12+1,1))-AVERAGE(OFFSET($H$3,0,0,'Données projet'!$E$12+1,1))</f>
        <v>279.49721661620544</v>
      </c>
      <c r="CE184" s="59">
        <f t="shared" si="148"/>
        <v>275.18739333988754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7.1939216935978498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7.1939216935978498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18.829999999999643</v>
      </c>
      <c r="CU184" s="17">
        <f>CT184*VLOOKUP('Données projet'!$B$13,Paramètres!$A$1:$I$89,3,0)*VLOOKUP('Données projet'!$B$13,Paramètres!$A$1:$I$89,5,0)</f>
        <v>19.093619999999639</v>
      </c>
      <c r="CV184" s="13">
        <f t="shared" si="173"/>
        <v>6.2423044268988592</v>
      </c>
      <c r="CW184" s="20">
        <f t="shared" si="174"/>
        <v>44.126735043514884</v>
      </c>
      <c r="CX184" s="59">
        <f t="shared" si="122"/>
        <v>337.4600683768482</v>
      </c>
      <c r="CY184" s="59">
        <f ca="1">AVERAGE(OFFSET($CX$3,0,0,'Données projet'!$E$13+1,1))-AVERAGE(OFFSET($H$3,0,0,'Données projet'!$E$13+1,1))</f>
        <v>402.54350692668021</v>
      </c>
      <c r="CZ184" s="59">
        <f t="shared" si="150"/>
        <v>163.60655196884522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169.03696761453054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169.03696761453054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404.00000000000017</v>
      </c>
      <c r="DP184" s="17">
        <f>DO184*VLOOKUP('Données projet'!$B$14,Paramètres!$A$1:$I$89,3,0)*VLOOKUP('Données projet'!$B$14,Paramètres!$A$1:$I$89,5,0)</f>
        <v>346.63200000000018</v>
      </c>
      <c r="DQ184" s="13">
        <f t="shared" si="176"/>
        <v>80.868615263336864</v>
      </c>
      <c r="DR184" s="20">
        <f t="shared" si="177"/>
        <v>744.56357158364528</v>
      </c>
      <c r="DS184" s="59">
        <f t="shared" si="125"/>
        <v>1037.8969049169787</v>
      </c>
      <c r="DT184" s="59">
        <f ca="1">AVERAGE(OFFSET($DS$3,0,0,'Données projet'!$E$14+1,1))-AVERAGE(OFFSET($H$3,0,0,'Données projet'!$E$14+1,1))</f>
        <v>352.76625414822473</v>
      </c>
      <c r="DU184" s="59">
        <f t="shared" si="152"/>
        <v>186.48649111821521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29.86450700047455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29.86450700047455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210.25641030000014</v>
      </c>
      <c r="EK184" s="17">
        <f>EJ184*VLOOKUP('Données projet'!$B$15,Paramètres!$A$1:$I$89,3,0)*VLOOKUP('Données projet'!$B$15,Paramètres!$A$1:$I$89,5,0)</f>
        <v>164.00000003400012</v>
      </c>
      <c r="EL184" s="13">
        <f t="shared" si="179"/>
        <v>41.743425916009095</v>
      </c>
      <c r="EM184" s="20">
        <f t="shared" si="180"/>
        <v>358.3364668629327</v>
      </c>
      <c r="EN184" s="59">
        <f t="shared" si="128"/>
        <v>651.66980019626601</v>
      </c>
      <c r="EO184" s="59">
        <f ca="1">AVERAGE(OFFSET($EN$3,0,0,'Données projet'!$E$15+1,1))-AVERAGE(OFFSET($H$3,0,0,'Données projet'!$E$15+1,1))</f>
        <v>130.66539383144681</v>
      </c>
      <c r="EP184" s="59">
        <f t="shared" si="154"/>
        <v>126.36398121441903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3.514303625348421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3.514303625348421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18.829999999999643</v>
      </c>
      <c r="FF184" s="17">
        <f>FE184*VLOOKUP('Données projet'!$B$16,Paramètres!$A$1:$I$89,3,0)*VLOOKUP('Données projet'!$B$16,Paramètres!$A$1:$I$89,5,0)</f>
        <v>18.212375999999654</v>
      </c>
      <c r="FG184" s="13">
        <f t="shared" si="182"/>
        <v>5.9870377924133553</v>
      </c>
      <c r="FH184" s="20">
        <f t="shared" si="183"/>
        <v>42.147312355119332</v>
      </c>
      <c r="FI184" s="59">
        <f t="shared" si="131"/>
        <v>335.48064568845263</v>
      </c>
      <c r="FJ184" s="59">
        <f ca="1">AVERAGE(OFFSET($FI$3,0,0,'Données projet'!$E$16+1,1))-AVERAGE(OFFSET($H$3,0,0,'Données projet'!$E$16+1,1))</f>
        <v>380.43199889536805</v>
      </c>
      <c r="FK184" s="59">
        <f t="shared" si="156"/>
        <v>154.72646317672996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161.23526141693685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161.23526141693685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304</v>
      </c>
      <c r="O185" s="13">
        <f>N185*VLOOKUP('Données projet'!$B$9,Paramètres!$A$1:$I$89,3,0)*VLOOKUP('Données projet'!$B$9,Paramètres!$A$1:$I$89,5,0)</f>
        <v>189.696</v>
      </c>
      <c r="P185" s="13">
        <f t="shared" si="141"/>
        <v>47.472736505152469</v>
      </c>
      <c r="Q185" s="20">
        <f t="shared" si="162"/>
        <v>413.06888274647389</v>
      </c>
      <c r="R185" s="59">
        <f t="shared" si="109"/>
        <v>706.4022160798072</v>
      </c>
      <c r="S185" s="59">
        <f ca="1">AVERAGE(OFFSET($R$3,0,0,'Données projet'!$E$9+1,1))-AVERAGE(OFFSET($H$3,0,0,'Données projet'!$E$9+1,1))</f>
        <v>179.44051550872138</v>
      </c>
      <c r="T185" s="59">
        <f t="shared" si="142"/>
        <v>272.9500808380069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6.061027815580319</v>
      </c>
      <c r="AA185" s="21">
        <f>EXP(-LN(2)/25)*AA184+(1-EXP(-LN(2)/25))/(LN(2)/25)*Calculateur!V185*Calculateur!X185*VLOOKUP('Données projet'!$B$9,Paramètres!$A$1:$I$89,3,0)*0.475*44/12</f>
        <v>0.71530129203103787</v>
      </c>
      <c r="AB185" s="21">
        <f>EXP(-LN(2)/2)*AB184+(1-EXP(-LN(2)/2))/(LN(2)/2)*V185*Y185*VLOOKUP('Données projet'!$B$9,Paramètres!$A$1:$I$89,3,0)*0.475*44/12</f>
        <v>2.9220690889112252E-24</v>
      </c>
      <c r="AC185" s="22">
        <f t="shared" si="163"/>
        <v>6.7763291076113568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2.4999999999997442</v>
      </c>
      <c r="AJ185" s="13">
        <f>AI185*VLOOKUP('Données projet'!$B$10,Paramètres!$A$1:$I$89,3,0)*VLOOKUP('Données projet'!$B$10,Paramètres!$A$1:$I$89,5,0)</f>
        <v>1.2024999999998769</v>
      </c>
      <c r="AK185" s="13">
        <f t="shared" si="164"/>
        <v>0.54239446125464896</v>
      </c>
      <c r="AL185" s="20">
        <f t="shared" si="165"/>
        <v>3.0390245200182986</v>
      </c>
      <c r="AM185" s="59">
        <f t="shared" si="113"/>
        <v>296.37235785335162</v>
      </c>
      <c r="AN185" s="59">
        <f ca="1">AVERAGE(OFFSET($AM$3,0,0,'Données projet'!$E$10+1,1))-AVERAGE(OFFSET($H$3,0,0,'Données projet'!$E$10+1,1))</f>
        <v>174.18188687702559</v>
      </c>
      <c r="AO185" s="59">
        <f t="shared" si="144"/>
        <v>32.17353897322738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62.918560961514871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62.918560961514871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0.8600000000003547</v>
      </c>
      <c r="BE185" s="13">
        <f>BD185*VLOOKUP('Données projet'!$B$11,Paramètres!$A$1:$I$89,3,0)*VLOOKUP('Données projet'!$B$11,Paramètres!$A$1:$I$89,5,0)</f>
        <v>0.48074000000019829</v>
      </c>
      <c r="BF185" s="13">
        <f t="shared" si="167"/>
        <v>0.24126147010950588</v>
      </c>
      <c r="BG185" s="20">
        <f t="shared" si="168"/>
        <v>1.2574858937744013</v>
      </c>
      <c r="BH185" s="59">
        <f t="shared" si="116"/>
        <v>294.59081922710772</v>
      </c>
      <c r="BI185" s="59">
        <f ca="1">AVERAGE(OFFSET($BH$3,0,0,'Données projet'!$E$11+1,1))-AVERAGE(OFFSET($H$3,0,0,'Données projet'!$E$11+1,1))</f>
        <v>350.01600895263641</v>
      </c>
      <c r="BJ185" s="59">
        <f t="shared" si="146"/>
        <v>464.08921044376882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30.059978797633285</v>
      </c>
      <c r="BQ185" s="21">
        <f>EXP(-LN(2)/25)*BQ184+(1-EXP(-LN(2)/25))/(LN(2)/25)*Calculateur!BL185*Calculateur!BN185*VLOOKUP('Données projet'!$B$11,Paramètres!$A$1:$I$89,3,0)*0.475*44/12</f>
        <v>0.74755215851871049</v>
      </c>
      <c r="BR185" s="21">
        <f>EXP(-LN(2)/2)*BR184+(1-EXP(-LN(2)/2))/(LN(2)/2)*BL185*BO185*VLOOKUP('Données projet'!$B$11,Paramètres!$A$1:$I$89,3,0)*0.475*44/12</f>
        <v>9.7927666635317962E-24</v>
      </c>
      <c r="BS185" s="22">
        <f t="shared" si="169"/>
        <v>30.807530956151997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253.79640000000001</v>
      </c>
      <c r="CA185" s="13">
        <f t="shared" si="170"/>
        <v>61.39816832228076</v>
      </c>
      <c r="CB185" s="20">
        <f t="shared" si="171"/>
        <v>548.96387316130563</v>
      </c>
      <c r="CC185" s="59">
        <f t="shared" si="119"/>
        <v>842.29720649463889</v>
      </c>
      <c r="CD185" s="59">
        <f ca="1">AVERAGE(OFFSET($CC$3,0,0,'Données projet'!$E$12+1,1))-AVERAGE(OFFSET($H$3,0,0,'Données projet'!$E$12+1,1))</f>
        <v>279.49721661620544</v>
      </c>
      <c r="CE185" s="59">
        <f t="shared" si="148"/>
        <v>275.18739333988754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7.0528532770453642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7.0528532770453642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18.829999999999643</v>
      </c>
      <c r="CU185" s="17">
        <f>CT185*VLOOKUP('Données projet'!$B$13,Paramètres!$A$1:$I$89,3,0)*VLOOKUP('Données projet'!$B$13,Paramètres!$A$1:$I$89,5,0)</f>
        <v>19.093619999999639</v>
      </c>
      <c r="CV185" s="13">
        <f t="shared" si="173"/>
        <v>6.2423044268988592</v>
      </c>
      <c r="CW185" s="20">
        <f t="shared" si="174"/>
        <v>44.126735043514884</v>
      </c>
      <c r="CX185" s="59">
        <f t="shared" si="122"/>
        <v>337.4600683768482</v>
      </c>
      <c r="CY185" s="59">
        <f ca="1">AVERAGE(OFFSET($CX$3,0,0,'Données projet'!$E$13+1,1))-AVERAGE(OFFSET($H$3,0,0,'Données projet'!$E$13+1,1))</f>
        <v>402.54350692668021</v>
      </c>
      <c r="CZ185" s="59">
        <f t="shared" si="150"/>
        <v>163.60655196884522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165.72225578197933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165.72225578197933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404.00000000000017</v>
      </c>
      <c r="DP185" s="17">
        <f>DO185*VLOOKUP('Données projet'!$B$14,Paramètres!$A$1:$I$89,3,0)*VLOOKUP('Données projet'!$B$14,Paramètres!$A$1:$I$89,5,0)</f>
        <v>346.63200000000018</v>
      </c>
      <c r="DQ185" s="13">
        <f t="shared" si="176"/>
        <v>80.868615263336864</v>
      </c>
      <c r="DR185" s="20">
        <f t="shared" si="177"/>
        <v>744.56357158364528</v>
      </c>
      <c r="DS185" s="59">
        <f t="shared" si="125"/>
        <v>1037.8969049169787</v>
      </c>
      <c r="DT185" s="59">
        <f ca="1">AVERAGE(OFFSET($DS$3,0,0,'Données projet'!$E$14+1,1))-AVERAGE(OFFSET($H$3,0,0,'Données projet'!$E$14+1,1))</f>
        <v>352.76625414822473</v>
      </c>
      <c r="DU185" s="59">
        <f t="shared" si="152"/>
        <v>186.48649111821521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29.278882233745879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29.278882233745879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210.25641030000014</v>
      </c>
      <c r="EK185" s="17">
        <f>EJ185*VLOOKUP('Données projet'!$B$15,Paramètres!$A$1:$I$89,3,0)*VLOOKUP('Données projet'!$B$15,Paramètres!$A$1:$I$89,5,0)</f>
        <v>164.00000003400012</v>
      </c>
      <c r="EL185" s="13">
        <f t="shared" si="179"/>
        <v>41.743425916009095</v>
      </c>
      <c r="EM185" s="20">
        <f t="shared" si="180"/>
        <v>358.3364668629327</v>
      </c>
      <c r="EN185" s="59">
        <f t="shared" si="128"/>
        <v>651.66980019626601</v>
      </c>
      <c r="EO185" s="59">
        <f ca="1">AVERAGE(OFFSET($EN$3,0,0,'Données projet'!$E$15+1,1))-AVERAGE(OFFSET($H$3,0,0,'Données projet'!$E$15+1,1))</f>
        <v>130.66539383144681</v>
      </c>
      <c r="EP185" s="59">
        <f t="shared" si="154"/>
        <v>126.36398121441903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3.4453902747688954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3.4453902747688954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18.829999999999643</v>
      </c>
      <c r="FF185" s="17">
        <f>FE185*VLOOKUP('Données projet'!$B$16,Paramètres!$A$1:$I$89,3,0)*VLOOKUP('Données projet'!$B$16,Paramètres!$A$1:$I$89,5,0)</f>
        <v>18.212375999999654</v>
      </c>
      <c r="FG185" s="13">
        <f t="shared" si="182"/>
        <v>5.9870377924133553</v>
      </c>
      <c r="FH185" s="20">
        <f t="shared" si="183"/>
        <v>42.147312355119332</v>
      </c>
      <c r="FI185" s="59">
        <f t="shared" si="131"/>
        <v>335.48064568845263</v>
      </c>
      <c r="FJ185" s="59">
        <f ca="1">AVERAGE(OFFSET($FI$3,0,0,'Données projet'!$E$16+1,1))-AVERAGE(OFFSET($H$3,0,0,'Données projet'!$E$16+1,1))</f>
        <v>380.43199889536805</v>
      </c>
      <c r="FK185" s="59">
        <f t="shared" si="156"/>
        <v>154.72646317672996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158.07353628434953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158.07353628434953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304</v>
      </c>
      <c r="O186" s="13">
        <f>N186*VLOOKUP('Données projet'!$B$9,Paramètres!$A$1:$I$89,3,0)*VLOOKUP('Données projet'!$B$9,Paramètres!$A$1:$I$89,5,0)</f>
        <v>189.696</v>
      </c>
      <c r="P186" s="13">
        <f t="shared" si="141"/>
        <v>47.472736505152469</v>
      </c>
      <c r="Q186" s="20">
        <f t="shared" si="162"/>
        <v>413.06888274647389</v>
      </c>
      <c r="R186" s="59">
        <f t="shared" si="109"/>
        <v>706.4022160798072</v>
      </c>
      <c r="S186" s="59">
        <f ca="1">AVERAGE(OFFSET($R$3,0,0,'Données projet'!$E$9+1,1))-AVERAGE(OFFSET($H$3,0,0,'Données projet'!$E$9+1,1))</f>
        <v>179.44051550872138</v>
      </c>
      <c r="T186" s="59">
        <f t="shared" si="142"/>
        <v>272.9500808380069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5.942174756978722</v>
      </c>
      <c r="AA186" s="21">
        <f>EXP(-LN(2)/25)*AA185+(1-EXP(-LN(2)/25))/(LN(2)/25)*Calculateur!V186*Calculateur!X186*VLOOKUP('Données projet'!$B$9,Paramètres!$A$1:$I$89,3,0)*0.475*44/12</f>
        <v>0.69574134058438908</v>
      </c>
      <c r="AB186" s="21">
        <f>EXP(-LN(2)/2)*AB185+(1-EXP(-LN(2)/2))/(LN(2)/2)*V186*Y186*VLOOKUP('Données projet'!$B$9,Paramètres!$A$1:$I$89,3,0)*0.475*44/12</f>
        <v>2.0662148678647239E-24</v>
      </c>
      <c r="AC186" s="22">
        <f t="shared" si="163"/>
        <v>6.6379160975631111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2.4999999999997442</v>
      </c>
      <c r="AJ186" s="13">
        <f>AI186*VLOOKUP('Données projet'!$B$10,Paramètres!$A$1:$I$89,3,0)*VLOOKUP('Données projet'!$B$10,Paramètres!$A$1:$I$89,5,0)</f>
        <v>1.2024999999998769</v>
      </c>
      <c r="AK186" s="13">
        <f t="shared" si="164"/>
        <v>0.54239446125464896</v>
      </c>
      <c r="AL186" s="20">
        <f t="shared" si="165"/>
        <v>3.0390245200182986</v>
      </c>
      <c r="AM186" s="59">
        <f t="shared" si="113"/>
        <v>296.37235785335162</v>
      </c>
      <c r="AN186" s="59">
        <f ca="1">AVERAGE(OFFSET($AM$3,0,0,'Données projet'!$E$10+1,1))-AVERAGE(OFFSET($H$3,0,0,'Données projet'!$E$10+1,1))</f>
        <v>174.18188687702559</v>
      </c>
      <c r="AO186" s="59">
        <f t="shared" si="144"/>
        <v>32.17353897322738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61.68476635759238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61.68476635759238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0.8600000000003547</v>
      </c>
      <c r="BE186" s="13">
        <f>BD186*VLOOKUP('Données projet'!$B$11,Paramètres!$A$1:$I$89,3,0)*VLOOKUP('Données projet'!$B$11,Paramètres!$A$1:$I$89,5,0)</f>
        <v>0.48074000000019829</v>
      </c>
      <c r="BF186" s="13">
        <f t="shared" si="167"/>
        <v>0.24126147010950588</v>
      </c>
      <c r="BG186" s="20">
        <f t="shared" si="168"/>
        <v>1.2574858937744013</v>
      </c>
      <c r="BH186" s="59">
        <f t="shared" si="116"/>
        <v>294.59081922710772</v>
      </c>
      <c r="BI186" s="59">
        <f ca="1">AVERAGE(OFFSET($BH$3,0,0,'Données projet'!$E$11+1,1))-AVERAGE(OFFSET($H$3,0,0,'Données projet'!$E$11+1,1))</f>
        <v>350.01600895263641</v>
      </c>
      <c r="BJ186" s="59">
        <f t="shared" si="146"/>
        <v>464.08921044376882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29.470520948188355</v>
      </c>
      <c r="BQ186" s="21">
        <f>EXP(-LN(2)/25)*BQ185+(1-EXP(-LN(2)/25))/(LN(2)/25)*Calculateur!BL186*Calculateur!BN186*VLOOKUP('Données projet'!$B$11,Paramètres!$A$1:$I$89,3,0)*0.475*44/12</f>
        <v>0.72711030543195687</v>
      </c>
      <c r="BR186" s="21">
        <f>EXP(-LN(2)/2)*BR185+(1-EXP(-LN(2)/2))/(LN(2)/2)*BL186*BO186*VLOOKUP('Données projet'!$B$11,Paramètres!$A$1:$I$89,3,0)*0.475*44/12</f>
        <v>6.9245317143608946E-24</v>
      </c>
      <c r="BS186" s="22">
        <f t="shared" si="169"/>
        <v>30.197631253620312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253.79640000000001</v>
      </c>
      <c r="CA186" s="13">
        <f t="shared" si="170"/>
        <v>61.39816832228076</v>
      </c>
      <c r="CB186" s="20">
        <f t="shared" si="171"/>
        <v>548.96387316130563</v>
      </c>
      <c r="CC186" s="59">
        <f t="shared" si="119"/>
        <v>842.29720649463889</v>
      </c>
      <c r="CD186" s="59">
        <f ca="1">AVERAGE(OFFSET($CC$3,0,0,'Données projet'!$E$12+1,1))-AVERAGE(OFFSET($H$3,0,0,'Données projet'!$E$12+1,1))</f>
        <v>279.49721661620544</v>
      </c>
      <c r="CE186" s="59">
        <f t="shared" si="148"/>
        <v>275.18739333988754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6.9145511260982344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6.9145511260982344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18.829999999999643</v>
      </c>
      <c r="CU186" s="17">
        <f>CT186*VLOOKUP('Données projet'!$B$13,Paramètres!$A$1:$I$89,3,0)*VLOOKUP('Données projet'!$B$13,Paramètres!$A$1:$I$89,5,0)</f>
        <v>19.093619999999639</v>
      </c>
      <c r="CV186" s="13">
        <f t="shared" si="173"/>
        <v>6.2423044268988592</v>
      </c>
      <c r="CW186" s="20">
        <f t="shared" si="174"/>
        <v>44.126735043514884</v>
      </c>
      <c r="CX186" s="59">
        <f t="shared" si="122"/>
        <v>337.4600683768482</v>
      </c>
      <c r="CY186" s="59">
        <f ca="1">AVERAGE(OFFSET($CX$3,0,0,'Données projet'!$E$13+1,1))-AVERAGE(OFFSET($H$3,0,0,'Données projet'!$E$13+1,1))</f>
        <v>402.54350692668021</v>
      </c>
      <c r="CZ186" s="59">
        <f t="shared" si="150"/>
        <v>163.60655196884522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162.47254342668987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162.47254342668987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404.00000000000017</v>
      </c>
      <c r="DP186" s="17">
        <f>DO186*VLOOKUP('Données projet'!$B$14,Paramètres!$A$1:$I$89,3,0)*VLOOKUP('Données projet'!$B$14,Paramètres!$A$1:$I$89,5,0)</f>
        <v>346.63200000000018</v>
      </c>
      <c r="DQ186" s="13">
        <f t="shared" si="176"/>
        <v>80.868615263336864</v>
      </c>
      <c r="DR186" s="20">
        <f t="shared" si="177"/>
        <v>744.56357158364528</v>
      </c>
      <c r="DS186" s="59">
        <f t="shared" si="125"/>
        <v>1037.8969049169787</v>
      </c>
      <c r="DT186" s="59">
        <f ca="1">AVERAGE(OFFSET($DS$3,0,0,'Données projet'!$E$14+1,1))-AVERAGE(OFFSET($H$3,0,0,'Données projet'!$E$14+1,1))</f>
        <v>352.76625414822473</v>
      </c>
      <c r="DU186" s="59">
        <f t="shared" si="152"/>
        <v>186.48649111821521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28.70474121149692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28.70474121149692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210.25641030000014</v>
      </c>
      <c r="EK186" s="17">
        <f>EJ186*VLOOKUP('Données projet'!$B$15,Paramètres!$A$1:$I$89,3,0)*VLOOKUP('Données projet'!$B$15,Paramètres!$A$1:$I$89,5,0)</f>
        <v>164.00000003400012</v>
      </c>
      <c r="EL186" s="13">
        <f t="shared" si="179"/>
        <v>41.743425916009095</v>
      </c>
      <c r="EM186" s="20">
        <f t="shared" si="180"/>
        <v>358.3364668629327</v>
      </c>
      <c r="EN186" s="59">
        <f t="shared" si="128"/>
        <v>651.66980019626601</v>
      </c>
      <c r="EO186" s="59">
        <f ca="1">AVERAGE(OFFSET($EN$3,0,0,'Données projet'!$E$15+1,1))-AVERAGE(OFFSET($H$3,0,0,'Données projet'!$E$15+1,1))</f>
        <v>130.66539383144681</v>
      </c>
      <c r="EP186" s="59">
        <f t="shared" si="154"/>
        <v>126.36398121441903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3.3778282729612408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3.3778282729612408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18.829999999999643</v>
      </c>
      <c r="FF186" s="17">
        <f>FE186*VLOOKUP('Données projet'!$B$16,Paramètres!$A$1:$I$89,3,0)*VLOOKUP('Données projet'!$B$16,Paramètres!$A$1:$I$89,5,0)</f>
        <v>18.212375999999654</v>
      </c>
      <c r="FG186" s="13">
        <f t="shared" si="182"/>
        <v>5.9870377924133553</v>
      </c>
      <c r="FH186" s="20">
        <f t="shared" si="183"/>
        <v>42.147312355119332</v>
      </c>
      <c r="FI186" s="59">
        <f t="shared" si="131"/>
        <v>335.48064568845263</v>
      </c>
      <c r="FJ186" s="59">
        <f ca="1">AVERAGE(OFFSET($FI$3,0,0,'Données projet'!$E$16+1,1))-AVERAGE(OFFSET($H$3,0,0,'Données projet'!$E$16+1,1))</f>
        <v>380.43199889536805</v>
      </c>
      <c r="FK186" s="59">
        <f t="shared" si="156"/>
        <v>154.72646317672996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154.97381065315034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154.97381065315034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304</v>
      </c>
      <c r="O187" s="13">
        <f>N187*VLOOKUP('Données projet'!$B$9,Paramètres!$A$1:$I$89,3,0)*VLOOKUP('Données projet'!$B$9,Paramètres!$A$1:$I$89,5,0)</f>
        <v>189.696</v>
      </c>
      <c r="P187" s="13">
        <f t="shared" si="141"/>
        <v>47.472736505152469</v>
      </c>
      <c r="Q187" s="20">
        <f t="shared" si="162"/>
        <v>413.06888274647389</v>
      </c>
      <c r="R187" s="59">
        <f t="shared" si="109"/>
        <v>706.4022160798072</v>
      </c>
      <c r="S187" s="59">
        <f ca="1">AVERAGE(OFFSET($R$3,0,0,'Données projet'!$E$9+1,1))-AVERAGE(OFFSET($H$3,0,0,'Données projet'!$E$9+1,1))</f>
        <v>179.44051550872138</v>
      </c>
      <c r="T187" s="59">
        <f t="shared" si="142"/>
        <v>272.9500808380069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5.8256523343630944</v>
      </c>
      <c r="AA187" s="21">
        <f>EXP(-LN(2)/25)*AA186+(1-EXP(-LN(2)/25))/(LN(2)/25)*Calculateur!V187*Calculateur!X187*VLOOKUP('Données projet'!$B$9,Paramètres!$A$1:$I$89,3,0)*0.475*44/12</f>
        <v>0.67671625703866201</v>
      </c>
      <c r="AB187" s="21">
        <f>EXP(-LN(2)/2)*AB186+(1-EXP(-LN(2)/2))/(LN(2)/2)*V187*Y187*VLOOKUP('Données projet'!$B$9,Paramètres!$A$1:$I$89,3,0)*0.475*44/12</f>
        <v>1.4610345444556126E-24</v>
      </c>
      <c r="AC187" s="22">
        <f t="shared" si="163"/>
        <v>6.5023685914017566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2.4999999999997442</v>
      </c>
      <c r="AJ187" s="13">
        <f>AI187*VLOOKUP('Données projet'!$B$10,Paramètres!$A$1:$I$89,3,0)*VLOOKUP('Données projet'!$B$10,Paramètres!$A$1:$I$89,5,0)</f>
        <v>1.2024999999998769</v>
      </c>
      <c r="AK187" s="13">
        <f t="shared" si="164"/>
        <v>0.54239446125464896</v>
      </c>
      <c r="AL187" s="20">
        <f t="shared" si="165"/>
        <v>3.0390245200182986</v>
      </c>
      <c r="AM187" s="59">
        <f t="shared" si="113"/>
        <v>296.37235785335162</v>
      </c>
      <c r="AN187" s="59">
        <f ca="1">AVERAGE(OFFSET($AM$3,0,0,'Données projet'!$E$10+1,1))-AVERAGE(OFFSET($H$3,0,0,'Données projet'!$E$10+1,1))</f>
        <v>174.18188687702559</v>
      </c>
      <c r="AO187" s="59">
        <f t="shared" si="144"/>
        <v>32.17353897322738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60.475165713312414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60.475165713312414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0.8600000000003547</v>
      </c>
      <c r="BE187" s="13">
        <f>BD187*VLOOKUP('Données projet'!$B$11,Paramètres!$A$1:$I$89,3,0)*VLOOKUP('Données projet'!$B$11,Paramètres!$A$1:$I$89,5,0)</f>
        <v>0.48074000000019829</v>
      </c>
      <c r="BF187" s="13">
        <f t="shared" si="167"/>
        <v>0.24126147010950588</v>
      </c>
      <c r="BG187" s="20">
        <f t="shared" si="168"/>
        <v>1.2574858937744013</v>
      </c>
      <c r="BH187" s="59">
        <f t="shared" si="116"/>
        <v>294.59081922710772</v>
      </c>
      <c r="BI187" s="59">
        <f ca="1">AVERAGE(OFFSET($BH$3,0,0,'Données projet'!$E$11+1,1))-AVERAGE(OFFSET($H$3,0,0,'Données projet'!$E$11+1,1))</f>
        <v>350.01600895263641</v>
      </c>
      <c r="BJ187" s="59">
        <f t="shared" si="146"/>
        <v>464.08921044376882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28.89262200763725</v>
      </c>
      <c r="BQ187" s="21">
        <f>EXP(-LN(2)/25)*BQ186+(1-EXP(-LN(2)/25))/(LN(2)/25)*Calculateur!BL187*Calculateur!BN187*VLOOKUP('Données projet'!$B$11,Paramètres!$A$1:$I$89,3,0)*0.475*44/12</f>
        <v>0.70722743589285086</v>
      </c>
      <c r="BR187" s="21">
        <f>EXP(-LN(2)/2)*BR186+(1-EXP(-LN(2)/2))/(LN(2)/2)*BL187*BO187*VLOOKUP('Données projet'!$B$11,Paramètres!$A$1:$I$89,3,0)*0.475*44/12</f>
        <v>4.8963833317658981E-24</v>
      </c>
      <c r="BS187" s="22">
        <f t="shared" si="169"/>
        <v>29.599849443530101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253.79640000000001</v>
      </c>
      <c r="CA187" s="13">
        <f t="shared" si="170"/>
        <v>61.39816832228076</v>
      </c>
      <c r="CB187" s="20">
        <f t="shared" si="171"/>
        <v>548.96387316130563</v>
      </c>
      <c r="CC187" s="59">
        <f t="shared" si="119"/>
        <v>842.29720649463889</v>
      </c>
      <c r="CD187" s="59">
        <f ca="1">AVERAGE(OFFSET($CC$3,0,0,'Données projet'!$E$12+1,1))-AVERAGE(OFFSET($H$3,0,0,'Données projet'!$E$12+1,1))</f>
        <v>279.49721661620544</v>
      </c>
      <c r="CE187" s="59">
        <f t="shared" si="148"/>
        <v>275.18739333988754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6.7789609959751953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6.7789609959751953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18.829999999999643</v>
      </c>
      <c r="CU187" s="17">
        <f>CT187*VLOOKUP('Données projet'!$B$13,Paramètres!$A$1:$I$89,3,0)*VLOOKUP('Données projet'!$B$13,Paramètres!$A$1:$I$89,5,0)</f>
        <v>19.093619999999639</v>
      </c>
      <c r="CV187" s="13">
        <f t="shared" si="173"/>
        <v>6.2423044268988592</v>
      </c>
      <c r="CW187" s="20">
        <f t="shared" si="174"/>
        <v>44.126735043514884</v>
      </c>
      <c r="CX187" s="59">
        <f t="shared" si="122"/>
        <v>337.4600683768482</v>
      </c>
      <c r="CY187" s="59">
        <f ca="1">AVERAGE(OFFSET($CX$3,0,0,'Données projet'!$E$13+1,1))-AVERAGE(OFFSET($H$3,0,0,'Données projet'!$E$13+1,1))</f>
        <v>402.54350692668021</v>
      </c>
      <c r="CZ187" s="59">
        <f t="shared" si="150"/>
        <v>163.60655196884522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159.2865559485588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159.2865559485588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404.00000000000017</v>
      </c>
      <c r="DP187" s="17">
        <f>DO187*VLOOKUP('Données projet'!$B$14,Paramètres!$A$1:$I$89,3,0)*VLOOKUP('Données projet'!$B$14,Paramètres!$A$1:$I$89,5,0)</f>
        <v>346.63200000000018</v>
      </c>
      <c r="DQ187" s="13">
        <f t="shared" si="176"/>
        <v>80.868615263336864</v>
      </c>
      <c r="DR187" s="20">
        <f t="shared" si="177"/>
        <v>744.56357158364528</v>
      </c>
      <c r="DS187" s="59">
        <f t="shared" si="125"/>
        <v>1037.8969049169787</v>
      </c>
      <c r="DT187" s="59">
        <f ca="1">AVERAGE(OFFSET($DS$3,0,0,'Données projet'!$E$14+1,1))-AVERAGE(OFFSET($H$3,0,0,'Données projet'!$E$14+1,1))</f>
        <v>352.76625414822473</v>
      </c>
      <c r="DU187" s="59">
        <f t="shared" si="152"/>
        <v>186.48649111821521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28.141858744502816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28.141858744502816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210.25641030000014</v>
      </c>
      <c r="EK187" s="17">
        <f>EJ187*VLOOKUP('Données projet'!$B$15,Paramètres!$A$1:$I$89,3,0)*VLOOKUP('Données projet'!$B$15,Paramètres!$A$1:$I$89,5,0)</f>
        <v>164.00000003400012</v>
      </c>
      <c r="EL187" s="13">
        <f t="shared" si="179"/>
        <v>41.743425916009095</v>
      </c>
      <c r="EM187" s="20">
        <f t="shared" si="180"/>
        <v>358.3364668629327</v>
      </c>
      <c r="EN187" s="59">
        <f t="shared" si="128"/>
        <v>651.66980019626601</v>
      </c>
      <c r="EO187" s="59">
        <f ca="1">AVERAGE(OFFSET($EN$3,0,0,'Données projet'!$E$15+1,1))-AVERAGE(OFFSET($H$3,0,0,'Données projet'!$E$15+1,1))</f>
        <v>130.66539383144681</v>
      </c>
      <c r="EP187" s="59">
        <f t="shared" si="154"/>
        <v>126.36398121441903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3.3115911208002826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3.3115911208002826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18.829999999999643</v>
      </c>
      <c r="FF187" s="17">
        <f>FE187*VLOOKUP('Données projet'!$B$16,Paramètres!$A$1:$I$89,3,0)*VLOOKUP('Données projet'!$B$16,Paramètres!$A$1:$I$89,5,0)</f>
        <v>18.212375999999654</v>
      </c>
      <c r="FG187" s="13">
        <f t="shared" si="182"/>
        <v>5.9870377924133553</v>
      </c>
      <c r="FH187" s="20">
        <f t="shared" si="183"/>
        <v>42.147312355119332</v>
      </c>
      <c r="FI187" s="59">
        <f t="shared" si="131"/>
        <v>335.48064568845263</v>
      </c>
      <c r="FJ187" s="59">
        <f ca="1">AVERAGE(OFFSET($FI$3,0,0,'Données projet'!$E$16+1,1))-AVERAGE(OFFSET($H$3,0,0,'Données projet'!$E$16+1,1))</f>
        <v>380.43199889536805</v>
      </c>
      <c r="FK187" s="59">
        <f t="shared" si="156"/>
        <v>154.72646317672996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151.93486875093302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151.93486875093302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304</v>
      </c>
      <c r="O188" s="13">
        <f>N188*VLOOKUP('Données projet'!$B$9,Paramètres!$A$1:$I$89,3,0)*VLOOKUP('Données projet'!$B$9,Paramètres!$A$1:$I$89,5,0)</f>
        <v>189.696</v>
      </c>
      <c r="P188" s="13">
        <f t="shared" si="141"/>
        <v>47.472736505152469</v>
      </c>
      <c r="Q188" s="20">
        <f t="shared" si="162"/>
        <v>413.06888274647389</v>
      </c>
      <c r="R188" s="59">
        <f t="shared" si="109"/>
        <v>706.4022160798072</v>
      </c>
      <c r="S188" s="59">
        <f ca="1">AVERAGE(OFFSET($R$3,0,0,'Données projet'!$E$9+1,1))-AVERAGE(OFFSET($H$3,0,0,'Données projet'!$E$9+1,1))</f>
        <v>179.44051550872138</v>
      </c>
      <c r="T188" s="59">
        <f t="shared" si="142"/>
        <v>272.9500808380069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5.7114148453832989</v>
      </c>
      <c r="AA188" s="21">
        <f>EXP(-LN(2)/25)*AA187+(1-EXP(-LN(2)/25))/(LN(2)/25)*Calculateur!V188*Calculateur!X188*VLOOKUP('Données projet'!$B$9,Paramètres!$A$1:$I$89,3,0)*0.475*44/12</f>
        <v>0.65821141540297845</v>
      </c>
      <c r="AB188" s="21">
        <f>EXP(-LN(2)/2)*AB187+(1-EXP(-LN(2)/2))/(LN(2)/2)*V188*Y188*VLOOKUP('Données projet'!$B$9,Paramètres!$A$1:$I$89,3,0)*0.475*44/12</f>
        <v>1.033107433932362E-24</v>
      </c>
      <c r="AC188" s="22">
        <f t="shared" si="163"/>
        <v>6.3696262607862772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2.4999999999997442</v>
      </c>
      <c r="AJ188" s="13">
        <f>AI188*VLOOKUP('Données projet'!$B$10,Paramètres!$A$1:$I$89,3,0)*VLOOKUP('Données projet'!$B$10,Paramètres!$A$1:$I$89,5,0)</f>
        <v>1.2024999999998769</v>
      </c>
      <c r="AK188" s="13">
        <f t="shared" si="164"/>
        <v>0.54239446125464896</v>
      </c>
      <c r="AL188" s="20">
        <f t="shared" si="165"/>
        <v>3.0390245200182986</v>
      </c>
      <c r="AM188" s="59">
        <f t="shared" si="113"/>
        <v>296.37235785335162</v>
      </c>
      <c r="AN188" s="59">
        <f ca="1">AVERAGE(OFFSET($AM$3,0,0,'Données projet'!$E$10+1,1))-AVERAGE(OFFSET($H$3,0,0,'Données projet'!$E$10+1,1))</f>
        <v>174.18188687702559</v>
      </c>
      <c r="AO188" s="59">
        <f t="shared" si="144"/>
        <v>32.17353897322738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59.289284599883231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59.289284599883231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0.8600000000003547</v>
      </c>
      <c r="BE188" s="13">
        <f>BD188*VLOOKUP('Données projet'!$B$11,Paramètres!$A$1:$I$89,3,0)*VLOOKUP('Données projet'!$B$11,Paramètres!$A$1:$I$89,5,0)</f>
        <v>0.48074000000019829</v>
      </c>
      <c r="BF188" s="13">
        <f t="shared" si="167"/>
        <v>0.24126147010950588</v>
      </c>
      <c r="BG188" s="20">
        <f t="shared" si="168"/>
        <v>1.2574858937744013</v>
      </c>
      <c r="BH188" s="59">
        <f t="shared" si="116"/>
        <v>294.59081922710772</v>
      </c>
      <c r="BI188" s="59">
        <f ca="1">AVERAGE(OFFSET($BH$3,0,0,'Données projet'!$E$11+1,1))-AVERAGE(OFFSET($H$3,0,0,'Données projet'!$E$11+1,1))</f>
        <v>350.01600895263641</v>
      </c>
      <c r="BJ188" s="59">
        <f t="shared" si="146"/>
        <v>464.08921044376882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28.326055312826806</v>
      </c>
      <c r="BQ188" s="21">
        <f>EXP(-LN(2)/25)*BQ187+(1-EXP(-LN(2)/25))/(LN(2)/25)*Calculateur!BL188*Calculateur!BN188*VLOOKUP('Données projet'!$B$11,Paramètres!$A$1:$I$89,3,0)*0.475*44/12</f>
        <v>0.68788826446688645</v>
      </c>
      <c r="BR188" s="21">
        <f>EXP(-LN(2)/2)*BR187+(1-EXP(-LN(2)/2))/(LN(2)/2)*BL188*BO188*VLOOKUP('Données projet'!$B$11,Paramètres!$A$1:$I$89,3,0)*0.475*44/12</f>
        <v>3.4622658571804473E-24</v>
      </c>
      <c r="BS188" s="22">
        <f t="shared" si="169"/>
        <v>29.013943577293691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253.79640000000001</v>
      </c>
      <c r="CA188" s="13">
        <f t="shared" si="170"/>
        <v>61.39816832228076</v>
      </c>
      <c r="CB188" s="20">
        <f t="shared" si="171"/>
        <v>548.96387316130563</v>
      </c>
      <c r="CC188" s="59">
        <f t="shared" si="119"/>
        <v>842.29720649463889</v>
      </c>
      <c r="CD188" s="59">
        <f ca="1">AVERAGE(OFFSET($CC$3,0,0,'Données projet'!$E$12+1,1))-AVERAGE(OFFSET($H$3,0,0,'Données projet'!$E$12+1,1))</f>
        <v>279.49721661620544</v>
      </c>
      <c r="CE188" s="59">
        <f t="shared" si="148"/>
        <v>275.18739333988754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6.6460297056020554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6.6460297056020554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18.829999999999643</v>
      </c>
      <c r="CU188" s="17">
        <f>CT188*VLOOKUP('Données projet'!$B$13,Paramètres!$A$1:$I$89,3,0)*VLOOKUP('Données projet'!$B$13,Paramètres!$A$1:$I$89,5,0)</f>
        <v>19.093619999999639</v>
      </c>
      <c r="CV188" s="13">
        <f t="shared" si="173"/>
        <v>6.2423044268988592</v>
      </c>
      <c r="CW188" s="20">
        <f t="shared" si="174"/>
        <v>44.126735043514884</v>
      </c>
      <c r="CX188" s="59">
        <f t="shared" si="122"/>
        <v>337.4600683768482</v>
      </c>
      <c r="CY188" s="59">
        <f ca="1">AVERAGE(OFFSET($CX$3,0,0,'Données projet'!$E$13+1,1))-AVERAGE(OFFSET($H$3,0,0,'Données projet'!$E$13+1,1))</f>
        <v>402.54350692668021</v>
      </c>
      <c r="CZ188" s="59">
        <f t="shared" si="150"/>
        <v>163.60655196884522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156.16304374161342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156.16304374161342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404.00000000000017</v>
      </c>
      <c r="DP188" s="17">
        <f>DO188*VLOOKUP('Données projet'!$B$14,Paramètres!$A$1:$I$89,3,0)*VLOOKUP('Données projet'!$B$14,Paramètres!$A$1:$I$89,5,0)</f>
        <v>346.63200000000018</v>
      </c>
      <c r="DQ188" s="13">
        <f t="shared" si="176"/>
        <v>80.868615263336864</v>
      </c>
      <c r="DR188" s="20">
        <f t="shared" si="177"/>
        <v>744.56357158364528</v>
      </c>
      <c r="DS188" s="59">
        <f t="shared" si="125"/>
        <v>1037.8969049169787</v>
      </c>
      <c r="DT188" s="59">
        <f ca="1">AVERAGE(OFFSET($DS$3,0,0,'Données projet'!$E$14+1,1))-AVERAGE(OFFSET($H$3,0,0,'Données projet'!$E$14+1,1))</f>
        <v>352.76625414822473</v>
      </c>
      <c r="DU188" s="59">
        <f t="shared" si="152"/>
        <v>186.48649111821521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27.590014059362062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27.590014059362062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210.25641030000014</v>
      </c>
      <c r="EK188" s="17">
        <f>EJ188*VLOOKUP('Données projet'!$B$15,Paramètres!$A$1:$I$89,3,0)*VLOOKUP('Données projet'!$B$15,Paramètres!$A$1:$I$89,5,0)</f>
        <v>164.00000003400012</v>
      </c>
      <c r="EL188" s="13">
        <f t="shared" si="179"/>
        <v>41.743425916009095</v>
      </c>
      <c r="EM188" s="20">
        <f t="shared" si="180"/>
        <v>358.3364668629327</v>
      </c>
      <c r="EN188" s="59">
        <f t="shared" si="128"/>
        <v>651.66980019626601</v>
      </c>
      <c r="EO188" s="59">
        <f ca="1">AVERAGE(OFFSET($EN$3,0,0,'Données projet'!$E$15+1,1))-AVERAGE(OFFSET($H$3,0,0,'Données projet'!$E$15+1,1))</f>
        <v>130.66539383144681</v>
      </c>
      <c r="EP188" s="59">
        <f t="shared" si="154"/>
        <v>126.36398121441903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3.2466528387925271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3.2466528387925271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18.829999999999643</v>
      </c>
      <c r="FF188" s="17">
        <f>FE188*VLOOKUP('Données projet'!$B$16,Paramètres!$A$1:$I$89,3,0)*VLOOKUP('Données projet'!$B$16,Paramètres!$A$1:$I$89,5,0)</f>
        <v>18.212375999999654</v>
      </c>
      <c r="FG188" s="13">
        <f t="shared" si="182"/>
        <v>5.9870377924133553</v>
      </c>
      <c r="FH188" s="20">
        <f t="shared" si="183"/>
        <v>42.147312355119332</v>
      </c>
      <c r="FI188" s="59">
        <f t="shared" si="131"/>
        <v>335.48064568845263</v>
      </c>
      <c r="FJ188" s="59">
        <f ca="1">AVERAGE(OFFSET($FI$3,0,0,'Données projet'!$E$16+1,1))-AVERAGE(OFFSET($H$3,0,0,'Données projet'!$E$16+1,1))</f>
        <v>380.43199889536805</v>
      </c>
      <c r="FK188" s="59">
        <f t="shared" si="156"/>
        <v>154.72646317672996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148.95551864584664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148.95551864584664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304</v>
      </c>
      <c r="O189" s="13">
        <f>N189*VLOOKUP('Données projet'!$B$9,Paramètres!$A$1:$I$89,3,0)*VLOOKUP('Données projet'!$B$9,Paramètres!$A$1:$I$89,5,0)</f>
        <v>189.696</v>
      </c>
      <c r="P189" s="13">
        <f t="shared" si="141"/>
        <v>47.472736505152469</v>
      </c>
      <c r="Q189" s="20">
        <f t="shared" si="162"/>
        <v>413.06888274647389</v>
      </c>
      <c r="R189" s="59">
        <f t="shared" si="109"/>
        <v>706.4022160798072</v>
      </c>
      <c r="S189" s="59">
        <f ca="1">AVERAGE(OFFSET($R$3,0,0,'Données projet'!$E$9+1,1))-AVERAGE(OFFSET($H$3,0,0,'Données projet'!$E$9+1,1))</f>
        <v>179.44051550872138</v>
      </c>
      <c r="T189" s="59">
        <f t="shared" si="142"/>
        <v>272.9500808380069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5.5994174838844089</v>
      </c>
      <c r="AA189" s="21">
        <f>EXP(-LN(2)/25)*AA188+(1-EXP(-LN(2)/25))/(LN(2)/25)*Calculateur!V189*Calculateur!X189*VLOOKUP('Données projet'!$B$9,Paramètres!$A$1:$I$89,3,0)*0.475*44/12</f>
        <v>0.64021258963494998</v>
      </c>
      <c r="AB189" s="21">
        <f>EXP(-LN(2)/2)*AB188+(1-EXP(-LN(2)/2))/(LN(2)/2)*V189*Y189*VLOOKUP('Données projet'!$B$9,Paramètres!$A$1:$I$89,3,0)*0.475*44/12</f>
        <v>7.3051727222780629E-25</v>
      </c>
      <c r="AC189" s="22">
        <f t="shared" si="163"/>
        <v>6.2396300735193586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2.4999999999997442</v>
      </c>
      <c r="AJ189" s="13">
        <f>AI189*VLOOKUP('Données projet'!$B$10,Paramètres!$A$1:$I$89,3,0)*VLOOKUP('Données projet'!$B$10,Paramètres!$A$1:$I$89,5,0)</f>
        <v>1.2024999999998769</v>
      </c>
      <c r="AK189" s="13">
        <f t="shared" si="164"/>
        <v>0.54239446125464896</v>
      </c>
      <c r="AL189" s="20">
        <f t="shared" si="165"/>
        <v>3.0390245200182986</v>
      </c>
      <c r="AM189" s="59">
        <f t="shared" si="113"/>
        <v>296.37235785335162</v>
      </c>
      <c r="AN189" s="59">
        <f ca="1">AVERAGE(OFFSET($AM$3,0,0,'Données projet'!$E$10+1,1))-AVERAGE(OFFSET($H$3,0,0,'Données projet'!$E$10+1,1))</f>
        <v>174.18188687702559</v>
      </c>
      <c r="AO189" s="59">
        <f t="shared" si="144"/>
        <v>32.17353897322738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58.126657891772339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58.126657891772339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0.8600000000003547</v>
      </c>
      <c r="BE189" s="13">
        <f>BD189*VLOOKUP('Données projet'!$B$11,Paramètres!$A$1:$I$89,3,0)*VLOOKUP('Données projet'!$B$11,Paramètres!$A$1:$I$89,5,0)</f>
        <v>0.48074000000019829</v>
      </c>
      <c r="BF189" s="13">
        <f t="shared" si="167"/>
        <v>0.24126147010950588</v>
      </c>
      <c r="BG189" s="20">
        <f t="shared" si="168"/>
        <v>1.2574858937744013</v>
      </c>
      <c r="BH189" s="59">
        <f t="shared" si="116"/>
        <v>294.59081922710772</v>
      </c>
      <c r="BI189" s="59">
        <f ca="1">AVERAGE(OFFSET($BH$3,0,0,'Données projet'!$E$11+1,1))-AVERAGE(OFFSET($H$3,0,0,'Données projet'!$E$11+1,1))</f>
        <v>350.01600895263641</v>
      </c>
      <c r="BJ189" s="59">
        <f t="shared" si="146"/>
        <v>464.08921044376882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27.770598645330033</v>
      </c>
      <c r="BQ189" s="21">
        <f>EXP(-LN(2)/25)*BQ188+(1-EXP(-LN(2)/25))/(LN(2)/25)*Calculateur!BL189*Calculateur!BN189*VLOOKUP('Données projet'!$B$11,Paramètres!$A$1:$I$89,3,0)*0.475*44/12</f>
        <v>0.66907792370056784</v>
      </c>
      <c r="BR189" s="21">
        <f>EXP(-LN(2)/2)*BR188+(1-EXP(-LN(2)/2))/(LN(2)/2)*BL189*BO189*VLOOKUP('Données projet'!$B$11,Paramètres!$A$1:$I$89,3,0)*0.475*44/12</f>
        <v>2.448191665882949E-24</v>
      </c>
      <c r="BS189" s="22">
        <f t="shared" si="169"/>
        <v>28.439676569030599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253.79640000000001</v>
      </c>
      <c r="CA189" s="13">
        <f t="shared" si="170"/>
        <v>61.39816832228076</v>
      </c>
      <c r="CB189" s="20">
        <f t="shared" si="171"/>
        <v>548.96387316130563</v>
      </c>
      <c r="CC189" s="59">
        <f t="shared" si="119"/>
        <v>842.29720649463889</v>
      </c>
      <c r="CD189" s="59">
        <f ca="1">AVERAGE(OFFSET($CC$3,0,0,'Données projet'!$E$12+1,1))-AVERAGE(OFFSET($H$3,0,0,'Données projet'!$E$12+1,1))</f>
        <v>279.49721661620544</v>
      </c>
      <c r="CE189" s="59">
        <f t="shared" si="148"/>
        <v>275.18739333988754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6.5157051167530522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6.5157051167530522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18.829999999999643</v>
      </c>
      <c r="CU189" s="17">
        <f>CT189*VLOOKUP('Données projet'!$B$13,Paramètres!$A$1:$I$89,3,0)*VLOOKUP('Données projet'!$B$13,Paramètres!$A$1:$I$89,5,0)</f>
        <v>19.093619999999639</v>
      </c>
      <c r="CV189" s="13">
        <f t="shared" si="173"/>
        <v>6.2423044268988592</v>
      </c>
      <c r="CW189" s="20">
        <f t="shared" si="174"/>
        <v>44.126735043514884</v>
      </c>
      <c r="CX189" s="59">
        <f t="shared" si="122"/>
        <v>337.4600683768482</v>
      </c>
      <c r="CY189" s="59">
        <f ca="1">AVERAGE(OFFSET($CX$3,0,0,'Données projet'!$E$13+1,1))-AVERAGE(OFFSET($H$3,0,0,'Données projet'!$E$13+1,1))</f>
        <v>402.54350692668021</v>
      </c>
      <c r="CZ189" s="59">
        <f t="shared" si="150"/>
        <v>163.60655196884522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153.1007817038919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153.1007817038919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404.00000000000017</v>
      </c>
      <c r="DP189" s="17">
        <f>DO189*VLOOKUP('Données projet'!$B$14,Paramètres!$A$1:$I$89,3,0)*VLOOKUP('Données projet'!$B$14,Paramètres!$A$1:$I$89,5,0)</f>
        <v>346.63200000000018</v>
      </c>
      <c r="DQ189" s="13">
        <f t="shared" si="176"/>
        <v>80.868615263336864</v>
      </c>
      <c r="DR189" s="20">
        <f t="shared" si="177"/>
        <v>744.56357158364528</v>
      </c>
      <c r="DS189" s="59">
        <f t="shared" si="125"/>
        <v>1037.8969049169787</v>
      </c>
      <c r="DT189" s="59">
        <f ca="1">AVERAGE(OFFSET($DS$3,0,0,'Données projet'!$E$14+1,1))-AVERAGE(OFFSET($H$3,0,0,'Données projet'!$E$14+1,1))</f>
        <v>352.76625414822473</v>
      </c>
      <c r="DU189" s="59">
        <f t="shared" si="152"/>
        <v>186.48649111821521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27.048990711904896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27.048990711904896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210.25641030000014</v>
      </c>
      <c r="EK189" s="17">
        <f>EJ189*VLOOKUP('Données projet'!$B$15,Paramètres!$A$1:$I$89,3,0)*VLOOKUP('Données projet'!$B$15,Paramètres!$A$1:$I$89,5,0)</f>
        <v>164.00000003400012</v>
      </c>
      <c r="EL189" s="13">
        <f t="shared" si="179"/>
        <v>41.743425916009095</v>
      </c>
      <c r="EM189" s="20">
        <f t="shared" si="180"/>
        <v>358.3364668629327</v>
      </c>
      <c r="EN189" s="59">
        <f t="shared" si="128"/>
        <v>651.66980019626601</v>
      </c>
      <c r="EO189" s="59">
        <f ca="1">AVERAGE(OFFSET($EN$3,0,0,'Données projet'!$E$15+1,1))-AVERAGE(OFFSET($H$3,0,0,'Données projet'!$E$15+1,1))</f>
        <v>130.66539383144681</v>
      </c>
      <c r="EP189" s="59">
        <f t="shared" si="154"/>
        <v>126.36398121441903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3.1829879568865027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3.1829879568865027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18.829999999999643</v>
      </c>
      <c r="FF189" s="17">
        <f>FE189*VLOOKUP('Données projet'!$B$16,Paramètres!$A$1:$I$89,3,0)*VLOOKUP('Données projet'!$B$16,Paramètres!$A$1:$I$89,5,0)</f>
        <v>18.212375999999654</v>
      </c>
      <c r="FG189" s="13">
        <f t="shared" si="182"/>
        <v>5.9870377924133553</v>
      </c>
      <c r="FH189" s="20">
        <f t="shared" si="183"/>
        <v>42.147312355119332</v>
      </c>
      <c r="FI189" s="59">
        <f t="shared" si="131"/>
        <v>335.48064568845263</v>
      </c>
      <c r="FJ189" s="59">
        <f ca="1">AVERAGE(OFFSET($FI$3,0,0,'Données projet'!$E$16+1,1))-AVERAGE(OFFSET($H$3,0,0,'Données projet'!$E$16+1,1))</f>
        <v>380.43199889536805</v>
      </c>
      <c r="FK189" s="59">
        <f t="shared" si="156"/>
        <v>154.72646317672996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146.03459177909687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146.03459177909687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304</v>
      </c>
      <c r="O190" s="13">
        <f>N190*VLOOKUP('Données projet'!$B$9,Paramètres!$A$1:$I$89,3,0)*VLOOKUP('Données projet'!$B$9,Paramètres!$A$1:$I$89,5,0)</f>
        <v>189.696</v>
      </c>
      <c r="P190" s="13">
        <f t="shared" si="141"/>
        <v>47.472736505152469</v>
      </c>
      <c r="Q190" s="20">
        <f t="shared" si="162"/>
        <v>413.06888274647389</v>
      </c>
      <c r="R190" s="59">
        <f t="shared" si="109"/>
        <v>706.4022160798072</v>
      </c>
      <c r="S190" s="59">
        <f ca="1">AVERAGE(OFFSET($R$3,0,0,'Données projet'!$E$9+1,1))-AVERAGE(OFFSET($H$3,0,0,'Données projet'!$E$9+1,1))</f>
        <v>179.44051550872138</v>
      </c>
      <c r="T190" s="59">
        <f t="shared" si="142"/>
        <v>272.9500808380069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5.4896163223328669</v>
      </c>
      <c r="AA190" s="21">
        <f>EXP(-LN(2)/25)*AA189+(1-EXP(-LN(2)/25))/(LN(2)/25)*Calculateur!V190*Calculateur!X190*VLOOKUP('Données projet'!$B$9,Paramètres!$A$1:$I$89,3,0)*0.475*44/12</f>
        <v>0.62270594270406543</v>
      </c>
      <c r="AB190" s="21">
        <f>EXP(-LN(2)/2)*AB189+(1-EXP(-LN(2)/2))/(LN(2)/2)*V190*Y190*VLOOKUP('Données projet'!$B$9,Paramètres!$A$1:$I$89,3,0)*0.475*44/12</f>
        <v>5.1655371696618098E-25</v>
      </c>
      <c r="AC190" s="22">
        <f t="shared" si="163"/>
        <v>6.1123222650369327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2.4999999999997442</v>
      </c>
      <c r="AJ190" s="13">
        <f>AI190*VLOOKUP('Données projet'!$B$10,Paramètres!$A$1:$I$89,3,0)*VLOOKUP('Données projet'!$B$10,Paramètres!$A$1:$I$89,5,0)</f>
        <v>1.2024999999998769</v>
      </c>
      <c r="AK190" s="13">
        <f t="shared" si="164"/>
        <v>0.54239446125464896</v>
      </c>
      <c r="AL190" s="20">
        <f t="shared" si="165"/>
        <v>3.0390245200182986</v>
      </c>
      <c r="AM190" s="59">
        <f t="shared" si="113"/>
        <v>296.37235785335162</v>
      </c>
      <c r="AN190" s="59">
        <f ca="1">AVERAGE(OFFSET($AM$3,0,0,'Données projet'!$E$10+1,1))-AVERAGE(OFFSET($H$3,0,0,'Données projet'!$E$10+1,1))</f>
        <v>174.18188687702559</v>
      </c>
      <c r="AO190" s="59">
        <f t="shared" si="144"/>
        <v>32.17353897322738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56.986829584275227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56.986829584275227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0.8600000000003547</v>
      </c>
      <c r="BE190" s="13">
        <f>BD190*VLOOKUP('Données projet'!$B$11,Paramètres!$A$1:$I$89,3,0)*VLOOKUP('Données projet'!$B$11,Paramètres!$A$1:$I$89,5,0)</f>
        <v>0.48074000000019829</v>
      </c>
      <c r="BF190" s="13">
        <f t="shared" si="167"/>
        <v>0.24126147010950588</v>
      </c>
      <c r="BG190" s="20">
        <f t="shared" si="168"/>
        <v>1.2574858937744013</v>
      </c>
      <c r="BH190" s="59">
        <f t="shared" si="116"/>
        <v>294.59081922710772</v>
      </c>
      <c r="BI190" s="59">
        <f ca="1">AVERAGE(OFFSET($BH$3,0,0,'Données projet'!$E$11+1,1))-AVERAGE(OFFSET($H$3,0,0,'Données projet'!$E$11+1,1))</f>
        <v>350.01600895263641</v>
      </c>
      <c r="BJ190" s="59">
        <f t="shared" si="146"/>
        <v>464.08921044376882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27.226034144287755</v>
      </c>
      <c r="BQ190" s="21">
        <f>EXP(-LN(2)/25)*BQ189+(1-EXP(-LN(2)/25))/(LN(2)/25)*Calculateur!BL190*Calculateur!BN190*VLOOKUP('Données projet'!$B$11,Paramètres!$A$1:$I$89,3,0)*0.475*44/12</f>
        <v>0.65078195269169703</v>
      </c>
      <c r="BR190" s="21">
        <f>EXP(-LN(2)/2)*BR189+(1-EXP(-LN(2)/2))/(LN(2)/2)*BL190*BO190*VLOOKUP('Données projet'!$B$11,Paramètres!$A$1:$I$89,3,0)*0.475*44/12</f>
        <v>1.7311329285902237E-24</v>
      </c>
      <c r="BS190" s="22">
        <f t="shared" si="169"/>
        <v>27.876816096979454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253.79640000000001</v>
      </c>
      <c r="CA190" s="13">
        <f t="shared" si="170"/>
        <v>61.39816832228076</v>
      </c>
      <c r="CB190" s="20">
        <f t="shared" si="171"/>
        <v>548.96387316130563</v>
      </c>
      <c r="CC190" s="59">
        <f t="shared" si="119"/>
        <v>842.29720649463889</v>
      </c>
      <c r="CD190" s="59">
        <f ca="1">AVERAGE(OFFSET($CC$3,0,0,'Données projet'!$E$12+1,1))-AVERAGE(OFFSET($H$3,0,0,'Données projet'!$E$12+1,1))</f>
        <v>279.49721661620544</v>
      </c>
      <c r="CE190" s="59">
        <f t="shared" si="148"/>
        <v>275.18739333988754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6.3879361136012278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6.3879361136012278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18.829999999999643</v>
      </c>
      <c r="CU190" s="17">
        <f>CT190*VLOOKUP('Données projet'!$B$13,Paramètres!$A$1:$I$89,3,0)*VLOOKUP('Données projet'!$B$13,Paramètres!$A$1:$I$89,5,0)</f>
        <v>19.093619999999639</v>
      </c>
      <c r="CV190" s="13">
        <f t="shared" si="173"/>
        <v>6.2423044268988592</v>
      </c>
      <c r="CW190" s="20">
        <f t="shared" si="174"/>
        <v>44.126735043514884</v>
      </c>
      <c r="CX190" s="59">
        <f t="shared" si="122"/>
        <v>337.4600683768482</v>
      </c>
      <c r="CY190" s="59">
        <f ca="1">AVERAGE(OFFSET($CX$3,0,0,'Données projet'!$E$13+1,1))-AVERAGE(OFFSET($H$3,0,0,'Données projet'!$E$13+1,1))</f>
        <v>402.54350692668021</v>
      </c>
      <c r="CZ190" s="59">
        <f t="shared" si="150"/>
        <v>163.60655196884522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150.0985687569347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150.0985687569347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404.00000000000017</v>
      </c>
      <c r="DP190" s="17">
        <f>DO190*VLOOKUP('Données projet'!$B$14,Paramètres!$A$1:$I$89,3,0)*VLOOKUP('Données projet'!$B$14,Paramètres!$A$1:$I$89,5,0)</f>
        <v>346.63200000000018</v>
      </c>
      <c r="DQ190" s="13">
        <f t="shared" si="176"/>
        <v>80.868615263336864</v>
      </c>
      <c r="DR190" s="20">
        <f t="shared" si="177"/>
        <v>744.56357158364528</v>
      </c>
      <c r="DS190" s="59">
        <f t="shared" si="125"/>
        <v>1037.8969049169787</v>
      </c>
      <c r="DT190" s="59">
        <f ca="1">AVERAGE(OFFSET($DS$3,0,0,'Données projet'!$E$14+1,1))-AVERAGE(OFFSET($H$3,0,0,'Données projet'!$E$14+1,1))</f>
        <v>352.76625414822473</v>
      </c>
      <c r="DU190" s="59">
        <f t="shared" si="152"/>
        <v>186.48649111821521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26.518576502299709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26.518576502299709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210.25641030000014</v>
      </c>
      <c r="EK190" s="17">
        <f>EJ190*VLOOKUP('Données projet'!$B$15,Paramètres!$A$1:$I$89,3,0)*VLOOKUP('Données projet'!$B$15,Paramètres!$A$1:$I$89,5,0)</f>
        <v>164.00000003400012</v>
      </c>
      <c r="EL190" s="13">
        <f t="shared" si="179"/>
        <v>41.743425916009095</v>
      </c>
      <c r="EM190" s="20">
        <f t="shared" si="180"/>
        <v>358.3364668629327</v>
      </c>
      <c r="EN190" s="59">
        <f t="shared" si="128"/>
        <v>651.66980019626601</v>
      </c>
      <c r="EO190" s="59">
        <f ca="1">AVERAGE(OFFSET($EN$3,0,0,'Données projet'!$E$15+1,1))-AVERAGE(OFFSET($H$3,0,0,'Données projet'!$E$15+1,1))</f>
        <v>130.66539383144681</v>
      </c>
      <c r="EP190" s="59">
        <f t="shared" si="154"/>
        <v>126.36398121441903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3.1205715044829119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3.1205715044829119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18.829999999999643</v>
      </c>
      <c r="FF190" s="17">
        <f>FE190*VLOOKUP('Données projet'!$B$16,Paramètres!$A$1:$I$89,3,0)*VLOOKUP('Données projet'!$B$16,Paramètres!$A$1:$I$89,5,0)</f>
        <v>18.212375999999654</v>
      </c>
      <c r="FG190" s="13">
        <f t="shared" si="182"/>
        <v>5.9870377924133553</v>
      </c>
      <c r="FH190" s="20">
        <f t="shared" si="183"/>
        <v>42.147312355119332</v>
      </c>
      <c r="FI190" s="59">
        <f t="shared" si="131"/>
        <v>335.48064568845263</v>
      </c>
      <c r="FJ190" s="59">
        <f ca="1">AVERAGE(OFFSET($FI$3,0,0,'Données projet'!$E$16+1,1))-AVERAGE(OFFSET($H$3,0,0,'Données projet'!$E$16+1,1))</f>
        <v>380.43199889536805</v>
      </c>
      <c r="FK190" s="59">
        <f t="shared" si="156"/>
        <v>154.72646317672996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143.17094250661461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143.17094250661461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304</v>
      </c>
      <c r="O191" s="13">
        <f>N191*VLOOKUP('Données projet'!$B$9,Paramètres!$A$1:$I$89,3,0)*VLOOKUP('Données projet'!$B$9,Paramètres!$A$1:$I$89,5,0)</f>
        <v>189.696</v>
      </c>
      <c r="P191" s="13">
        <f t="shared" si="141"/>
        <v>47.472736505152469</v>
      </c>
      <c r="Q191" s="20">
        <f t="shared" si="162"/>
        <v>413.06888274647389</v>
      </c>
      <c r="R191" s="59">
        <f t="shared" si="109"/>
        <v>706.4022160798072</v>
      </c>
      <c r="S191" s="59">
        <f ca="1">AVERAGE(OFFSET($R$3,0,0,'Données projet'!$E$9+1,1))-AVERAGE(OFFSET($H$3,0,0,'Données projet'!$E$9+1,1))</f>
        <v>179.44051550872138</v>
      </c>
      <c r="T191" s="59">
        <f t="shared" si="142"/>
        <v>272.9500808380069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5.3819682945872556</v>
      </c>
      <c r="AA191" s="21">
        <f>EXP(-LN(2)/25)*AA190+(1-EXP(-LN(2)/25))/(LN(2)/25)*Calculateur!V191*Calculateur!X191*VLOOKUP('Données projet'!$B$9,Paramètres!$A$1:$I$89,3,0)*0.475*44/12</f>
        <v>0.60567801595414039</v>
      </c>
      <c r="AB191" s="21">
        <f>EXP(-LN(2)/2)*AB190+(1-EXP(-LN(2)/2))/(LN(2)/2)*V191*Y191*VLOOKUP('Données projet'!$B$9,Paramètres!$A$1:$I$89,3,0)*0.475*44/12</f>
        <v>3.6525863611390314E-25</v>
      </c>
      <c r="AC191" s="22">
        <f t="shared" si="163"/>
        <v>5.987646310541396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2.4999999999997442</v>
      </c>
      <c r="AJ191" s="13">
        <f>AI191*VLOOKUP('Données projet'!$B$10,Paramètres!$A$1:$I$89,3,0)*VLOOKUP('Données projet'!$B$10,Paramètres!$A$1:$I$89,5,0)</f>
        <v>1.2024999999998769</v>
      </c>
      <c r="AK191" s="13">
        <f t="shared" si="164"/>
        <v>0.54239446125464896</v>
      </c>
      <c r="AL191" s="20">
        <f t="shared" si="165"/>
        <v>3.0390245200182986</v>
      </c>
      <c r="AM191" s="59">
        <f t="shared" si="113"/>
        <v>296.37235785335162</v>
      </c>
      <c r="AN191" s="59">
        <f ca="1">AVERAGE(OFFSET($AM$3,0,0,'Données projet'!$E$10+1,1))-AVERAGE(OFFSET($H$3,0,0,'Données projet'!$E$10+1,1))</f>
        <v>174.18188687702559</v>
      </c>
      <c r="AO191" s="59">
        <f t="shared" si="144"/>
        <v>32.17353897322738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55.869352614661516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55.869352614661516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0.8600000000003547</v>
      </c>
      <c r="BE191" s="13">
        <f>BD191*VLOOKUP('Données projet'!$B$11,Paramètres!$A$1:$I$89,3,0)*VLOOKUP('Données projet'!$B$11,Paramètres!$A$1:$I$89,5,0)</f>
        <v>0.48074000000019829</v>
      </c>
      <c r="BF191" s="13">
        <f t="shared" si="167"/>
        <v>0.24126147010950588</v>
      </c>
      <c r="BG191" s="20">
        <f t="shared" si="168"/>
        <v>1.2574858937744013</v>
      </c>
      <c r="BH191" s="59">
        <f t="shared" si="116"/>
        <v>294.59081922710772</v>
      </c>
      <c r="BI191" s="59">
        <f ca="1">AVERAGE(OFFSET($BH$3,0,0,'Données projet'!$E$11+1,1))-AVERAGE(OFFSET($H$3,0,0,'Données projet'!$E$11+1,1))</f>
        <v>350.01600895263641</v>
      </c>
      <c r="BJ191" s="59">
        <f t="shared" si="146"/>
        <v>464.08921044376882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26.692148220959371</v>
      </c>
      <c r="BQ191" s="21">
        <f>EXP(-LN(2)/25)*BQ190+(1-EXP(-LN(2)/25))/(LN(2)/25)*Calculateur!BL191*Calculateur!BN191*VLOOKUP('Données projet'!$B$11,Paramètres!$A$1:$I$89,3,0)*0.475*44/12</f>
        <v>0.63298628597220707</v>
      </c>
      <c r="BR191" s="21">
        <f>EXP(-LN(2)/2)*BR190+(1-EXP(-LN(2)/2))/(LN(2)/2)*BL191*BO191*VLOOKUP('Données projet'!$B$11,Paramètres!$A$1:$I$89,3,0)*0.475*44/12</f>
        <v>1.2240958329414745E-24</v>
      </c>
      <c r="BS191" s="22">
        <f t="shared" si="169"/>
        <v>27.32513450693158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253.79640000000001</v>
      </c>
      <c r="CA191" s="13">
        <f t="shared" si="170"/>
        <v>61.39816832228076</v>
      </c>
      <c r="CB191" s="20">
        <f t="shared" si="171"/>
        <v>548.96387316130563</v>
      </c>
      <c r="CC191" s="59">
        <f t="shared" si="119"/>
        <v>842.29720649463889</v>
      </c>
      <c r="CD191" s="59">
        <f ca="1">AVERAGE(OFFSET($CC$3,0,0,'Données projet'!$E$12+1,1))-AVERAGE(OFFSET($H$3,0,0,'Données projet'!$E$12+1,1))</f>
        <v>279.49721661620544</v>
      </c>
      <c r="CE191" s="59">
        <f t="shared" si="148"/>
        <v>275.18739333988754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6.262672582669814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6.262672582669814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18.829999999999643</v>
      </c>
      <c r="CU191" s="17">
        <f>CT191*VLOOKUP('Données projet'!$B$13,Paramètres!$A$1:$I$89,3,0)*VLOOKUP('Données projet'!$B$13,Paramètres!$A$1:$I$89,5,0)</f>
        <v>19.093619999999639</v>
      </c>
      <c r="CV191" s="13">
        <f t="shared" si="173"/>
        <v>6.2423044268988592</v>
      </c>
      <c r="CW191" s="20">
        <f t="shared" si="174"/>
        <v>44.126735043514884</v>
      </c>
      <c r="CX191" s="59">
        <f t="shared" si="122"/>
        <v>337.4600683768482</v>
      </c>
      <c r="CY191" s="59">
        <f ca="1">AVERAGE(OFFSET($CX$3,0,0,'Données projet'!$E$13+1,1))-AVERAGE(OFFSET($H$3,0,0,'Données projet'!$E$13+1,1))</f>
        <v>402.54350692668021</v>
      </c>
      <c r="CZ191" s="59">
        <f t="shared" si="150"/>
        <v>163.60655196884522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147.15522737469823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147.15522737469823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404.00000000000017</v>
      </c>
      <c r="DP191" s="17">
        <f>DO191*VLOOKUP('Données projet'!$B$14,Paramètres!$A$1:$I$89,3,0)*VLOOKUP('Données projet'!$B$14,Paramètres!$A$1:$I$89,5,0)</f>
        <v>346.63200000000018</v>
      </c>
      <c r="DQ191" s="13">
        <f t="shared" si="176"/>
        <v>80.868615263336864</v>
      </c>
      <c r="DR191" s="20">
        <f t="shared" si="177"/>
        <v>744.56357158364528</v>
      </c>
      <c r="DS191" s="59">
        <f t="shared" si="125"/>
        <v>1037.8969049169787</v>
      </c>
      <c r="DT191" s="59">
        <f ca="1">AVERAGE(OFFSET($DS$3,0,0,'Données projet'!$E$14+1,1))-AVERAGE(OFFSET($H$3,0,0,'Données projet'!$E$14+1,1))</f>
        <v>352.76625414822473</v>
      </c>
      <c r="DU191" s="59">
        <f t="shared" si="152"/>
        <v>186.48649111821521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25.998563391824156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25.998563391824156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210.25641030000014</v>
      </c>
      <c r="EK191" s="17">
        <f>EJ191*VLOOKUP('Données projet'!$B$15,Paramètres!$A$1:$I$89,3,0)*VLOOKUP('Données projet'!$B$15,Paramètres!$A$1:$I$89,5,0)</f>
        <v>164.00000003400012</v>
      </c>
      <c r="EL191" s="13">
        <f t="shared" si="179"/>
        <v>41.743425916009095</v>
      </c>
      <c r="EM191" s="20">
        <f t="shared" si="180"/>
        <v>358.3364668629327</v>
      </c>
      <c r="EN191" s="59">
        <f t="shared" si="128"/>
        <v>651.66980019626601</v>
      </c>
      <c r="EO191" s="59">
        <f ca="1">AVERAGE(OFFSET($EN$3,0,0,'Données projet'!$E$15+1,1))-AVERAGE(OFFSET($H$3,0,0,'Données projet'!$E$15+1,1))</f>
        <v>130.66539383144681</v>
      </c>
      <c r="EP191" s="59">
        <f t="shared" si="154"/>
        <v>126.36398121441903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3.0593790006406785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3.0593790006406785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18.829999999999643</v>
      </c>
      <c r="FF191" s="17">
        <f>FE191*VLOOKUP('Données projet'!$B$16,Paramètres!$A$1:$I$89,3,0)*VLOOKUP('Données projet'!$B$16,Paramètres!$A$1:$I$89,5,0)</f>
        <v>18.212375999999654</v>
      </c>
      <c r="FG191" s="13">
        <f t="shared" si="182"/>
        <v>5.9870377924133553</v>
      </c>
      <c r="FH191" s="20">
        <f t="shared" si="183"/>
        <v>42.147312355119332</v>
      </c>
      <c r="FI191" s="59">
        <f t="shared" si="131"/>
        <v>335.48064568845263</v>
      </c>
      <c r="FJ191" s="59">
        <f ca="1">AVERAGE(OFFSET($FI$3,0,0,'Données projet'!$E$16+1,1))-AVERAGE(OFFSET($H$3,0,0,'Données projet'!$E$16+1,1))</f>
        <v>380.43199889536805</v>
      </c>
      <c r="FK191" s="59">
        <f t="shared" si="156"/>
        <v>154.72646317672996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140.36344764971213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140.36344764971213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304</v>
      </c>
      <c r="O192" s="13">
        <f>N192*VLOOKUP('Données projet'!$B$9,Paramètres!$A$1:$I$89,3,0)*VLOOKUP('Données projet'!$B$9,Paramètres!$A$1:$I$89,5,0)</f>
        <v>189.696</v>
      </c>
      <c r="P192" s="13">
        <f t="shared" si="141"/>
        <v>47.472736505152469</v>
      </c>
      <c r="Q192" s="20">
        <f t="shared" si="162"/>
        <v>413.06888274647389</v>
      </c>
      <c r="R192" s="59">
        <f t="shared" si="109"/>
        <v>706.4022160798072</v>
      </c>
      <c r="S192" s="59">
        <f ca="1">AVERAGE(OFFSET($R$3,0,0,'Données projet'!$E$9+1,1))-AVERAGE(OFFSET($H$3,0,0,'Données projet'!$E$9+1,1))</f>
        <v>179.44051550872138</v>
      </c>
      <c r="T192" s="59">
        <f t="shared" si="142"/>
        <v>272.9500808380069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5.2764311790069218</v>
      </c>
      <c r="AA192" s="21">
        <f>EXP(-LN(2)/25)*AA191+(1-EXP(-LN(2)/25))/(LN(2)/25)*Calculateur!V192*Calculateur!X192*VLOOKUP('Données projet'!$B$9,Paramètres!$A$1:$I$89,3,0)*0.475*44/12</f>
        <v>0.58911571875665181</v>
      </c>
      <c r="AB192" s="21">
        <f>EXP(-LN(2)/2)*AB191+(1-EXP(-LN(2)/2))/(LN(2)/2)*V192*Y192*VLOOKUP('Données projet'!$B$9,Paramètres!$A$1:$I$89,3,0)*0.475*44/12</f>
        <v>2.5827685848309049E-25</v>
      </c>
      <c r="AC192" s="22">
        <f t="shared" si="163"/>
        <v>5.8655468977635739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2.4999999999997442</v>
      </c>
      <c r="AJ192" s="13">
        <f>AI192*VLOOKUP('Données projet'!$B$10,Paramètres!$A$1:$I$89,3,0)*VLOOKUP('Données projet'!$B$10,Paramètres!$A$1:$I$89,5,0)</f>
        <v>1.2024999999998769</v>
      </c>
      <c r="AK192" s="13">
        <f t="shared" si="164"/>
        <v>0.54239446125464896</v>
      </c>
      <c r="AL192" s="20">
        <f t="shared" si="165"/>
        <v>3.0390245200182986</v>
      </c>
      <c r="AM192" s="59">
        <f t="shared" si="113"/>
        <v>296.37235785335162</v>
      </c>
      <c r="AN192" s="59">
        <f ca="1">AVERAGE(OFFSET($AM$3,0,0,'Données projet'!$E$10+1,1))-AVERAGE(OFFSET($H$3,0,0,'Données projet'!$E$10+1,1))</f>
        <v>174.18188687702559</v>
      </c>
      <c r="AO192" s="59">
        <f t="shared" si="144"/>
        <v>32.17353897322738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54.773788686828283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54.773788686828283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0.8600000000003547</v>
      </c>
      <c r="BE192" s="13">
        <f>BD192*VLOOKUP('Données projet'!$B$11,Paramètres!$A$1:$I$89,3,0)*VLOOKUP('Données projet'!$B$11,Paramètres!$A$1:$I$89,5,0)</f>
        <v>0.48074000000019829</v>
      </c>
      <c r="BF192" s="13">
        <f t="shared" si="167"/>
        <v>0.24126147010950588</v>
      </c>
      <c r="BG192" s="20">
        <f t="shared" si="168"/>
        <v>1.2574858937744013</v>
      </c>
      <c r="BH192" s="59">
        <f t="shared" si="116"/>
        <v>294.59081922710772</v>
      </c>
      <c r="BI192" s="59">
        <f ca="1">AVERAGE(OFFSET($BH$3,0,0,'Données projet'!$E$11+1,1))-AVERAGE(OFFSET($H$3,0,0,'Données projet'!$E$11+1,1))</f>
        <v>350.01600895263641</v>
      </c>
      <c r="BJ192" s="59">
        <f t="shared" si="146"/>
        <v>464.08921044376882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26.168731474949197</v>
      </c>
      <c r="BQ192" s="21">
        <f>EXP(-LN(2)/25)*BQ191+(1-EXP(-LN(2)/25))/(LN(2)/25)*Calculateur!BL192*Calculateur!BN192*VLOOKUP('Données projet'!$B$11,Paramètres!$A$1:$I$89,3,0)*0.475*44/12</f>
        <v>0.61567724269499502</v>
      </c>
      <c r="BR192" s="21">
        <f>EXP(-LN(2)/2)*BR191+(1-EXP(-LN(2)/2))/(LN(2)/2)*BL192*BO192*VLOOKUP('Données projet'!$B$11,Paramètres!$A$1:$I$89,3,0)*0.475*44/12</f>
        <v>8.6556646429511183E-25</v>
      </c>
      <c r="BS192" s="22">
        <f t="shared" si="169"/>
        <v>26.784408717644194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253.79640000000001</v>
      </c>
      <c r="CA192" s="13">
        <f t="shared" si="170"/>
        <v>61.39816832228076</v>
      </c>
      <c r="CB192" s="20">
        <f t="shared" si="171"/>
        <v>548.96387316130563</v>
      </c>
      <c r="CC192" s="59">
        <f t="shared" si="119"/>
        <v>842.29720649463889</v>
      </c>
      <c r="CD192" s="59">
        <f ca="1">AVERAGE(OFFSET($CC$3,0,0,'Données projet'!$E$12+1,1))-AVERAGE(OFFSET($H$3,0,0,'Données projet'!$E$12+1,1))</f>
        <v>279.49721661620544</v>
      </c>
      <c r="CE192" s="59">
        <f t="shared" si="148"/>
        <v>275.18739333988754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6.1398653931767555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6.1398653931767555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18.829999999999643</v>
      </c>
      <c r="CU192" s="17">
        <f>CT192*VLOOKUP('Données projet'!$B$13,Paramètres!$A$1:$I$89,3,0)*VLOOKUP('Données projet'!$B$13,Paramètres!$A$1:$I$89,5,0)</f>
        <v>19.093619999999639</v>
      </c>
      <c r="CV192" s="13">
        <f t="shared" si="173"/>
        <v>6.2423044268988592</v>
      </c>
      <c r="CW192" s="20">
        <f t="shared" si="174"/>
        <v>44.126735043514884</v>
      </c>
      <c r="CX192" s="59">
        <f t="shared" si="122"/>
        <v>337.4600683768482</v>
      </c>
      <c r="CY192" s="59">
        <f ca="1">AVERAGE(OFFSET($CX$3,0,0,'Données projet'!$E$13+1,1))-AVERAGE(OFFSET($H$3,0,0,'Données projet'!$E$13+1,1))</f>
        <v>402.54350692668021</v>
      </c>
      <c r="CZ192" s="59">
        <f t="shared" si="150"/>
        <v>163.60655196884522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144.26960312170644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144.26960312170644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404.00000000000017</v>
      </c>
      <c r="DP192" s="17">
        <f>DO192*VLOOKUP('Données projet'!$B$14,Paramètres!$A$1:$I$89,3,0)*VLOOKUP('Données projet'!$B$14,Paramètres!$A$1:$I$89,5,0)</f>
        <v>346.63200000000018</v>
      </c>
      <c r="DQ192" s="13">
        <f t="shared" si="176"/>
        <v>80.868615263336864</v>
      </c>
      <c r="DR192" s="20">
        <f t="shared" si="177"/>
        <v>744.56357158364528</v>
      </c>
      <c r="DS192" s="59">
        <f t="shared" si="125"/>
        <v>1037.8969049169787</v>
      </c>
      <c r="DT192" s="59">
        <f ca="1">AVERAGE(OFFSET($DS$3,0,0,'Données projet'!$E$14+1,1))-AVERAGE(OFFSET($H$3,0,0,'Données projet'!$E$14+1,1))</f>
        <v>352.76625414822473</v>
      </c>
      <c r="DU192" s="59">
        <f t="shared" si="152"/>
        <v>186.48649111821521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25.48874742126835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25.48874742126835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210.25641030000014</v>
      </c>
      <c r="EK192" s="17">
        <f>EJ192*VLOOKUP('Données projet'!$B$15,Paramètres!$A$1:$I$89,3,0)*VLOOKUP('Données projet'!$B$15,Paramètres!$A$1:$I$89,5,0)</f>
        <v>164.00000003400012</v>
      </c>
      <c r="EL192" s="13">
        <f t="shared" si="179"/>
        <v>41.743425916009095</v>
      </c>
      <c r="EM192" s="20">
        <f t="shared" si="180"/>
        <v>358.3364668629327</v>
      </c>
      <c r="EN192" s="59">
        <f t="shared" si="128"/>
        <v>651.66980019626601</v>
      </c>
      <c r="EO192" s="59">
        <f ca="1">AVERAGE(OFFSET($EN$3,0,0,'Données projet'!$E$15+1,1))-AVERAGE(OFFSET($H$3,0,0,'Données projet'!$E$15+1,1))</f>
        <v>130.66539383144681</v>
      </c>
      <c r="EP192" s="59">
        <f t="shared" si="154"/>
        <v>126.36398121441903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2.9993864444750491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2.9993864444750491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18.829999999999643</v>
      </c>
      <c r="FF192" s="17">
        <f>FE192*VLOOKUP('Données projet'!$B$16,Paramètres!$A$1:$I$89,3,0)*VLOOKUP('Données projet'!$B$16,Paramètres!$A$1:$I$89,5,0)</f>
        <v>18.212375999999654</v>
      </c>
      <c r="FG192" s="13">
        <f t="shared" si="182"/>
        <v>5.9870377924133553</v>
      </c>
      <c r="FH192" s="20">
        <f t="shared" si="183"/>
        <v>42.147312355119332</v>
      </c>
      <c r="FI192" s="59">
        <f t="shared" si="131"/>
        <v>335.48064568845263</v>
      </c>
      <c r="FJ192" s="59">
        <f ca="1">AVERAGE(OFFSET($FI$3,0,0,'Données projet'!$E$16+1,1))-AVERAGE(OFFSET($H$3,0,0,'Données projet'!$E$16+1,1))</f>
        <v>380.43199889536805</v>
      </c>
      <c r="FK192" s="59">
        <f t="shared" si="156"/>
        <v>154.72646317672996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137.61100605455073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137.61100605455073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304</v>
      </c>
      <c r="O193" s="13">
        <f>N193*VLOOKUP('Données projet'!$B$9,Paramètres!$A$1:$I$89,3,0)*VLOOKUP('Données projet'!$B$9,Paramètres!$A$1:$I$89,5,0)</f>
        <v>189.696</v>
      </c>
      <c r="P193" s="13">
        <f t="shared" si="141"/>
        <v>47.472736505152469</v>
      </c>
      <c r="Q193" s="20">
        <f t="shared" si="162"/>
        <v>413.06888274647389</v>
      </c>
      <c r="R193" s="59">
        <f t="shared" si="109"/>
        <v>706.4022160798072</v>
      </c>
      <c r="S193" s="59">
        <f ca="1">AVERAGE(OFFSET($R$3,0,0,'Données projet'!$E$9+1,1))-AVERAGE(OFFSET($H$3,0,0,'Données projet'!$E$9+1,1))</f>
        <v>179.44051550872138</v>
      </c>
      <c r="T193" s="59">
        <f t="shared" si="142"/>
        <v>272.9500808380069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5.1729635818918345</v>
      </c>
      <c r="AA193" s="21">
        <f>EXP(-LN(2)/25)*AA192+(1-EXP(-LN(2)/25))/(LN(2)/25)*Calculateur!V193*Calculateur!X193*VLOOKUP('Données projet'!$B$9,Paramètres!$A$1:$I$89,3,0)*0.475*44/12</f>
        <v>0.57300631844700201</v>
      </c>
      <c r="AB193" s="21">
        <f>EXP(-LN(2)/2)*AB192+(1-EXP(-LN(2)/2))/(LN(2)/2)*V193*Y193*VLOOKUP('Données projet'!$B$9,Paramètres!$A$1:$I$89,3,0)*0.475*44/12</f>
        <v>1.8262931805695157E-25</v>
      </c>
      <c r="AC193" s="22">
        <f t="shared" si="163"/>
        <v>5.7459699003388369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2.4999999999997442</v>
      </c>
      <c r="AJ193" s="13">
        <f>AI193*VLOOKUP('Données projet'!$B$10,Paramètres!$A$1:$I$89,3,0)*VLOOKUP('Données projet'!$B$10,Paramètres!$A$1:$I$89,5,0)</f>
        <v>1.2024999999998769</v>
      </c>
      <c r="AK193" s="13">
        <f t="shared" si="164"/>
        <v>0.54239446125464896</v>
      </c>
      <c r="AL193" s="20">
        <f t="shared" si="165"/>
        <v>3.0390245200182986</v>
      </c>
      <c r="AM193" s="59">
        <f t="shared" si="113"/>
        <v>296.37235785335162</v>
      </c>
      <c r="AN193" s="59">
        <f ca="1">AVERAGE(OFFSET($AM$3,0,0,'Données projet'!$E$10+1,1))-AVERAGE(OFFSET($H$3,0,0,'Données projet'!$E$10+1,1))</f>
        <v>174.18188687702559</v>
      </c>
      <c r="AO193" s="59">
        <f t="shared" si="144"/>
        <v>32.17353897322738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53.699708099391842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53.699708099391842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0.8600000000003547</v>
      </c>
      <c r="BE193" s="13">
        <f>BD193*VLOOKUP('Données projet'!$B$11,Paramètres!$A$1:$I$89,3,0)*VLOOKUP('Données projet'!$B$11,Paramètres!$A$1:$I$89,5,0)</f>
        <v>0.48074000000019829</v>
      </c>
      <c r="BF193" s="13">
        <f t="shared" si="167"/>
        <v>0.24126147010950588</v>
      </c>
      <c r="BG193" s="20">
        <f t="shared" si="168"/>
        <v>1.2574858937744013</v>
      </c>
      <c r="BH193" s="59">
        <f t="shared" si="116"/>
        <v>294.59081922710772</v>
      </c>
      <c r="BI193" s="59">
        <f ca="1">AVERAGE(OFFSET($BH$3,0,0,'Données projet'!$E$11+1,1))-AVERAGE(OFFSET($H$3,0,0,'Données projet'!$E$11+1,1))</f>
        <v>350.01600895263641</v>
      </c>
      <c r="BJ193" s="59">
        <f t="shared" si="146"/>
        <v>464.08921044376882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25.65557861207559</v>
      </c>
      <c r="BQ193" s="21">
        <f>EXP(-LN(2)/25)*BQ192+(1-EXP(-LN(2)/25))/(LN(2)/25)*Calculateur!BL193*Calculateur!BN193*VLOOKUP('Données projet'!$B$11,Paramètres!$A$1:$I$89,3,0)*0.475*44/12</f>
        <v>0.59884151611644132</v>
      </c>
      <c r="BR193" s="21">
        <f>EXP(-LN(2)/2)*BR192+(1-EXP(-LN(2)/2))/(LN(2)/2)*BL193*BO193*VLOOKUP('Données projet'!$B$11,Paramètres!$A$1:$I$89,3,0)*0.475*44/12</f>
        <v>6.1204791647073726E-25</v>
      </c>
      <c r="BS193" s="22">
        <f t="shared" si="169"/>
        <v>26.254420128192031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253.79640000000001</v>
      </c>
      <c r="CA193" s="13">
        <f t="shared" si="170"/>
        <v>61.39816832228076</v>
      </c>
      <c r="CB193" s="20">
        <f t="shared" si="171"/>
        <v>548.96387316130563</v>
      </c>
      <c r="CC193" s="59">
        <f t="shared" si="119"/>
        <v>842.29720649463889</v>
      </c>
      <c r="CD193" s="59">
        <f ca="1">AVERAGE(OFFSET($CC$3,0,0,'Données projet'!$E$12+1,1))-AVERAGE(OFFSET($H$3,0,0,'Données projet'!$E$12+1,1))</f>
        <v>279.49721661620544</v>
      </c>
      <c r="CE193" s="59">
        <f t="shared" si="148"/>
        <v>275.18739333988754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6.0194663777646662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6.0194663777646662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18.829999999999643</v>
      </c>
      <c r="CU193" s="17">
        <f>CT193*VLOOKUP('Données projet'!$B$13,Paramètres!$A$1:$I$89,3,0)*VLOOKUP('Données projet'!$B$13,Paramètres!$A$1:$I$89,5,0)</f>
        <v>19.093619999999639</v>
      </c>
      <c r="CV193" s="13">
        <f t="shared" si="173"/>
        <v>6.2423044268988592</v>
      </c>
      <c r="CW193" s="20">
        <f t="shared" si="174"/>
        <v>44.126735043514884</v>
      </c>
      <c r="CX193" s="59">
        <f t="shared" si="122"/>
        <v>337.4600683768482</v>
      </c>
      <c r="CY193" s="59">
        <f ca="1">AVERAGE(OFFSET($CX$3,0,0,'Données projet'!$E$13+1,1))-AVERAGE(OFFSET($H$3,0,0,'Données projet'!$E$13+1,1))</f>
        <v>402.54350692668021</v>
      </c>
      <c r="CZ193" s="59">
        <f t="shared" si="150"/>
        <v>163.60655196884522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141.44056420025882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141.44056420025882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404.00000000000017</v>
      </c>
      <c r="DP193" s="17">
        <f>DO193*VLOOKUP('Données projet'!$B$14,Paramètres!$A$1:$I$89,3,0)*VLOOKUP('Données projet'!$B$14,Paramètres!$A$1:$I$89,5,0)</f>
        <v>346.63200000000018</v>
      </c>
      <c r="DQ193" s="13">
        <f t="shared" si="176"/>
        <v>80.868615263336864</v>
      </c>
      <c r="DR193" s="20">
        <f t="shared" si="177"/>
        <v>744.56357158364528</v>
      </c>
      <c r="DS193" s="59">
        <f t="shared" si="125"/>
        <v>1037.8969049169787</v>
      </c>
      <c r="DT193" s="59">
        <f ca="1">AVERAGE(OFFSET($DS$3,0,0,'Données projet'!$E$14+1,1))-AVERAGE(OFFSET($H$3,0,0,'Données projet'!$E$14+1,1))</f>
        <v>352.76625414822473</v>
      </c>
      <c r="DU193" s="59">
        <f t="shared" si="152"/>
        <v>186.48649111821521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24.988928630938105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24.988928630938105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210.25641030000014</v>
      </c>
      <c r="EK193" s="17">
        <f>EJ193*VLOOKUP('Données projet'!$B$15,Paramètres!$A$1:$I$89,3,0)*VLOOKUP('Données projet'!$B$15,Paramètres!$A$1:$I$89,5,0)</f>
        <v>164.00000003400012</v>
      </c>
      <c r="EL193" s="13">
        <f t="shared" si="179"/>
        <v>41.743425916009095</v>
      </c>
      <c r="EM193" s="20">
        <f t="shared" si="180"/>
        <v>358.3364668629327</v>
      </c>
      <c r="EN193" s="59">
        <f t="shared" si="128"/>
        <v>651.66980019626601</v>
      </c>
      <c r="EO193" s="59">
        <f ca="1">AVERAGE(OFFSET($EN$3,0,0,'Données projet'!$E$15+1,1))-AVERAGE(OFFSET($H$3,0,0,'Données projet'!$E$15+1,1))</f>
        <v>130.66539383144681</v>
      </c>
      <c r="EP193" s="59">
        <f t="shared" si="154"/>
        <v>126.36398121441903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2.9405703057439818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2.9405703057439818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18.829999999999643</v>
      </c>
      <c r="FF193" s="17">
        <f>FE193*VLOOKUP('Données projet'!$B$16,Paramètres!$A$1:$I$89,3,0)*VLOOKUP('Données projet'!$B$16,Paramètres!$A$1:$I$89,5,0)</f>
        <v>18.212375999999654</v>
      </c>
      <c r="FG193" s="13">
        <f t="shared" si="182"/>
        <v>5.9870377924133553</v>
      </c>
      <c r="FH193" s="20">
        <f t="shared" si="183"/>
        <v>42.147312355119332</v>
      </c>
      <c r="FI193" s="59">
        <f t="shared" si="131"/>
        <v>335.48064568845263</v>
      </c>
      <c r="FJ193" s="59">
        <f ca="1">AVERAGE(OFFSET($FI$3,0,0,'Données projet'!$E$16+1,1))-AVERAGE(OFFSET($H$3,0,0,'Données projet'!$E$16+1,1))</f>
        <v>380.43199889536805</v>
      </c>
      <c r="FK193" s="59">
        <f t="shared" si="156"/>
        <v>154.72646317672996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134.91253816024684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134.91253816024684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304</v>
      </c>
      <c r="O194" s="13">
        <f>N194*VLOOKUP('Données projet'!$B$9,Paramètres!$A$1:$I$89,3,0)*VLOOKUP('Données projet'!$B$9,Paramètres!$A$1:$I$89,5,0)</f>
        <v>189.696</v>
      </c>
      <c r="P194" s="13">
        <f t="shared" si="141"/>
        <v>47.472736505152469</v>
      </c>
      <c r="Q194" s="20">
        <f t="shared" si="162"/>
        <v>413.06888274647389</v>
      </c>
      <c r="R194" s="59">
        <f t="shared" si="109"/>
        <v>706.4022160798072</v>
      </c>
      <c r="S194" s="59">
        <f ca="1">AVERAGE(OFFSET($R$3,0,0,'Données projet'!$E$9+1,1))-AVERAGE(OFFSET($H$3,0,0,'Données projet'!$E$9+1,1))</f>
        <v>179.44051550872138</v>
      </c>
      <c r="T194" s="59">
        <f t="shared" si="142"/>
        <v>272.9500808380069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5.0715249212471711</v>
      </c>
      <c r="AA194" s="21">
        <f>EXP(-LN(2)/25)*AA193+(1-EXP(-LN(2)/25))/(LN(2)/25)*Calculateur!V194*Calculateur!X194*VLOOKUP('Données projet'!$B$9,Paramètres!$A$1:$I$89,3,0)*0.475*44/12</f>
        <v>0.55733743053597606</v>
      </c>
      <c r="AB194" s="21">
        <f>EXP(-LN(2)/2)*AB193+(1-EXP(-LN(2)/2))/(LN(2)/2)*V194*Y194*VLOOKUP('Données projet'!$B$9,Paramètres!$A$1:$I$89,3,0)*0.475*44/12</f>
        <v>1.2913842924154525E-25</v>
      </c>
      <c r="AC194" s="22">
        <f t="shared" si="163"/>
        <v>5.6288623517831473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2.4999999999997442</v>
      </c>
      <c r="AJ194" s="13">
        <f>AI194*VLOOKUP('Données projet'!$B$10,Paramètres!$A$1:$I$89,3,0)*VLOOKUP('Données projet'!$B$10,Paramètres!$A$1:$I$89,5,0)</f>
        <v>1.2024999999998769</v>
      </c>
      <c r="AK194" s="13">
        <f t="shared" si="164"/>
        <v>0.54239446125464896</v>
      </c>
      <c r="AL194" s="20">
        <f t="shared" si="165"/>
        <v>3.0390245200182986</v>
      </c>
      <c r="AM194" s="59">
        <f t="shared" si="113"/>
        <v>296.37235785335162</v>
      </c>
      <c r="AN194" s="59">
        <f ca="1">AVERAGE(OFFSET($AM$3,0,0,'Données projet'!$E$10+1,1))-AVERAGE(OFFSET($H$3,0,0,'Données projet'!$E$10+1,1))</f>
        <v>174.18188687702559</v>
      </c>
      <c r="AO194" s="59">
        <f t="shared" si="144"/>
        <v>32.17353897322738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52.646689577150561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52.646689577150561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0.8600000000003547</v>
      </c>
      <c r="BE194" s="13">
        <f>BD194*VLOOKUP('Données projet'!$B$11,Paramètres!$A$1:$I$89,3,0)*VLOOKUP('Données projet'!$B$11,Paramètres!$A$1:$I$89,5,0)</f>
        <v>0.48074000000019829</v>
      </c>
      <c r="BF194" s="13">
        <f t="shared" si="167"/>
        <v>0.24126147010950588</v>
      </c>
      <c r="BG194" s="20">
        <f t="shared" si="168"/>
        <v>1.2574858937744013</v>
      </c>
      <c r="BH194" s="59">
        <f t="shared" si="116"/>
        <v>294.59081922710772</v>
      </c>
      <c r="BI194" s="59">
        <f ca="1">AVERAGE(OFFSET($BH$3,0,0,'Données projet'!$E$11+1,1))-AVERAGE(OFFSET($H$3,0,0,'Données projet'!$E$11+1,1))</f>
        <v>350.01600895263641</v>
      </c>
      <c r="BJ194" s="59">
        <f t="shared" si="146"/>
        <v>464.08921044376882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25.152488363850594</v>
      </c>
      <c r="BQ194" s="21">
        <f>EXP(-LN(2)/25)*BQ193+(1-EXP(-LN(2)/25))/(LN(2)/25)*Calculateur!BL194*Calculateur!BN194*VLOOKUP('Données projet'!$B$11,Paramètres!$A$1:$I$89,3,0)*0.475*44/12</f>
        <v>0.58246616336653056</v>
      </c>
      <c r="BR194" s="21">
        <f>EXP(-LN(2)/2)*BR193+(1-EXP(-LN(2)/2))/(LN(2)/2)*BL194*BO194*VLOOKUP('Données projet'!$B$11,Paramètres!$A$1:$I$89,3,0)*0.475*44/12</f>
        <v>4.3278323214755591E-25</v>
      </c>
      <c r="BS194" s="22">
        <f t="shared" si="169"/>
        <v>25.734954527217123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253.79640000000001</v>
      </c>
      <c r="CA194" s="13">
        <f t="shared" si="170"/>
        <v>61.39816832228076</v>
      </c>
      <c r="CB194" s="20">
        <f t="shared" si="171"/>
        <v>548.96387316130563</v>
      </c>
      <c r="CC194" s="59">
        <f t="shared" si="119"/>
        <v>842.29720649463889</v>
      </c>
      <c r="CD194" s="59">
        <f ca="1">AVERAGE(OFFSET($CC$3,0,0,'Données projet'!$E$12+1,1))-AVERAGE(OFFSET($H$3,0,0,'Données projet'!$E$12+1,1))</f>
        <v>279.49721661620544</v>
      </c>
      <c r="CE194" s="59">
        <f t="shared" si="148"/>
        <v>275.18739333988754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5.90142831360866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5.90142831360866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18.829999999999643</v>
      </c>
      <c r="CU194" s="17">
        <f>CT194*VLOOKUP('Données projet'!$B$13,Paramètres!$A$1:$I$89,3,0)*VLOOKUP('Données projet'!$B$13,Paramètres!$A$1:$I$89,5,0)</f>
        <v>19.093619999999639</v>
      </c>
      <c r="CV194" s="13">
        <f t="shared" si="173"/>
        <v>6.2423044268988592</v>
      </c>
      <c r="CW194" s="20">
        <f t="shared" si="174"/>
        <v>44.126735043514884</v>
      </c>
      <c r="CX194" s="59">
        <f t="shared" si="122"/>
        <v>337.4600683768482</v>
      </c>
      <c r="CY194" s="59">
        <f ca="1">AVERAGE(OFFSET($CX$3,0,0,'Données projet'!$E$13+1,1))-AVERAGE(OFFSET($H$3,0,0,'Données projet'!$E$13+1,1))</f>
        <v>402.54350692668021</v>
      </c>
      <c r="CZ194" s="59">
        <f t="shared" si="150"/>
        <v>163.60655196884522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138.66700100651744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138.66700100651744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404.00000000000017</v>
      </c>
      <c r="DP194" s="17">
        <f>DO194*VLOOKUP('Données projet'!$B$14,Paramètres!$A$1:$I$89,3,0)*VLOOKUP('Données projet'!$B$14,Paramètres!$A$1:$I$89,5,0)</f>
        <v>346.63200000000018</v>
      </c>
      <c r="DQ194" s="13">
        <f t="shared" si="176"/>
        <v>80.868615263336864</v>
      </c>
      <c r="DR194" s="20">
        <f t="shared" si="177"/>
        <v>744.56357158364528</v>
      </c>
      <c r="DS194" s="59">
        <f t="shared" si="125"/>
        <v>1037.8969049169787</v>
      </c>
      <c r="DT194" s="59">
        <f ca="1">AVERAGE(OFFSET($DS$3,0,0,'Données projet'!$E$14+1,1))-AVERAGE(OFFSET($H$3,0,0,'Données projet'!$E$14+1,1))</f>
        <v>352.76625414822473</v>
      </c>
      <c r="DU194" s="59">
        <f t="shared" si="152"/>
        <v>186.48649111821521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24.498910982226878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24.498910982226878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210.25641030000014</v>
      </c>
      <c r="EK194" s="17">
        <f>EJ194*VLOOKUP('Données projet'!$B$15,Paramètres!$A$1:$I$89,3,0)*VLOOKUP('Données projet'!$B$15,Paramètres!$A$1:$I$89,5,0)</f>
        <v>164.00000003400012</v>
      </c>
      <c r="EL194" s="13">
        <f t="shared" si="179"/>
        <v>41.743425916009095</v>
      </c>
      <c r="EM194" s="20">
        <f t="shared" si="180"/>
        <v>358.3364668629327</v>
      </c>
      <c r="EN194" s="59">
        <f t="shared" si="128"/>
        <v>651.66980019626601</v>
      </c>
      <c r="EO194" s="59">
        <f ca="1">AVERAGE(OFFSET($EN$3,0,0,'Données projet'!$E$15+1,1))-AVERAGE(OFFSET($H$3,0,0,'Données projet'!$E$15+1,1))</f>
        <v>130.66539383144681</v>
      </c>
      <c r="EP194" s="59">
        <f t="shared" si="154"/>
        <v>126.36398121441903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2.8829075156191286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2.8829075156191286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18.829999999999643</v>
      </c>
      <c r="FF194" s="17">
        <f>FE194*VLOOKUP('Données projet'!$B$16,Paramètres!$A$1:$I$89,3,0)*VLOOKUP('Données projet'!$B$16,Paramètres!$A$1:$I$89,5,0)</f>
        <v>18.212375999999654</v>
      </c>
      <c r="FG194" s="13">
        <f t="shared" si="182"/>
        <v>5.9870377924133553</v>
      </c>
      <c r="FH194" s="20">
        <f t="shared" si="183"/>
        <v>42.147312355119332</v>
      </c>
      <c r="FI194" s="59">
        <f t="shared" si="131"/>
        <v>335.48064568845263</v>
      </c>
      <c r="FJ194" s="59">
        <f ca="1">AVERAGE(OFFSET($FI$3,0,0,'Données projet'!$E$16+1,1))-AVERAGE(OFFSET($H$3,0,0,'Données projet'!$E$16+1,1))</f>
        <v>380.43199889536805</v>
      </c>
      <c r="FK194" s="59">
        <f t="shared" si="156"/>
        <v>154.72646317672996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132.26698557544736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132.26698557544736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304</v>
      </c>
      <c r="O195" s="13">
        <f>N195*VLOOKUP('Données projet'!$B$9,Paramètres!$A$1:$I$89,3,0)*VLOOKUP('Données projet'!$B$9,Paramètres!$A$1:$I$89,5,0)</f>
        <v>189.696</v>
      </c>
      <c r="P195" s="13">
        <f t="shared" si="141"/>
        <v>47.472736505152469</v>
      </c>
      <c r="Q195" s="20">
        <f t="shared" si="162"/>
        <v>413.06888274647389</v>
      </c>
      <c r="R195" s="59">
        <f t="shared" ref="R195:R203" si="191">Q195+(I195+J195)*44/12</f>
        <v>706.4022160798072</v>
      </c>
      <c r="S195" s="59">
        <f ca="1">AVERAGE(OFFSET($R$3,0,0,'Données projet'!$E$9+1,1))-AVERAGE(OFFSET($H$3,0,0,'Données projet'!$E$9+1,1))</f>
        <v>179.44051550872138</v>
      </c>
      <c r="T195" s="59">
        <f t="shared" si="142"/>
        <v>272.9500808380069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4.9720754108662755</v>
      </c>
      <c r="AA195" s="21">
        <f>EXP(-LN(2)/25)*AA194+(1-EXP(-LN(2)/25))/(LN(2)/25)*Calculateur!V195*Calculateur!X195*VLOOKUP('Données projet'!$B$9,Paramètres!$A$1:$I$89,3,0)*0.475*44/12</f>
        <v>0.54209700918886816</v>
      </c>
      <c r="AB195" s="21">
        <f>EXP(-LN(2)/2)*AB194+(1-EXP(-LN(2)/2))/(LN(2)/2)*V195*Y195*VLOOKUP('Données projet'!$B$9,Paramètres!$A$1:$I$89,3,0)*0.475*44/12</f>
        <v>9.1314659028475786E-26</v>
      </c>
      <c r="AC195" s="22">
        <f t="shared" si="163"/>
        <v>5.5141724200551439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2.4999999999997442</v>
      </c>
      <c r="AJ195" s="13">
        <f>AI195*VLOOKUP('Données projet'!$B$10,Paramètres!$A$1:$I$89,3,0)*VLOOKUP('Données projet'!$B$10,Paramètres!$A$1:$I$89,5,0)</f>
        <v>1.2024999999998769</v>
      </c>
      <c r="AK195" s="13">
        <f t="shared" si="164"/>
        <v>0.54239446125464896</v>
      </c>
      <c r="AL195" s="20">
        <f t="shared" si="165"/>
        <v>3.0390245200182986</v>
      </c>
      <c r="AM195" s="59">
        <f t="shared" si="113"/>
        <v>296.37235785335162</v>
      </c>
      <c r="AN195" s="59">
        <f ca="1">AVERAGE(OFFSET($AM$3,0,0,'Données projet'!$E$10+1,1))-AVERAGE(OFFSET($H$3,0,0,'Données projet'!$E$10+1,1))</f>
        <v>174.18188687702559</v>
      </c>
      <c r="AO195" s="59">
        <f t="shared" si="144"/>
        <v>32.17353897322738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51.614320105852549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51.614320105852549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0.8600000000003547</v>
      </c>
      <c r="BE195" s="13">
        <f>BD195*VLOOKUP('Données projet'!$B$11,Paramètres!$A$1:$I$89,3,0)*VLOOKUP('Données projet'!$B$11,Paramètres!$A$1:$I$89,5,0)</f>
        <v>0.48074000000019829</v>
      </c>
      <c r="BF195" s="13">
        <f t="shared" si="167"/>
        <v>0.24126147010950588</v>
      </c>
      <c r="BG195" s="20">
        <f t="shared" si="168"/>
        <v>1.2574858937744013</v>
      </c>
      <c r="BH195" s="59">
        <f t="shared" si="116"/>
        <v>294.59081922710772</v>
      </c>
      <c r="BI195" s="59">
        <f ca="1">AVERAGE(OFFSET($BH$3,0,0,'Données projet'!$E$11+1,1))-AVERAGE(OFFSET($H$3,0,0,'Données projet'!$E$11+1,1))</f>
        <v>350.01600895263641</v>
      </c>
      <c r="BJ195" s="59">
        <f t="shared" si="146"/>
        <v>464.08921044376882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24.659263408538539</v>
      </c>
      <c r="BQ195" s="21">
        <f>EXP(-LN(2)/25)*BQ194+(1-EXP(-LN(2)/25))/(LN(2)/25)*Calculateur!BL195*Calculateur!BN195*VLOOKUP('Données projet'!$B$11,Paramètres!$A$1:$I$89,3,0)*0.475*44/12</f>
        <v>0.56653859549870855</v>
      </c>
      <c r="BR195" s="21">
        <f>EXP(-LN(2)/2)*BR194+(1-EXP(-LN(2)/2))/(LN(2)/2)*BL195*BO195*VLOOKUP('Données projet'!$B$11,Paramètres!$A$1:$I$89,3,0)*0.475*44/12</f>
        <v>3.0602395823536863E-25</v>
      </c>
      <c r="BS195" s="22">
        <f t="shared" si="169"/>
        <v>25.225802004037249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253.79640000000001</v>
      </c>
      <c r="CA195" s="13">
        <f t="shared" si="170"/>
        <v>61.39816832228076</v>
      </c>
      <c r="CB195" s="20">
        <f t="shared" si="171"/>
        <v>548.96387316130563</v>
      </c>
      <c r="CC195" s="59">
        <f t="shared" si="119"/>
        <v>842.29720649463889</v>
      </c>
      <c r="CD195" s="59">
        <f ca="1">AVERAGE(OFFSET($CC$3,0,0,'Données projet'!$E$12+1,1))-AVERAGE(OFFSET($H$3,0,0,'Données projet'!$E$12+1,1))</f>
        <v>279.49721661620544</v>
      </c>
      <c r="CE195" s="59">
        <f t="shared" si="148"/>
        <v>275.18739333988754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5.7857049038946426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5.7857049038946426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18.829999999999643</v>
      </c>
      <c r="CU195" s="17">
        <f>CT195*VLOOKUP('Données projet'!$B$13,Paramètres!$A$1:$I$89,3,0)*VLOOKUP('Données projet'!$B$13,Paramètres!$A$1:$I$89,5,0)</f>
        <v>19.093619999999639</v>
      </c>
      <c r="CV195" s="13">
        <f t="shared" si="173"/>
        <v>6.2423044268988592</v>
      </c>
      <c r="CW195" s="20">
        <f t="shared" si="174"/>
        <v>44.126735043514884</v>
      </c>
      <c r="CX195" s="59">
        <f t="shared" si="122"/>
        <v>337.4600683768482</v>
      </c>
      <c r="CY195" s="59">
        <f ca="1">AVERAGE(OFFSET($CX$3,0,0,'Données projet'!$E$13+1,1))-AVERAGE(OFFSET($H$3,0,0,'Données projet'!$E$13+1,1))</f>
        <v>402.54350692668021</v>
      </c>
      <c r="CZ195" s="59">
        <f t="shared" si="150"/>
        <v>163.60655196884522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135.9478256952988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135.9478256952988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404.00000000000017</v>
      </c>
      <c r="DP195" s="17">
        <f>DO195*VLOOKUP('Données projet'!$B$14,Paramètres!$A$1:$I$89,3,0)*VLOOKUP('Données projet'!$B$14,Paramètres!$A$1:$I$89,5,0)</f>
        <v>346.63200000000018</v>
      </c>
      <c r="DQ195" s="13">
        <f t="shared" si="176"/>
        <v>80.868615263336864</v>
      </c>
      <c r="DR195" s="20">
        <f t="shared" si="177"/>
        <v>744.56357158364528</v>
      </c>
      <c r="DS195" s="59">
        <f t="shared" si="125"/>
        <v>1037.8969049169787</v>
      </c>
      <c r="DT195" s="59">
        <f ca="1">AVERAGE(OFFSET($DS$3,0,0,'Données projet'!$E$14+1,1))-AVERAGE(OFFSET($H$3,0,0,'Données projet'!$E$14+1,1))</f>
        <v>352.76625414822473</v>
      </c>
      <c r="DU195" s="59">
        <f t="shared" si="152"/>
        <v>186.48649111821521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24.018502280725624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24.018502280725624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210.25641030000014</v>
      </c>
      <c r="EK195" s="17">
        <f>EJ195*VLOOKUP('Données projet'!$B$15,Paramètres!$A$1:$I$89,3,0)*VLOOKUP('Données projet'!$B$15,Paramètres!$A$1:$I$89,5,0)</f>
        <v>164.00000003400012</v>
      </c>
      <c r="EL195" s="13">
        <f t="shared" si="179"/>
        <v>41.743425916009095</v>
      </c>
      <c r="EM195" s="20">
        <f t="shared" si="180"/>
        <v>358.3364668629327</v>
      </c>
      <c r="EN195" s="59">
        <f t="shared" si="128"/>
        <v>651.66980019626601</v>
      </c>
      <c r="EO195" s="59">
        <f ca="1">AVERAGE(OFFSET($EN$3,0,0,'Données projet'!$E$15+1,1))-AVERAGE(OFFSET($H$3,0,0,'Données projet'!$E$15+1,1))</f>
        <v>130.66539383144681</v>
      </c>
      <c r="EP195" s="59">
        <f t="shared" si="154"/>
        <v>126.36398121441903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2.8263754576377944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2.8263754576377944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18.829999999999643</v>
      </c>
      <c r="FF195" s="17">
        <f>FE195*VLOOKUP('Données projet'!$B$16,Paramètres!$A$1:$I$89,3,0)*VLOOKUP('Données projet'!$B$16,Paramètres!$A$1:$I$89,5,0)</f>
        <v>18.212375999999654</v>
      </c>
      <c r="FG195" s="13">
        <f t="shared" si="182"/>
        <v>5.9870377924133553</v>
      </c>
      <c r="FH195" s="20">
        <f t="shared" si="183"/>
        <v>42.147312355119332</v>
      </c>
      <c r="FI195" s="59">
        <f t="shared" si="131"/>
        <v>335.48064568845263</v>
      </c>
      <c r="FJ195" s="59">
        <f ca="1">AVERAGE(OFFSET($FI$3,0,0,'Données projet'!$E$16+1,1))-AVERAGE(OFFSET($H$3,0,0,'Données projet'!$E$16+1,1))</f>
        <v>380.43199889536805</v>
      </c>
      <c r="FK195" s="59">
        <f t="shared" si="156"/>
        <v>154.72646317672996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129.67331066320807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129.67331066320807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304</v>
      </c>
      <c r="O196" s="13">
        <f>N196*VLOOKUP('Données projet'!$B$9,Paramètres!$A$1:$I$89,3,0)*VLOOKUP('Données projet'!$B$9,Paramètres!$A$1:$I$89,5,0)</f>
        <v>189.696</v>
      </c>
      <c r="P196" s="13">
        <f t="shared" si="141"/>
        <v>47.472736505152469</v>
      </c>
      <c r="Q196" s="20">
        <f t="shared" si="162"/>
        <v>413.06888274647389</v>
      </c>
      <c r="R196" s="59">
        <f t="shared" si="191"/>
        <v>706.4022160798072</v>
      </c>
      <c r="S196" s="59">
        <f ca="1">AVERAGE(OFFSET($R$3,0,0,'Données projet'!$E$9+1,1))-AVERAGE(OFFSET($H$3,0,0,'Données projet'!$E$9+1,1))</f>
        <v>179.44051550872138</v>
      </c>
      <c r="T196" s="59">
        <f t="shared" si="142"/>
        <v>272.9500808380069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4.8745760447257371</v>
      </c>
      <c r="AA196" s="21">
        <f>EXP(-LN(2)/25)*AA195+(1-EXP(-LN(2)/25))/(LN(2)/25)*Calculateur!V196*Calculateur!X196*VLOOKUP('Données projet'!$B$9,Paramètres!$A$1:$I$89,3,0)*0.475*44/12</f>
        <v>0.52727333796495579</v>
      </c>
      <c r="AB196" s="21">
        <f>EXP(-LN(2)/2)*AB195+(1-EXP(-LN(2)/2))/(LN(2)/2)*V196*Y196*VLOOKUP('Données projet'!$B$9,Paramètres!$A$1:$I$89,3,0)*0.475*44/12</f>
        <v>6.4569214620772623E-26</v>
      </c>
      <c r="AC196" s="22">
        <f t="shared" si="163"/>
        <v>5.4018493826906928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2.4999999999997442</v>
      </c>
      <c r="AJ196" s="13">
        <f>AI196*VLOOKUP('Données projet'!$B$10,Paramètres!$A$1:$I$89,3,0)*VLOOKUP('Données projet'!$B$10,Paramètres!$A$1:$I$89,5,0)</f>
        <v>1.2024999999998769</v>
      </c>
      <c r="AK196" s="13">
        <f t="shared" si="164"/>
        <v>0.54239446125464896</v>
      </c>
      <c r="AL196" s="20">
        <f t="shared" si="165"/>
        <v>3.0390245200182986</v>
      </c>
      <c r="AM196" s="59">
        <f t="shared" ref="AM196:AM203" si="193">AL196+(AD196+AE196)*44/12</f>
        <v>296.37235785335162</v>
      </c>
      <c r="AN196" s="59">
        <f ca="1">AVERAGE(OFFSET($AM$3,0,0,'Données projet'!$E$10+1,1))-AVERAGE(OFFSET($H$3,0,0,'Données projet'!$E$10+1,1))</f>
        <v>174.18188687702559</v>
      </c>
      <c r="AO196" s="59">
        <f t="shared" si="144"/>
        <v>32.17353897322738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50.602194770203489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50.602194770203489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0.8600000000003547</v>
      </c>
      <c r="BE196" s="13">
        <f>BD196*VLOOKUP('Données projet'!$B$11,Paramètres!$A$1:$I$89,3,0)*VLOOKUP('Données projet'!$B$11,Paramètres!$A$1:$I$89,5,0)</f>
        <v>0.48074000000019829</v>
      </c>
      <c r="BF196" s="13">
        <f t="shared" si="167"/>
        <v>0.24126147010950588</v>
      </c>
      <c r="BG196" s="20">
        <f t="shared" si="168"/>
        <v>1.2574858937744013</v>
      </c>
      <c r="BH196" s="59">
        <f t="shared" ref="BH196:BH203" si="194">BG196+(AY196+AZ196)*44/12</f>
        <v>294.59081922710772</v>
      </c>
      <c r="BI196" s="59">
        <f ca="1">AVERAGE(OFFSET($BH$3,0,0,'Données projet'!$E$11+1,1))-AVERAGE(OFFSET($H$3,0,0,'Données projet'!$E$11+1,1))</f>
        <v>350.01600895263641</v>
      </c>
      <c r="BJ196" s="59">
        <f t="shared" si="146"/>
        <v>464.08921044376882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24.175710293762634</v>
      </c>
      <c r="BQ196" s="21">
        <f>EXP(-LN(2)/25)*BQ195+(1-EXP(-LN(2)/25))/(LN(2)/25)*Calculateur!BL196*Calculateur!BN196*VLOOKUP('Données projet'!$B$11,Paramètres!$A$1:$I$89,3,0)*0.475*44/12</f>
        <v>0.55104656781182648</v>
      </c>
      <c r="BR196" s="21">
        <f>EXP(-LN(2)/2)*BR195+(1-EXP(-LN(2)/2))/(LN(2)/2)*BL196*BO196*VLOOKUP('Données projet'!$B$11,Paramètres!$A$1:$I$89,3,0)*0.475*44/12</f>
        <v>2.1639161607377796E-25</v>
      </c>
      <c r="BS196" s="22">
        <f t="shared" si="169"/>
        <v>24.726756861574462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253.79640000000001</v>
      </c>
      <c r="CA196" s="13">
        <f t="shared" si="170"/>
        <v>61.39816832228076</v>
      </c>
      <c r="CB196" s="20">
        <f t="shared" si="171"/>
        <v>548.96387316130563</v>
      </c>
      <c r="CC196" s="59">
        <f t="shared" ref="CC196:CC203" si="195">CB196+(BT196+BU196)*44/12</f>
        <v>842.29720649463889</v>
      </c>
      <c r="CD196" s="59">
        <f ca="1">AVERAGE(OFFSET($CC$3,0,0,'Données projet'!$E$12+1,1))-AVERAGE(OFFSET($H$3,0,0,'Données projet'!$E$12+1,1))</f>
        <v>279.49721661620544</v>
      </c>
      <c r="CE196" s="59">
        <f t="shared" si="148"/>
        <v>275.18739333988754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5.6722507596608072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5.6722507596608072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18.829999999999643</v>
      </c>
      <c r="CU196" s="17">
        <f>CT196*VLOOKUP('Données projet'!$B$13,Paramètres!$A$1:$I$89,3,0)*VLOOKUP('Données projet'!$B$13,Paramètres!$A$1:$I$89,5,0)</f>
        <v>19.093619999999639</v>
      </c>
      <c r="CV196" s="13">
        <f t="shared" si="173"/>
        <v>6.2423044268988592</v>
      </c>
      <c r="CW196" s="20">
        <f t="shared" si="174"/>
        <v>44.126735043514884</v>
      </c>
      <c r="CX196" s="59">
        <f t="shared" ref="CX196:CX203" si="196">CW196+(CO196+CP196)*44/12</f>
        <v>337.4600683768482</v>
      </c>
      <c r="CY196" s="59">
        <f ca="1">AVERAGE(OFFSET($CX$3,0,0,'Données projet'!$E$13+1,1))-AVERAGE(OFFSET($H$3,0,0,'Données projet'!$E$13+1,1))</f>
        <v>402.54350692668021</v>
      </c>
      <c r="CZ196" s="59">
        <f t="shared" si="150"/>
        <v>163.60655196884522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133.2819717534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133.2819717534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404.00000000000017</v>
      </c>
      <c r="DP196" s="17">
        <f>DO196*VLOOKUP('Données projet'!$B$14,Paramètres!$A$1:$I$89,3,0)*VLOOKUP('Données projet'!$B$14,Paramètres!$A$1:$I$89,5,0)</f>
        <v>346.63200000000018</v>
      </c>
      <c r="DQ196" s="13">
        <f t="shared" si="176"/>
        <v>80.868615263336864</v>
      </c>
      <c r="DR196" s="20">
        <f t="shared" si="177"/>
        <v>744.56357158364528</v>
      </c>
      <c r="DS196" s="59">
        <f t="shared" ref="DS196:DS203" si="197">DR196+(DJ196+DK196)*44/12</f>
        <v>1037.8969049169787</v>
      </c>
      <c r="DT196" s="59">
        <f ca="1">AVERAGE(OFFSET($DS$3,0,0,'Données projet'!$E$14+1,1))-AVERAGE(OFFSET($H$3,0,0,'Données projet'!$E$14+1,1))</f>
        <v>352.76625414822473</v>
      </c>
      <c r="DU196" s="59">
        <f t="shared" si="152"/>
        <v>186.48649111821521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23.547514100840434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23.547514100840434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210.25641030000014</v>
      </c>
      <c r="EK196" s="17">
        <f>EJ196*VLOOKUP('Données projet'!$B$15,Paramètres!$A$1:$I$89,3,0)*VLOOKUP('Données projet'!$B$15,Paramètres!$A$1:$I$89,5,0)</f>
        <v>164.00000003400012</v>
      </c>
      <c r="EL196" s="13">
        <f t="shared" si="179"/>
        <v>41.743425916009095</v>
      </c>
      <c r="EM196" s="20">
        <f t="shared" si="180"/>
        <v>358.3364668629327</v>
      </c>
      <c r="EN196" s="59">
        <f t="shared" ref="EN196:EN203" si="198">EM196+(EE196+EF196)*44/12</f>
        <v>651.66980019626601</v>
      </c>
      <c r="EO196" s="59">
        <f ca="1">AVERAGE(OFFSET($EN$3,0,0,'Données projet'!$E$15+1,1))-AVERAGE(OFFSET($H$3,0,0,'Données projet'!$E$15+1,1))</f>
        <v>130.66539383144681</v>
      </c>
      <c r="EP196" s="59">
        <f t="shared" si="154"/>
        <v>126.36398121441903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2.7709519588323235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2.7709519588323235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18.829999999999643</v>
      </c>
      <c r="FF196" s="17">
        <f>FE196*VLOOKUP('Données projet'!$B$16,Paramètres!$A$1:$I$89,3,0)*VLOOKUP('Données projet'!$B$16,Paramètres!$A$1:$I$89,5,0)</f>
        <v>18.212375999999654</v>
      </c>
      <c r="FG196" s="13">
        <f t="shared" si="182"/>
        <v>5.9870377924133553</v>
      </c>
      <c r="FH196" s="20">
        <f t="shared" si="183"/>
        <v>42.147312355119332</v>
      </c>
      <c r="FI196" s="59">
        <f t="shared" ref="FI196:FI203" si="199">FH196+(EZ196+FA196)*44/12</f>
        <v>335.48064568845263</v>
      </c>
      <c r="FJ196" s="59">
        <f ca="1">AVERAGE(OFFSET($FI$3,0,0,'Données projet'!$E$16+1,1))-AVERAGE(OFFSET($H$3,0,0,'Données projet'!$E$16+1,1))</f>
        <v>380.43199889536805</v>
      </c>
      <c r="FK196" s="59">
        <f t="shared" si="156"/>
        <v>154.72646317672996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127.13049613401229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127.13049613401229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304</v>
      </c>
      <c r="O197" s="13">
        <f>N197*VLOOKUP('Données projet'!$B$9,Paramètres!$A$1:$I$89,3,0)*VLOOKUP('Données projet'!$B$9,Paramètres!$A$1:$I$89,5,0)</f>
        <v>189.696</v>
      </c>
      <c r="P197" s="13">
        <f t="shared" ref="P197:P203" si="203">EXP(-1.0587+0.8836*LN(O197)+0.284)</f>
        <v>47.472736505152469</v>
      </c>
      <c r="Q197" s="20">
        <f t="shared" si="162"/>
        <v>413.06888274647389</v>
      </c>
      <c r="R197" s="59">
        <f t="shared" si="191"/>
        <v>706.4022160798072</v>
      </c>
      <c r="S197" s="59">
        <f ca="1">AVERAGE(OFFSET($R$3,0,0,'Données projet'!$E$9+1,1))-AVERAGE(OFFSET($H$3,0,0,'Données projet'!$E$9+1,1))</f>
        <v>179.44051550872138</v>
      </c>
      <c r="T197" s="59">
        <f t="shared" ref="T197:T203" si="204">$T$3</f>
        <v>272.9500808380069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4.7789885816864741</v>
      </c>
      <c r="AA197" s="21">
        <f>EXP(-LN(2)/25)*AA196+(1-EXP(-LN(2)/25))/(LN(2)/25)*Calculateur!V197*Calculateur!X197*VLOOKUP('Données projet'!$B$9,Paramètres!$A$1:$I$89,3,0)*0.475*44/12</f>
        <v>0.51285502081020429</v>
      </c>
      <c r="AB197" s="21">
        <f>EXP(-LN(2)/2)*AB196+(1-EXP(-LN(2)/2))/(LN(2)/2)*V197*Y197*VLOOKUP('Données projet'!$B$9,Paramètres!$A$1:$I$89,3,0)*0.475*44/12</f>
        <v>4.5657329514237893E-26</v>
      </c>
      <c r="AC197" s="22">
        <f t="shared" si="163"/>
        <v>5.2918436024966784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2.4999999999997442</v>
      </c>
      <c r="AJ197" s="13">
        <f>AI197*VLOOKUP('Données projet'!$B$10,Paramètres!$A$1:$I$89,3,0)*VLOOKUP('Données projet'!$B$10,Paramètres!$A$1:$I$89,5,0)</f>
        <v>1.2024999999998769</v>
      </c>
      <c r="AK197" s="13">
        <f t="shared" si="164"/>
        <v>0.54239446125464896</v>
      </c>
      <c r="AL197" s="20">
        <f t="shared" si="165"/>
        <v>3.0390245200182986</v>
      </c>
      <c r="AM197" s="59">
        <f t="shared" si="193"/>
        <v>296.37235785335162</v>
      </c>
      <c r="AN197" s="59">
        <f ca="1">AVERAGE(OFFSET($AM$3,0,0,'Données projet'!$E$10+1,1))-AVERAGE(OFFSET($H$3,0,0,'Données projet'!$E$10+1,1))</f>
        <v>174.18188687702559</v>
      </c>
      <c r="AO197" s="59">
        <f t="shared" ref="AO197:AO203" si="205">$AO$3</f>
        <v>32.17353897322738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49.609916595051011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49.609916595051011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0.8600000000003547</v>
      </c>
      <c r="BE197" s="13">
        <f>BD197*VLOOKUP('Données projet'!$B$11,Paramètres!$A$1:$I$89,3,0)*VLOOKUP('Données projet'!$B$11,Paramètres!$A$1:$I$89,5,0)</f>
        <v>0.48074000000019829</v>
      </c>
      <c r="BF197" s="13">
        <f t="shared" si="167"/>
        <v>0.24126147010950588</v>
      </c>
      <c r="BG197" s="20">
        <f t="shared" si="168"/>
        <v>1.2574858937744013</v>
      </c>
      <c r="BH197" s="59">
        <f t="shared" si="194"/>
        <v>294.59081922710772</v>
      </c>
      <c r="BI197" s="59">
        <f ca="1">AVERAGE(OFFSET($BH$3,0,0,'Données projet'!$E$11+1,1))-AVERAGE(OFFSET($H$3,0,0,'Données projet'!$E$11+1,1))</f>
        <v>350.01600895263641</v>
      </c>
      <c r="BJ197" s="59">
        <f t="shared" ref="BJ197:BJ203" si="206">$BJ$3</f>
        <v>464.08921044376882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23.701639360629208</v>
      </c>
      <c r="BQ197" s="21">
        <f>EXP(-LN(2)/25)*BQ196+(1-EXP(-LN(2)/25))/(LN(2)/25)*Calculateur!BL197*Calculateur!BN197*VLOOKUP('Données projet'!$B$11,Paramètres!$A$1:$I$89,3,0)*0.475*44/12</f>
        <v>0.53597817043673257</v>
      </c>
      <c r="BR197" s="21">
        <f>EXP(-LN(2)/2)*BR196+(1-EXP(-LN(2)/2))/(LN(2)/2)*BL197*BO197*VLOOKUP('Données projet'!$B$11,Paramètres!$A$1:$I$89,3,0)*0.475*44/12</f>
        <v>1.5301197911768432E-25</v>
      </c>
      <c r="BS197" s="22">
        <f t="shared" si="169"/>
        <v>24.23761753106594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253.79640000000001</v>
      </c>
      <c r="CA197" s="13">
        <f t="shared" si="170"/>
        <v>61.39816832228076</v>
      </c>
      <c r="CB197" s="20">
        <f t="shared" si="171"/>
        <v>548.96387316130563</v>
      </c>
      <c r="CC197" s="59">
        <f t="shared" si="195"/>
        <v>842.29720649463889</v>
      </c>
      <c r="CD197" s="59">
        <f ca="1">AVERAGE(OFFSET($CC$3,0,0,'Données projet'!$E$12+1,1))-AVERAGE(OFFSET($H$3,0,0,'Données projet'!$E$12+1,1))</f>
        <v>279.49721661620544</v>
      </c>
      <c r="CE197" s="59">
        <f t="shared" ref="CE197:CE203" si="207">$CE$3</f>
        <v>275.18739333988754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5.5610213819952019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5.5610213819952019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18.829999999999643</v>
      </c>
      <c r="CU197" s="17">
        <f>CT197*VLOOKUP('Données projet'!$B$13,Paramètres!$A$1:$I$89,3,0)*VLOOKUP('Données projet'!$B$13,Paramètres!$A$1:$I$89,5,0)</f>
        <v>19.093619999999639</v>
      </c>
      <c r="CV197" s="13">
        <f t="shared" si="173"/>
        <v>6.2423044268988592</v>
      </c>
      <c r="CW197" s="20">
        <f t="shared" si="174"/>
        <v>44.126735043514884</v>
      </c>
      <c r="CX197" s="59">
        <f t="shared" si="196"/>
        <v>337.4600683768482</v>
      </c>
      <c r="CY197" s="59">
        <f ca="1">AVERAGE(OFFSET($CX$3,0,0,'Données projet'!$E$13+1,1))-AVERAGE(OFFSET($H$3,0,0,'Données projet'!$E$13+1,1))</f>
        <v>402.54350692668021</v>
      </c>
      <c r="CZ197" s="59">
        <f t="shared" ref="CZ197:CZ203" si="208">$CZ$3</f>
        <v>163.60655196884522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130.6683935812915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130.6683935812915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404.00000000000017</v>
      </c>
      <c r="DP197" s="17">
        <f>DO197*VLOOKUP('Données projet'!$B$14,Paramètres!$A$1:$I$89,3,0)*VLOOKUP('Données projet'!$B$14,Paramètres!$A$1:$I$89,5,0)</f>
        <v>346.63200000000018</v>
      </c>
      <c r="DQ197" s="13">
        <f t="shared" si="176"/>
        <v>80.868615263336864</v>
      </c>
      <c r="DR197" s="20">
        <f t="shared" si="177"/>
        <v>744.56357158364528</v>
      </c>
      <c r="DS197" s="59">
        <f t="shared" si="197"/>
        <v>1037.8969049169787</v>
      </c>
      <c r="DT197" s="59">
        <f ca="1">AVERAGE(OFFSET($DS$3,0,0,'Données projet'!$E$14+1,1))-AVERAGE(OFFSET($H$3,0,0,'Données projet'!$E$14+1,1))</f>
        <v>352.76625414822473</v>
      </c>
      <c r="DU197" s="59">
        <f t="shared" ref="DU197:DU203" si="209">$DU$3</f>
        <v>186.48649111821521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23.08576171188837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23.08576171188837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210.25641030000014</v>
      </c>
      <c r="EK197" s="17">
        <f>EJ197*VLOOKUP('Données projet'!$B$15,Paramètres!$A$1:$I$89,3,0)*VLOOKUP('Données projet'!$B$15,Paramètres!$A$1:$I$89,5,0)</f>
        <v>164.00000003400012</v>
      </c>
      <c r="EL197" s="13">
        <f t="shared" si="179"/>
        <v>41.743425916009095</v>
      </c>
      <c r="EM197" s="20">
        <f t="shared" si="180"/>
        <v>358.3364668629327</v>
      </c>
      <c r="EN197" s="59">
        <f t="shared" si="198"/>
        <v>651.66980019626601</v>
      </c>
      <c r="EO197" s="59">
        <f ca="1">AVERAGE(OFFSET($EN$3,0,0,'Données projet'!$E$15+1,1))-AVERAGE(OFFSET($H$3,0,0,'Données projet'!$E$15+1,1))</f>
        <v>130.66539383144681</v>
      </c>
      <c r="EP197" s="59">
        <f t="shared" ref="EP197:EP203" si="210">$EP$3</f>
        <v>126.36398121441903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2.7166152810334316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2.7166152810334316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18.829999999999643</v>
      </c>
      <c r="FF197" s="17">
        <f>FE197*VLOOKUP('Données projet'!$B$16,Paramètres!$A$1:$I$89,3,0)*VLOOKUP('Données projet'!$B$16,Paramètres!$A$1:$I$89,5,0)</f>
        <v>18.212375999999654</v>
      </c>
      <c r="FG197" s="13">
        <f t="shared" si="182"/>
        <v>5.9870377924133553</v>
      </c>
      <c r="FH197" s="20">
        <f t="shared" si="183"/>
        <v>42.147312355119332</v>
      </c>
      <c r="FI197" s="59">
        <f t="shared" si="199"/>
        <v>335.48064568845263</v>
      </c>
      <c r="FJ197" s="59">
        <f ca="1">AVERAGE(OFFSET($FI$3,0,0,'Données projet'!$E$16+1,1))-AVERAGE(OFFSET($H$3,0,0,'Données projet'!$E$16+1,1))</f>
        <v>380.43199889536805</v>
      </c>
      <c r="FK197" s="59">
        <f t="shared" ref="FK197:FK203" si="211">$FK$3</f>
        <v>154.72646317672996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124.63754464677032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124.63754464677032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304</v>
      </c>
      <c r="O198" s="13">
        <f>N198*VLOOKUP('Données projet'!$B$9,Paramètres!$A$1:$I$89,3,0)*VLOOKUP('Données projet'!$B$9,Paramètres!$A$1:$I$89,5,0)</f>
        <v>189.696</v>
      </c>
      <c r="P198" s="13">
        <f t="shared" si="203"/>
        <v>47.472736505152469</v>
      </c>
      <c r="Q198" s="20">
        <f t="shared" si="162"/>
        <v>413.06888274647389</v>
      </c>
      <c r="R198" s="59">
        <f t="shared" si="191"/>
        <v>706.4022160798072</v>
      </c>
      <c r="S198" s="59">
        <f ca="1">AVERAGE(OFFSET($R$3,0,0,'Données projet'!$E$9+1,1))-AVERAGE(OFFSET($H$3,0,0,'Données projet'!$E$9+1,1))</f>
        <v>179.44051550872138</v>
      </c>
      <c r="T198" s="59">
        <f t="shared" si="204"/>
        <v>272.9500808380069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4.685275530494815</v>
      </c>
      <c r="AA198" s="21">
        <f>EXP(-LN(2)/25)*AA197+(1-EXP(-LN(2)/25))/(LN(2)/25)*Calculateur!V198*Calculateur!X198*VLOOKUP('Données projet'!$B$9,Paramètres!$A$1:$I$89,3,0)*0.475*44/12</f>
        <v>0.49883097329627585</v>
      </c>
      <c r="AB198" s="21">
        <f>EXP(-LN(2)/2)*AB197+(1-EXP(-LN(2)/2))/(LN(2)/2)*V198*Y198*VLOOKUP('Données projet'!$B$9,Paramètres!$A$1:$I$89,3,0)*0.475*44/12</f>
        <v>3.2284607310386312E-26</v>
      </c>
      <c r="AC198" s="22">
        <f t="shared" si="163"/>
        <v>5.1841065037910905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2.4999999999997442</v>
      </c>
      <c r="AJ198" s="13">
        <f>AI198*VLOOKUP('Données projet'!$B$10,Paramètres!$A$1:$I$89,3,0)*VLOOKUP('Données projet'!$B$10,Paramètres!$A$1:$I$89,5,0)</f>
        <v>1.2024999999998769</v>
      </c>
      <c r="AK198" s="13">
        <f t="shared" si="164"/>
        <v>0.54239446125464896</v>
      </c>
      <c r="AL198" s="20">
        <f t="shared" si="165"/>
        <v>3.0390245200182986</v>
      </c>
      <c r="AM198" s="59">
        <f t="shared" si="193"/>
        <v>296.37235785335162</v>
      </c>
      <c r="AN198" s="59">
        <f ca="1">AVERAGE(OFFSET($AM$3,0,0,'Données projet'!$E$10+1,1))-AVERAGE(OFFSET($H$3,0,0,'Données projet'!$E$10+1,1))</f>
        <v>174.18188687702559</v>
      </c>
      <c r="AO198" s="59">
        <f t="shared" si="205"/>
        <v>32.17353897322738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48.63709638968335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48.63709638968335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0.8600000000003547</v>
      </c>
      <c r="BE198" s="13">
        <f>BD198*VLOOKUP('Données projet'!$B$11,Paramètres!$A$1:$I$89,3,0)*VLOOKUP('Données projet'!$B$11,Paramètres!$A$1:$I$89,5,0)</f>
        <v>0.48074000000019829</v>
      </c>
      <c r="BF198" s="13">
        <f t="shared" si="167"/>
        <v>0.24126147010950588</v>
      </c>
      <c r="BG198" s="20">
        <f t="shared" si="168"/>
        <v>1.2574858937744013</v>
      </c>
      <c r="BH198" s="59">
        <f t="shared" si="194"/>
        <v>294.59081922710772</v>
      </c>
      <c r="BI198" s="59">
        <f ca="1">AVERAGE(OFFSET($BH$3,0,0,'Données projet'!$E$11+1,1))-AVERAGE(OFFSET($H$3,0,0,'Données projet'!$E$11+1,1))</f>
        <v>350.01600895263641</v>
      </c>
      <c r="BJ198" s="59">
        <f t="shared" si="206"/>
        <v>464.08921044376882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23.236864669339813</v>
      </c>
      <c r="BQ198" s="21">
        <f>EXP(-LN(2)/25)*BQ197+(1-EXP(-LN(2)/25))/(LN(2)/25)*Calculateur!BL198*Calculateur!BN198*VLOOKUP('Données projet'!$B$11,Paramètres!$A$1:$I$89,3,0)*0.475*44/12</f>
        <v>0.52132181918027309</v>
      </c>
      <c r="BR198" s="21">
        <f>EXP(-LN(2)/2)*BR197+(1-EXP(-LN(2)/2))/(LN(2)/2)*BL198*BO198*VLOOKUP('Données projet'!$B$11,Paramètres!$A$1:$I$89,3,0)*0.475*44/12</f>
        <v>1.0819580803688898E-25</v>
      </c>
      <c r="BS198" s="22">
        <f t="shared" si="169"/>
        <v>23.758186488520085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253.79640000000001</v>
      </c>
      <c r="CA198" s="13">
        <f t="shared" si="170"/>
        <v>61.39816832228076</v>
      </c>
      <c r="CB198" s="20">
        <f t="shared" si="171"/>
        <v>548.96387316130563</v>
      </c>
      <c r="CC198" s="59">
        <f t="shared" si="195"/>
        <v>842.29720649463889</v>
      </c>
      <c r="CD198" s="59">
        <f ca="1">AVERAGE(OFFSET($CC$3,0,0,'Données projet'!$E$12+1,1))-AVERAGE(OFFSET($H$3,0,0,'Données projet'!$E$12+1,1))</f>
        <v>279.49721661620544</v>
      </c>
      <c r="CE198" s="59">
        <f t="shared" si="207"/>
        <v>275.18739333988754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5.4519731445823982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5.4519731445823982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18.829999999999643</v>
      </c>
      <c r="CU198" s="17">
        <f>CT198*VLOOKUP('Données projet'!$B$13,Paramètres!$A$1:$I$89,3,0)*VLOOKUP('Données projet'!$B$13,Paramètres!$A$1:$I$89,5,0)</f>
        <v>19.093619999999639</v>
      </c>
      <c r="CV198" s="13">
        <f t="shared" si="173"/>
        <v>6.2423044268988592</v>
      </c>
      <c r="CW198" s="20">
        <f t="shared" si="174"/>
        <v>44.126735043514884</v>
      </c>
      <c r="CX198" s="59">
        <f t="shared" si="196"/>
        <v>337.4600683768482</v>
      </c>
      <c r="CY198" s="59">
        <f ca="1">AVERAGE(OFFSET($CX$3,0,0,'Données projet'!$E$13+1,1))-AVERAGE(OFFSET($H$3,0,0,'Données projet'!$E$13+1,1))</f>
        <v>402.54350692668021</v>
      </c>
      <c r="CZ198" s="59">
        <f t="shared" si="208"/>
        <v>163.60655196884522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128.10606608301273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128.10606608301273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404.00000000000017</v>
      </c>
      <c r="DP198" s="17">
        <f>DO198*VLOOKUP('Données projet'!$B$14,Paramètres!$A$1:$I$89,3,0)*VLOOKUP('Données projet'!$B$14,Paramètres!$A$1:$I$89,5,0)</f>
        <v>346.63200000000018</v>
      </c>
      <c r="DQ198" s="13">
        <f t="shared" si="176"/>
        <v>80.868615263336864</v>
      </c>
      <c r="DR198" s="20">
        <f t="shared" si="177"/>
        <v>744.56357158364528</v>
      </c>
      <c r="DS198" s="59">
        <f t="shared" si="197"/>
        <v>1037.8969049169787</v>
      </c>
      <c r="DT198" s="59">
        <f ca="1">AVERAGE(OFFSET($DS$3,0,0,'Données projet'!$E$14+1,1))-AVERAGE(OFFSET($H$3,0,0,'Données projet'!$E$14+1,1))</f>
        <v>352.76625414822473</v>
      </c>
      <c r="DU198" s="59">
        <f t="shared" si="209"/>
        <v>186.48649111821521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22.633064005642506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22.633064005642506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210.25641030000014</v>
      </c>
      <c r="EK198" s="17">
        <f>EJ198*VLOOKUP('Données projet'!$B$15,Paramètres!$A$1:$I$89,3,0)*VLOOKUP('Données projet'!$B$15,Paramètres!$A$1:$I$89,5,0)</f>
        <v>164.00000003400012</v>
      </c>
      <c r="EL198" s="13">
        <f t="shared" si="179"/>
        <v>41.743425916009095</v>
      </c>
      <c r="EM198" s="20">
        <f t="shared" si="180"/>
        <v>358.3364668629327</v>
      </c>
      <c r="EN198" s="59">
        <f t="shared" si="198"/>
        <v>651.66980019626601</v>
      </c>
      <c r="EO198" s="59">
        <f ca="1">AVERAGE(OFFSET($EN$3,0,0,'Données projet'!$E$15+1,1))-AVERAGE(OFFSET($H$3,0,0,'Données projet'!$E$15+1,1))</f>
        <v>130.66539383144681</v>
      </c>
      <c r="EP198" s="59">
        <f t="shared" si="210"/>
        <v>126.36398121441903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2.6633441123440753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2.6633441123440753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18.829999999999643</v>
      </c>
      <c r="FF198" s="17">
        <f>FE198*VLOOKUP('Données projet'!$B$16,Paramètres!$A$1:$I$89,3,0)*VLOOKUP('Données projet'!$B$16,Paramètres!$A$1:$I$89,5,0)</f>
        <v>18.212375999999654</v>
      </c>
      <c r="FG198" s="13">
        <f t="shared" si="182"/>
        <v>5.9870377924133553</v>
      </c>
      <c r="FH198" s="20">
        <f t="shared" si="183"/>
        <v>42.147312355119332</v>
      </c>
      <c r="FI198" s="59">
        <f t="shared" si="199"/>
        <v>335.48064568845263</v>
      </c>
      <c r="FJ198" s="59">
        <f ca="1">AVERAGE(OFFSET($FI$3,0,0,'Données projet'!$E$16+1,1))-AVERAGE(OFFSET($H$3,0,0,'Données projet'!$E$16+1,1))</f>
        <v>380.43199889536805</v>
      </c>
      <c r="FK198" s="59">
        <f t="shared" si="211"/>
        <v>154.72646317672996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122.19347841764291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122.19347841764291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304</v>
      </c>
      <c r="O199" s="13">
        <f>N199*VLOOKUP('Données projet'!$B$9,Paramètres!$A$1:$I$89,3,0)*VLOOKUP('Données projet'!$B$9,Paramètres!$A$1:$I$89,5,0)</f>
        <v>189.696</v>
      </c>
      <c r="P199" s="13">
        <f t="shared" si="203"/>
        <v>47.472736505152469</v>
      </c>
      <c r="Q199" s="20">
        <f t="shared" si="162"/>
        <v>413.06888274647389</v>
      </c>
      <c r="R199" s="59">
        <f t="shared" si="191"/>
        <v>706.4022160798072</v>
      </c>
      <c r="S199" s="59">
        <f ca="1">AVERAGE(OFFSET($R$3,0,0,'Données projet'!$E$9+1,1))-AVERAGE(OFFSET($H$3,0,0,'Données projet'!$E$9+1,1))</f>
        <v>179.44051550872138</v>
      </c>
      <c r="T199" s="59">
        <f t="shared" si="204"/>
        <v>272.9500808380069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4.5934001350777072</v>
      </c>
      <c r="AA199" s="21">
        <f>EXP(-LN(2)/25)*AA198+(1-EXP(-LN(2)/25))/(LN(2)/25)*Calculateur!V199*Calculateur!X199*VLOOKUP('Données projet'!$B$9,Paramètres!$A$1:$I$89,3,0)*0.475*44/12</f>
        <v>0.4851904140991084</v>
      </c>
      <c r="AB199" s="21">
        <f>EXP(-LN(2)/2)*AB198+(1-EXP(-LN(2)/2))/(LN(2)/2)*V199*Y199*VLOOKUP('Données projet'!$B$9,Paramètres!$A$1:$I$89,3,0)*0.475*44/12</f>
        <v>2.2828664757118946E-26</v>
      </c>
      <c r="AC199" s="22">
        <f t="shared" si="163"/>
        <v>5.0785905491768153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2.4999999999997442</v>
      </c>
      <c r="AJ199" s="13">
        <f>AI199*VLOOKUP('Données projet'!$B$10,Paramètres!$A$1:$I$89,3,0)*VLOOKUP('Données projet'!$B$10,Paramètres!$A$1:$I$89,5,0)</f>
        <v>1.2024999999998769</v>
      </c>
      <c r="AK199" s="13">
        <f t="shared" si="164"/>
        <v>0.54239446125464896</v>
      </c>
      <c r="AL199" s="20">
        <f t="shared" si="165"/>
        <v>3.0390245200182986</v>
      </c>
      <c r="AM199" s="59">
        <f t="shared" si="193"/>
        <v>296.37235785335162</v>
      </c>
      <c r="AN199" s="59">
        <f ca="1">AVERAGE(OFFSET($AM$3,0,0,'Données projet'!$E$10+1,1))-AVERAGE(OFFSET($H$3,0,0,'Données projet'!$E$10+1,1))</f>
        <v>174.18188687702559</v>
      </c>
      <c r="AO199" s="59">
        <f t="shared" si="205"/>
        <v>32.17353897322738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47.683352595181212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47.683352595181212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0.8600000000003547</v>
      </c>
      <c r="BE199" s="13">
        <f>BD199*VLOOKUP('Données projet'!$B$11,Paramètres!$A$1:$I$89,3,0)*VLOOKUP('Données projet'!$B$11,Paramètres!$A$1:$I$89,5,0)</f>
        <v>0.48074000000019829</v>
      </c>
      <c r="BF199" s="13">
        <f t="shared" si="167"/>
        <v>0.24126147010950588</v>
      </c>
      <c r="BG199" s="20">
        <f t="shared" si="168"/>
        <v>1.2574858937744013</v>
      </c>
      <c r="BH199" s="59">
        <f t="shared" si="194"/>
        <v>294.59081922710772</v>
      </c>
      <c r="BI199" s="59">
        <f ca="1">AVERAGE(OFFSET($BH$3,0,0,'Données projet'!$E$11+1,1))-AVERAGE(OFFSET($H$3,0,0,'Données projet'!$E$11+1,1))</f>
        <v>350.01600895263641</v>
      </c>
      <c r="BJ199" s="59">
        <f t="shared" si="206"/>
        <v>464.08921044376882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22.78120392626203</v>
      </c>
      <c r="BQ199" s="21">
        <f>EXP(-LN(2)/25)*BQ198+(1-EXP(-LN(2)/25))/(LN(2)/25)*Calculateur!BL199*Calculateur!BN199*VLOOKUP('Données projet'!$B$11,Paramètres!$A$1:$I$89,3,0)*0.475*44/12</f>
        <v>0.50706624661966559</v>
      </c>
      <c r="BR199" s="21">
        <f>EXP(-LN(2)/2)*BR198+(1-EXP(-LN(2)/2))/(LN(2)/2)*BL199*BO199*VLOOKUP('Données projet'!$B$11,Paramètres!$A$1:$I$89,3,0)*0.475*44/12</f>
        <v>7.6505989558842158E-26</v>
      </c>
      <c r="BS199" s="22">
        <f t="shared" si="169"/>
        <v>23.288270172881695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253.79640000000001</v>
      </c>
      <c r="CA199" s="13">
        <f t="shared" si="170"/>
        <v>61.39816832228076</v>
      </c>
      <c r="CB199" s="20">
        <f t="shared" si="171"/>
        <v>548.96387316130563</v>
      </c>
      <c r="CC199" s="59">
        <f t="shared" si="195"/>
        <v>842.29720649463889</v>
      </c>
      <c r="CD199" s="59">
        <f ca="1">AVERAGE(OFFSET($CC$3,0,0,'Données projet'!$E$12+1,1))-AVERAGE(OFFSET($H$3,0,0,'Données projet'!$E$12+1,1))</f>
        <v>279.49721661620544</v>
      </c>
      <c r="CE199" s="59">
        <f t="shared" si="207"/>
        <v>275.18739333988754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5.345063276592402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5.345063276592402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18.829999999999643</v>
      </c>
      <c r="CU199" s="17">
        <f>CT199*VLOOKUP('Données projet'!$B$13,Paramètres!$A$1:$I$89,3,0)*VLOOKUP('Données projet'!$B$13,Paramètres!$A$1:$I$89,5,0)</f>
        <v>19.093619999999639</v>
      </c>
      <c r="CV199" s="13">
        <f t="shared" si="173"/>
        <v>6.2423044268988592</v>
      </c>
      <c r="CW199" s="20">
        <f t="shared" si="174"/>
        <v>44.126735043514884</v>
      </c>
      <c r="CX199" s="59">
        <f t="shared" si="196"/>
        <v>337.4600683768482</v>
      </c>
      <c r="CY199" s="59">
        <f ca="1">AVERAGE(OFFSET($CX$3,0,0,'Données projet'!$E$13+1,1))-AVERAGE(OFFSET($H$3,0,0,'Données projet'!$E$13+1,1))</f>
        <v>402.54350692668021</v>
      </c>
      <c r="CZ199" s="59">
        <f t="shared" si="208"/>
        <v>163.60655196884522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125.59398426410978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125.59398426410978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404.00000000000017</v>
      </c>
      <c r="DP199" s="17">
        <f>DO199*VLOOKUP('Données projet'!$B$14,Paramètres!$A$1:$I$89,3,0)*VLOOKUP('Données projet'!$B$14,Paramètres!$A$1:$I$89,5,0)</f>
        <v>346.63200000000018</v>
      </c>
      <c r="DQ199" s="13">
        <f t="shared" si="176"/>
        <v>80.868615263336864</v>
      </c>
      <c r="DR199" s="20">
        <f t="shared" si="177"/>
        <v>744.56357158364528</v>
      </c>
      <c r="DS199" s="59">
        <f t="shared" si="197"/>
        <v>1037.8969049169787</v>
      </c>
      <c r="DT199" s="59">
        <f ca="1">AVERAGE(OFFSET($DS$3,0,0,'Données projet'!$E$14+1,1))-AVERAGE(OFFSET($H$3,0,0,'Données projet'!$E$14+1,1))</f>
        <v>352.76625414822473</v>
      </c>
      <c r="DU199" s="59">
        <f t="shared" si="209"/>
        <v>186.48649111821521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22.189243425297789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22.189243425297789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210.25641030000014</v>
      </c>
      <c r="EK199" s="17">
        <f>EJ199*VLOOKUP('Données projet'!$B$15,Paramètres!$A$1:$I$89,3,0)*VLOOKUP('Données projet'!$B$15,Paramètres!$A$1:$I$89,5,0)</f>
        <v>164.00000003400012</v>
      </c>
      <c r="EL199" s="13">
        <f t="shared" si="179"/>
        <v>41.743425916009095</v>
      </c>
      <c r="EM199" s="20">
        <f t="shared" si="180"/>
        <v>358.3364668629327</v>
      </c>
      <c r="EN199" s="59">
        <f t="shared" si="198"/>
        <v>651.66980019626601</v>
      </c>
      <c r="EO199" s="59">
        <f ca="1">AVERAGE(OFFSET($EN$3,0,0,'Données projet'!$E$15+1,1))-AVERAGE(OFFSET($H$3,0,0,'Données projet'!$E$15+1,1))</f>
        <v>130.66539383144681</v>
      </c>
      <c r="EP199" s="59">
        <f t="shared" si="210"/>
        <v>126.36398121441903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2.6111175587805127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2.6111175587805127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18.829999999999643</v>
      </c>
      <c r="FF199" s="17">
        <f>FE199*VLOOKUP('Données projet'!$B$16,Paramètres!$A$1:$I$89,3,0)*VLOOKUP('Données projet'!$B$16,Paramètres!$A$1:$I$89,5,0)</f>
        <v>18.212375999999654</v>
      </c>
      <c r="FG199" s="13">
        <f t="shared" si="182"/>
        <v>5.9870377924133553</v>
      </c>
      <c r="FH199" s="20">
        <f t="shared" si="183"/>
        <v>42.147312355119332</v>
      </c>
      <c r="FI199" s="59">
        <f t="shared" si="199"/>
        <v>335.48064568845263</v>
      </c>
      <c r="FJ199" s="59">
        <f ca="1">AVERAGE(OFFSET($FI$3,0,0,'Données projet'!$E$16+1,1))-AVERAGE(OFFSET($H$3,0,0,'Données projet'!$E$16+1,1))</f>
        <v>380.43199889536805</v>
      </c>
      <c r="FK199" s="59">
        <f t="shared" si="211"/>
        <v>154.72646317672996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119.79733883653547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119.79733883653547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304</v>
      </c>
      <c r="O200" s="13">
        <f>N200*VLOOKUP('Données projet'!$B$9,Paramètres!$A$1:$I$89,3,0)*VLOOKUP('Données projet'!$B$9,Paramètres!$A$1:$I$89,5,0)</f>
        <v>189.696</v>
      </c>
      <c r="P200" s="13">
        <f t="shared" si="203"/>
        <v>47.472736505152469</v>
      </c>
      <c r="Q200" s="20">
        <f t="shared" si="162"/>
        <v>413.06888274647389</v>
      </c>
      <c r="R200" s="59">
        <f t="shared" si="191"/>
        <v>706.4022160798072</v>
      </c>
      <c r="S200" s="59">
        <f ca="1">AVERAGE(OFFSET($R$3,0,0,'Données projet'!$E$9+1,1))-AVERAGE(OFFSET($H$3,0,0,'Données projet'!$E$9+1,1))</f>
        <v>179.44051550872138</v>
      </c>
      <c r="T200" s="59">
        <f t="shared" si="204"/>
        <v>272.9500808380069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4.5033263601262714</v>
      </c>
      <c r="AA200" s="21">
        <f>EXP(-LN(2)/25)*AA199+(1-EXP(-LN(2)/25))/(LN(2)/25)*Calculateur!V200*Calculateur!X200*VLOOKUP('Données projet'!$B$9,Paramètres!$A$1:$I$89,3,0)*0.475*44/12</f>
        <v>0.47192285671051332</v>
      </c>
      <c r="AB200" s="21">
        <f>EXP(-LN(2)/2)*AB199+(1-EXP(-LN(2)/2))/(LN(2)/2)*V200*Y200*VLOOKUP('Données projet'!$B$9,Paramètres!$A$1:$I$89,3,0)*0.475*44/12</f>
        <v>1.6142303655193156E-26</v>
      </c>
      <c r="AC200" s="22">
        <f t="shared" si="163"/>
        <v>4.9752492168367848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2.4999999999997442</v>
      </c>
      <c r="AJ200" s="13">
        <f>AI200*VLOOKUP('Données projet'!$B$10,Paramètres!$A$1:$I$89,3,0)*VLOOKUP('Données projet'!$B$10,Paramètres!$A$1:$I$89,5,0)</f>
        <v>1.2024999999998769</v>
      </c>
      <c r="AK200" s="13">
        <f t="shared" si="164"/>
        <v>0.54239446125464896</v>
      </c>
      <c r="AL200" s="20">
        <f t="shared" si="165"/>
        <v>3.0390245200182986</v>
      </c>
      <c r="AM200" s="59">
        <f t="shared" si="193"/>
        <v>296.37235785335162</v>
      </c>
      <c r="AN200" s="59">
        <f ca="1">AVERAGE(OFFSET($AM$3,0,0,'Données projet'!$E$10+1,1))-AVERAGE(OFFSET($H$3,0,0,'Données projet'!$E$10+1,1))</f>
        <v>174.18188687702559</v>
      </c>
      <c r="AO200" s="59">
        <f t="shared" si="205"/>
        <v>32.17353897322738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46.748311134762986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46.748311134762986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0.8600000000003547</v>
      </c>
      <c r="BE200" s="13">
        <f>BD200*VLOOKUP('Données projet'!$B$11,Paramètres!$A$1:$I$89,3,0)*VLOOKUP('Données projet'!$B$11,Paramètres!$A$1:$I$89,5,0)</f>
        <v>0.48074000000019829</v>
      </c>
      <c r="BF200" s="13">
        <f t="shared" si="167"/>
        <v>0.24126147010950588</v>
      </c>
      <c r="BG200" s="20">
        <f t="shared" si="168"/>
        <v>1.2574858937744013</v>
      </c>
      <c r="BH200" s="59">
        <f t="shared" si="194"/>
        <v>294.59081922710772</v>
      </c>
      <c r="BI200" s="59">
        <f ca="1">AVERAGE(OFFSET($BH$3,0,0,'Données projet'!$E$11+1,1))-AVERAGE(OFFSET($H$3,0,0,'Données projet'!$E$11+1,1))</f>
        <v>350.01600895263641</v>
      </c>
      <c r="BJ200" s="59">
        <f t="shared" si="206"/>
        <v>464.08921044376882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22.334478412430393</v>
      </c>
      <c r="BQ200" s="21">
        <f>EXP(-LN(2)/25)*BQ199+(1-EXP(-LN(2)/25))/(LN(2)/25)*Calculateur!BL200*Calculateur!BN200*VLOOKUP('Données projet'!$B$11,Paramètres!$A$1:$I$89,3,0)*0.475*44/12</f>
        <v>0.49320049344039585</v>
      </c>
      <c r="BR200" s="21">
        <f>EXP(-LN(2)/2)*BR199+(1-EXP(-LN(2)/2))/(LN(2)/2)*BL200*BO200*VLOOKUP('Données projet'!$B$11,Paramètres!$A$1:$I$89,3,0)*0.475*44/12</f>
        <v>5.4097904018444489E-26</v>
      </c>
      <c r="BS200" s="22">
        <f t="shared" si="169"/>
        <v>22.827678905870787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253.79640000000001</v>
      </c>
      <c r="CA200" s="13">
        <f t="shared" si="170"/>
        <v>61.39816832228076</v>
      </c>
      <c r="CB200" s="20">
        <f t="shared" si="171"/>
        <v>548.96387316130563</v>
      </c>
      <c r="CC200" s="59">
        <f t="shared" si="195"/>
        <v>842.29720649463889</v>
      </c>
      <c r="CD200" s="59">
        <f ca="1">AVERAGE(OFFSET($CC$3,0,0,'Données projet'!$E$12+1,1))-AVERAGE(OFFSET($H$3,0,0,'Données projet'!$E$12+1,1))</f>
        <v>279.49721661620544</v>
      </c>
      <c r="CE200" s="59">
        <f t="shared" si="207"/>
        <v>275.18739333988754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5.240249845905109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5.240249845905109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18.829999999999643</v>
      </c>
      <c r="CU200" s="17">
        <f>CT200*VLOOKUP('Données projet'!$B$13,Paramètres!$A$1:$I$89,3,0)*VLOOKUP('Données projet'!$B$13,Paramètres!$A$1:$I$89,5,0)</f>
        <v>19.093619999999639</v>
      </c>
      <c r="CV200" s="13">
        <f t="shared" si="173"/>
        <v>6.2423044268988592</v>
      </c>
      <c r="CW200" s="20">
        <f t="shared" si="174"/>
        <v>44.126735043514884</v>
      </c>
      <c r="CX200" s="59">
        <f t="shared" si="196"/>
        <v>337.4600683768482</v>
      </c>
      <c r="CY200" s="59">
        <f ca="1">AVERAGE(OFFSET($CX$3,0,0,'Données projet'!$E$13+1,1))-AVERAGE(OFFSET($H$3,0,0,'Données projet'!$E$13+1,1))</f>
        <v>402.54350692668021</v>
      </c>
      <c r="CZ200" s="59">
        <f t="shared" si="208"/>
        <v>163.60655196884522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123.1311628374569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123.1311628374569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404.00000000000017</v>
      </c>
      <c r="DP200" s="17">
        <f>DO200*VLOOKUP('Données projet'!$B$14,Paramètres!$A$1:$I$89,3,0)*VLOOKUP('Données projet'!$B$14,Paramètres!$A$1:$I$89,5,0)</f>
        <v>346.63200000000018</v>
      </c>
      <c r="DQ200" s="13">
        <f t="shared" si="176"/>
        <v>80.868615263336864</v>
      </c>
      <c r="DR200" s="20">
        <f t="shared" si="177"/>
        <v>744.56357158364528</v>
      </c>
      <c r="DS200" s="59">
        <f t="shared" si="197"/>
        <v>1037.8969049169787</v>
      </c>
      <c r="DT200" s="59">
        <f ca="1">AVERAGE(OFFSET($DS$3,0,0,'Données projet'!$E$14+1,1))-AVERAGE(OFFSET($H$3,0,0,'Données projet'!$E$14+1,1))</f>
        <v>352.76625414822473</v>
      </c>
      <c r="DU200" s="59">
        <f t="shared" si="209"/>
        <v>186.48649111821521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21.754125895829809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21.754125895829809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210.25641030000014</v>
      </c>
      <c r="EK200" s="17">
        <f>EJ200*VLOOKUP('Données projet'!$B$15,Paramètres!$A$1:$I$89,3,0)*VLOOKUP('Données projet'!$B$15,Paramètres!$A$1:$I$89,5,0)</f>
        <v>164.00000003400012</v>
      </c>
      <c r="EL200" s="13">
        <f t="shared" si="179"/>
        <v>41.743425916009095</v>
      </c>
      <c r="EM200" s="20">
        <f t="shared" si="180"/>
        <v>358.3364668629327</v>
      </c>
      <c r="EN200" s="59">
        <f t="shared" si="198"/>
        <v>651.66980019626601</v>
      </c>
      <c r="EO200" s="59">
        <f ca="1">AVERAGE(OFFSET($EN$3,0,0,'Données projet'!$E$15+1,1))-AVERAGE(OFFSET($H$3,0,0,'Données projet'!$E$15+1,1))</f>
        <v>130.66539383144681</v>
      </c>
      <c r="EP200" s="59">
        <f t="shared" si="210"/>
        <v>126.36398121441903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2.5599151360772789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2.5599151360772789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18.829999999999643</v>
      </c>
      <c r="FF200" s="17">
        <f>FE200*VLOOKUP('Données projet'!$B$16,Paramètres!$A$1:$I$89,3,0)*VLOOKUP('Données projet'!$B$16,Paramètres!$A$1:$I$89,5,0)</f>
        <v>18.212375999999654</v>
      </c>
      <c r="FG200" s="13">
        <f t="shared" si="182"/>
        <v>5.9870377924133553</v>
      </c>
      <c r="FH200" s="20">
        <f t="shared" si="183"/>
        <v>42.147312355119332</v>
      </c>
      <c r="FI200" s="59">
        <f t="shared" si="199"/>
        <v>335.48064568845263</v>
      </c>
      <c r="FJ200" s="59">
        <f ca="1">AVERAGE(OFFSET($FI$3,0,0,'Données projet'!$E$16+1,1))-AVERAGE(OFFSET($H$3,0,0,'Données projet'!$E$16+1,1))</f>
        <v>380.43199889536805</v>
      </c>
      <c r="FK200" s="59">
        <f t="shared" si="211"/>
        <v>154.72646317672996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117.44818609111272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117.44818609111272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304</v>
      </c>
      <c r="O201" s="13">
        <f>N201*VLOOKUP('Données projet'!$B$9,Paramètres!$A$1:$I$89,3,0)*VLOOKUP('Données projet'!$B$9,Paramètres!$A$1:$I$89,5,0)</f>
        <v>189.696</v>
      </c>
      <c r="P201" s="13">
        <f t="shared" si="203"/>
        <v>47.472736505152469</v>
      </c>
      <c r="Q201" s="20">
        <f t="shared" si="162"/>
        <v>413.06888274647389</v>
      </c>
      <c r="R201" s="59">
        <f t="shared" si="191"/>
        <v>706.4022160798072</v>
      </c>
      <c r="S201" s="59">
        <f ca="1">AVERAGE(OFFSET($R$3,0,0,'Données projet'!$E$9+1,1))-AVERAGE(OFFSET($H$3,0,0,'Données projet'!$E$9+1,1))</f>
        <v>179.44051550872138</v>
      </c>
      <c r="T201" s="59">
        <f t="shared" si="204"/>
        <v>272.9500808380069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4.4150188769620549</v>
      </c>
      <c r="AA201" s="21">
        <f>EXP(-LN(2)/25)*AA200+(1-EXP(-LN(2)/25))/(LN(2)/25)*Calculateur!V201*Calculateur!X201*VLOOKUP('Données projet'!$B$9,Paramètres!$A$1:$I$89,3,0)*0.475*44/12</f>
        <v>0.45901810137641991</v>
      </c>
      <c r="AB201" s="21">
        <f>EXP(-LN(2)/2)*AB200+(1-EXP(-LN(2)/2))/(LN(2)/2)*V201*Y201*VLOOKUP('Données projet'!$B$9,Paramètres!$A$1:$I$89,3,0)*0.475*44/12</f>
        <v>1.1414332378559473E-26</v>
      </c>
      <c r="AC201" s="22">
        <f t="shared" si="163"/>
        <v>4.8740369783384745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2.4999999999997442</v>
      </c>
      <c r="AJ201" s="13">
        <f>AI201*VLOOKUP('Données projet'!$B$10,Paramètres!$A$1:$I$89,3,0)*VLOOKUP('Données projet'!$B$10,Paramètres!$A$1:$I$89,5,0)</f>
        <v>1.2024999999998769</v>
      </c>
      <c r="AK201" s="13">
        <f t="shared" si="164"/>
        <v>0.54239446125464896</v>
      </c>
      <c r="AL201" s="20">
        <f t="shared" si="165"/>
        <v>3.0390245200182986</v>
      </c>
      <c r="AM201" s="59">
        <f t="shared" si="193"/>
        <v>296.37235785335162</v>
      </c>
      <c r="AN201" s="59">
        <f ca="1">AVERAGE(OFFSET($AM$3,0,0,'Données projet'!$E$10+1,1))-AVERAGE(OFFSET($H$3,0,0,'Données projet'!$E$10+1,1))</f>
        <v>174.18188687702559</v>
      </c>
      <c r="AO201" s="59">
        <f t="shared" si="205"/>
        <v>32.17353897322738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45.831605267064589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45.831605267064589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0.8600000000003547</v>
      </c>
      <c r="BE201" s="13">
        <f>BD201*VLOOKUP('Données projet'!$B$11,Paramètres!$A$1:$I$89,3,0)*VLOOKUP('Données projet'!$B$11,Paramètres!$A$1:$I$89,5,0)</f>
        <v>0.48074000000019829</v>
      </c>
      <c r="BF201" s="13">
        <f t="shared" si="167"/>
        <v>0.24126147010950588</v>
      </c>
      <c r="BG201" s="20">
        <f t="shared" si="168"/>
        <v>1.2574858937744013</v>
      </c>
      <c r="BH201" s="59">
        <f t="shared" si="194"/>
        <v>294.59081922710772</v>
      </c>
      <c r="BI201" s="59">
        <f ca="1">AVERAGE(OFFSET($BH$3,0,0,'Données projet'!$E$11+1,1))-AVERAGE(OFFSET($H$3,0,0,'Données projet'!$E$11+1,1))</f>
        <v>350.01600895263641</v>
      </c>
      <c r="BJ201" s="59">
        <f t="shared" si="206"/>
        <v>464.08921044376882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21.896512913449335</v>
      </c>
      <c r="BQ201" s="21">
        <f>EXP(-LN(2)/25)*BQ200+(1-EXP(-LN(2)/25))/(LN(2)/25)*Calculateur!BL201*Calculateur!BN201*VLOOKUP('Données projet'!$B$11,Paramètres!$A$1:$I$89,3,0)*0.475*44/12</f>
        <v>0.47971390001098152</v>
      </c>
      <c r="BR201" s="21">
        <f>EXP(-LN(2)/2)*BR200+(1-EXP(-LN(2)/2))/(LN(2)/2)*BL201*BO201*VLOOKUP('Données projet'!$B$11,Paramètres!$A$1:$I$89,3,0)*0.475*44/12</f>
        <v>3.8252994779421079E-26</v>
      </c>
      <c r="BS201" s="22">
        <f t="shared" si="169"/>
        <v>22.376226813460317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253.79640000000001</v>
      </c>
      <c r="CA201" s="13">
        <f t="shared" si="170"/>
        <v>61.39816832228076</v>
      </c>
      <c r="CB201" s="20">
        <f t="shared" si="171"/>
        <v>548.96387316130563</v>
      </c>
      <c r="CC201" s="59">
        <f t="shared" si="195"/>
        <v>842.29720649463889</v>
      </c>
      <c r="CD201" s="59">
        <f ca="1">AVERAGE(OFFSET($CC$3,0,0,'Données projet'!$E$12+1,1))-AVERAGE(OFFSET($H$3,0,0,'Données projet'!$E$12+1,1))</f>
        <v>279.49721661620544</v>
      </c>
      <c r="CE201" s="59">
        <f t="shared" si="207"/>
        <v>275.18739333988754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5.1374917426637134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5.1374917426637134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18.829999999999643</v>
      </c>
      <c r="CU201" s="17">
        <f>CT201*VLOOKUP('Données projet'!$B$13,Paramètres!$A$1:$I$89,3,0)*VLOOKUP('Données projet'!$B$13,Paramètres!$A$1:$I$89,5,0)</f>
        <v>19.093619999999639</v>
      </c>
      <c r="CV201" s="13">
        <f t="shared" si="173"/>
        <v>6.2423044268988592</v>
      </c>
      <c r="CW201" s="20">
        <f t="shared" si="174"/>
        <v>44.126735043514884</v>
      </c>
      <c r="CX201" s="59">
        <f t="shared" si="196"/>
        <v>337.4600683768482</v>
      </c>
      <c r="CY201" s="59">
        <f ca="1">AVERAGE(OFFSET($CX$3,0,0,'Données projet'!$E$13+1,1))-AVERAGE(OFFSET($H$3,0,0,'Données projet'!$E$13+1,1))</f>
        <v>402.54350692668021</v>
      </c>
      <c r="CZ201" s="59">
        <f t="shared" si="208"/>
        <v>163.60655196884522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120.71663583680794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120.71663583680794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404.00000000000017</v>
      </c>
      <c r="DP201" s="17">
        <f>DO201*VLOOKUP('Données projet'!$B$14,Paramètres!$A$1:$I$89,3,0)*VLOOKUP('Données projet'!$B$14,Paramètres!$A$1:$I$89,5,0)</f>
        <v>346.63200000000018</v>
      </c>
      <c r="DQ201" s="13">
        <f t="shared" si="176"/>
        <v>80.868615263336864</v>
      </c>
      <c r="DR201" s="20">
        <f t="shared" si="177"/>
        <v>744.56357158364528</v>
      </c>
      <c r="DS201" s="59">
        <f t="shared" si="197"/>
        <v>1037.8969049169787</v>
      </c>
      <c r="DT201" s="59">
        <f ca="1">AVERAGE(OFFSET($DS$3,0,0,'Données projet'!$E$14+1,1))-AVERAGE(OFFSET($H$3,0,0,'Données projet'!$E$14+1,1))</f>
        <v>352.76625414822473</v>
      </c>
      <c r="DU201" s="59">
        <f t="shared" si="209"/>
        <v>186.48649111821521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21.327540755719205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21.327540755719205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210.25641030000014</v>
      </c>
      <c r="EK201" s="17">
        <f>EJ201*VLOOKUP('Données projet'!$B$15,Paramètres!$A$1:$I$89,3,0)*VLOOKUP('Données projet'!$B$15,Paramètres!$A$1:$I$89,5,0)</f>
        <v>164.00000003400012</v>
      </c>
      <c r="EL201" s="13">
        <f t="shared" si="179"/>
        <v>41.743425916009095</v>
      </c>
      <c r="EM201" s="20">
        <f t="shared" si="180"/>
        <v>358.3364668629327</v>
      </c>
      <c r="EN201" s="59">
        <f t="shared" si="198"/>
        <v>651.66980019626601</v>
      </c>
      <c r="EO201" s="59">
        <f ca="1">AVERAGE(OFFSET($EN$3,0,0,'Données projet'!$E$15+1,1))-AVERAGE(OFFSET($H$3,0,0,'Données projet'!$E$15+1,1))</f>
        <v>130.66539383144681</v>
      </c>
      <c r="EP201" s="59">
        <f t="shared" si="210"/>
        <v>126.36398121441903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2.5097167616528617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2.5097167616528617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18.829999999999643</v>
      </c>
      <c r="FF201" s="17">
        <f>FE201*VLOOKUP('Données projet'!$B$16,Paramètres!$A$1:$I$89,3,0)*VLOOKUP('Données projet'!$B$16,Paramètres!$A$1:$I$89,5,0)</f>
        <v>18.212375999999654</v>
      </c>
      <c r="FG201" s="13">
        <f t="shared" si="182"/>
        <v>5.9870377924133553</v>
      </c>
      <c r="FH201" s="20">
        <f t="shared" si="183"/>
        <v>42.147312355119332</v>
      </c>
      <c r="FI201" s="59">
        <f t="shared" si="199"/>
        <v>335.48064568845263</v>
      </c>
      <c r="FJ201" s="59">
        <f ca="1">AVERAGE(OFFSET($FI$3,0,0,'Données projet'!$E$16+1,1))-AVERAGE(OFFSET($H$3,0,0,'Données projet'!$E$16+1,1))</f>
        <v>380.43199889536805</v>
      </c>
      <c r="FK201" s="59">
        <f t="shared" si="211"/>
        <v>154.72646317672996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115.14509879818601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115.14509879818601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304</v>
      </c>
      <c r="O202" s="13">
        <f>N202*VLOOKUP('Données projet'!$B$9,Paramètres!$A$1:$I$89,3,0)*VLOOKUP('Données projet'!$B$9,Paramètres!$A$1:$I$89,5,0)</f>
        <v>189.696</v>
      </c>
      <c r="P202" s="13">
        <f t="shared" si="203"/>
        <v>47.472736505152469</v>
      </c>
      <c r="Q202" s="20">
        <f t="shared" si="162"/>
        <v>413.06888274647389</v>
      </c>
      <c r="R202" s="59">
        <f t="shared" si="191"/>
        <v>706.4022160798072</v>
      </c>
      <c r="S202" s="59">
        <f ca="1">AVERAGE(OFFSET($R$3,0,0,'Données projet'!$E$9+1,1))-AVERAGE(OFFSET($H$3,0,0,'Données projet'!$E$9+1,1))</f>
        <v>179.44051550872138</v>
      </c>
      <c r="T202" s="59">
        <f t="shared" si="204"/>
        <v>272.9500808380069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4.3284430496804429</v>
      </c>
      <c r="AA202" s="21">
        <f>EXP(-LN(2)/25)*AA201+(1-EXP(-LN(2)/25))/(LN(2)/25)*Calculateur!V202*Calculateur!X202*VLOOKUP('Données projet'!$B$9,Paramètres!$A$1:$I$89,3,0)*0.475*44/12</f>
        <v>0.44646622725556884</v>
      </c>
      <c r="AB202" s="21">
        <f>EXP(-LN(2)/2)*AB201+(1-EXP(-LN(2)/2))/(LN(2)/2)*V202*Y202*VLOOKUP('Données projet'!$B$9,Paramètres!$A$1:$I$89,3,0)*0.475*44/12</f>
        <v>8.0711518275965779E-27</v>
      </c>
      <c r="AC202" s="22">
        <f t="shared" si="163"/>
        <v>4.774909276936012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2.4999999999997442</v>
      </c>
      <c r="AJ202" s="13">
        <f>AI202*VLOOKUP('Données projet'!$B$10,Paramètres!$A$1:$I$89,3,0)*VLOOKUP('Données projet'!$B$10,Paramètres!$A$1:$I$89,5,0)</f>
        <v>1.2024999999998769</v>
      </c>
      <c r="AK202" s="13">
        <f t="shared" si="164"/>
        <v>0.54239446125464896</v>
      </c>
      <c r="AL202" s="20">
        <f t="shared" si="165"/>
        <v>3.0390245200182986</v>
      </c>
      <c r="AM202" s="59">
        <f t="shared" si="193"/>
        <v>296.37235785335162</v>
      </c>
      <c r="AN202" s="59">
        <f ca="1">AVERAGE(OFFSET($AM$3,0,0,'Données projet'!$E$10+1,1))-AVERAGE(OFFSET($H$3,0,0,'Données projet'!$E$10+1,1))</f>
        <v>174.18188687702559</v>
      </c>
      <c r="AO202" s="59">
        <f t="shared" si="205"/>
        <v>32.17353897322738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44.932875442296385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44.932875442296385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0.8600000000003547</v>
      </c>
      <c r="BE202" s="13">
        <f>BD202*VLOOKUP('Données projet'!$B$11,Paramètres!$A$1:$I$89,3,0)*VLOOKUP('Données projet'!$B$11,Paramètres!$A$1:$I$89,5,0)</f>
        <v>0.48074000000019829</v>
      </c>
      <c r="BF202" s="13">
        <f t="shared" si="167"/>
        <v>0.24126147010950588</v>
      </c>
      <c r="BG202" s="20">
        <f t="shared" si="168"/>
        <v>1.2574858937744013</v>
      </c>
      <c r="BH202" s="59">
        <f t="shared" si="194"/>
        <v>294.59081922710772</v>
      </c>
      <c r="BI202" s="59">
        <f ca="1">AVERAGE(OFFSET($BH$3,0,0,'Données projet'!$E$11+1,1))-AVERAGE(OFFSET($H$3,0,0,'Données projet'!$E$11+1,1))</f>
        <v>350.01600895263641</v>
      </c>
      <c r="BJ202" s="59">
        <f t="shared" si="206"/>
        <v>464.08921044376882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21.467135650770718</v>
      </c>
      <c r="BQ202" s="21">
        <f>EXP(-LN(2)/25)*BQ201+(1-EXP(-LN(2)/25))/(LN(2)/25)*Calculateur!BL202*Calculateur!BN202*VLOOKUP('Données projet'!$B$11,Paramètres!$A$1:$I$89,3,0)*0.475*44/12</f>
        <v>0.46659609818812364</v>
      </c>
      <c r="BR202" s="21">
        <f>EXP(-LN(2)/2)*BR201+(1-EXP(-LN(2)/2))/(LN(2)/2)*BL202*BO202*VLOOKUP('Données projet'!$B$11,Paramètres!$A$1:$I$89,3,0)*0.475*44/12</f>
        <v>2.7048952009222245E-26</v>
      </c>
      <c r="BS202" s="22">
        <f t="shared" si="169"/>
        <v>21.933731748958841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253.79640000000001</v>
      </c>
      <c r="CA202" s="13">
        <f t="shared" si="170"/>
        <v>61.39816832228076</v>
      </c>
      <c r="CB202" s="20">
        <f t="shared" si="171"/>
        <v>548.96387316130563</v>
      </c>
      <c r="CC202" s="59">
        <f t="shared" si="195"/>
        <v>842.29720649463889</v>
      </c>
      <c r="CD202" s="59">
        <f ca="1">AVERAGE(OFFSET($CC$3,0,0,'Données projet'!$E$12+1,1))-AVERAGE(OFFSET($H$3,0,0,'Données projet'!$E$12+1,1))</f>
        <v>279.49721661620544</v>
      </c>
      <c r="CE202" s="59">
        <f t="shared" si="207"/>
        <v>275.18739333988754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5.036748663150628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5.036748663150628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18.829999999999643</v>
      </c>
      <c r="CU202" s="17">
        <f>CT202*VLOOKUP('Données projet'!$B$13,Paramètres!$A$1:$I$89,3,0)*VLOOKUP('Données projet'!$B$13,Paramètres!$A$1:$I$89,5,0)</f>
        <v>19.093619999999639</v>
      </c>
      <c r="CV202" s="13">
        <f t="shared" si="173"/>
        <v>6.2423044268988592</v>
      </c>
      <c r="CW202" s="20">
        <f t="shared" si="174"/>
        <v>44.126735043514884</v>
      </c>
      <c r="CX202" s="59">
        <f t="shared" si="196"/>
        <v>337.4600683768482</v>
      </c>
      <c r="CY202" s="59">
        <f ca="1">AVERAGE(OFFSET($CX$3,0,0,'Données projet'!$E$13+1,1))-AVERAGE(OFFSET($H$3,0,0,'Données projet'!$E$13+1,1))</f>
        <v>402.54350692668021</v>
      </c>
      <c r="CZ202" s="59">
        <f t="shared" si="208"/>
        <v>163.60655196884522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118.34945623792565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118.34945623792565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404.00000000000017</v>
      </c>
      <c r="DP202" s="17">
        <f>DO202*VLOOKUP('Données projet'!$B$14,Paramètres!$A$1:$I$89,3,0)*VLOOKUP('Données projet'!$B$14,Paramètres!$A$1:$I$89,5,0)</f>
        <v>346.63200000000018</v>
      </c>
      <c r="DQ202" s="13">
        <f t="shared" si="176"/>
        <v>80.868615263336864</v>
      </c>
      <c r="DR202" s="20">
        <f t="shared" si="177"/>
        <v>744.56357158364528</v>
      </c>
      <c r="DS202" s="59">
        <f t="shared" si="197"/>
        <v>1037.8969049169787</v>
      </c>
      <c r="DT202" s="59">
        <f ca="1">AVERAGE(OFFSET($DS$3,0,0,'Données projet'!$E$14+1,1))-AVERAGE(OFFSET($H$3,0,0,'Données projet'!$E$14+1,1))</f>
        <v>352.76625414822473</v>
      </c>
      <c r="DU202" s="59">
        <f t="shared" si="209"/>
        <v>186.48649111821521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20.90932069001493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20.90932069001493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210.25641030000014</v>
      </c>
      <c r="EK202" s="17">
        <f>EJ202*VLOOKUP('Données projet'!$B$15,Paramètres!$A$1:$I$89,3,0)*VLOOKUP('Données projet'!$B$15,Paramètres!$A$1:$I$89,5,0)</f>
        <v>164.00000003400012</v>
      </c>
      <c r="EL202" s="13">
        <f t="shared" si="179"/>
        <v>41.743425916009095</v>
      </c>
      <c r="EM202" s="20">
        <f t="shared" si="180"/>
        <v>358.3364668629327</v>
      </c>
      <c r="EN202" s="59">
        <f t="shared" si="198"/>
        <v>651.66980019626601</v>
      </c>
      <c r="EO202" s="59">
        <f ca="1">AVERAGE(OFFSET($EN$3,0,0,'Données projet'!$E$15+1,1))-AVERAGE(OFFSET($H$3,0,0,'Données projet'!$E$15+1,1))</f>
        <v>130.66539383144681</v>
      </c>
      <c r="EP202" s="59">
        <f t="shared" si="210"/>
        <v>126.36398121441903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2.4605027467329221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2.4605027467329221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18.829999999999643</v>
      </c>
      <c r="FF202" s="17">
        <f>FE202*VLOOKUP('Données projet'!$B$16,Paramètres!$A$1:$I$89,3,0)*VLOOKUP('Données projet'!$B$16,Paramètres!$A$1:$I$89,5,0)</f>
        <v>18.212375999999654</v>
      </c>
      <c r="FG202" s="13">
        <f t="shared" si="182"/>
        <v>5.9870377924133553</v>
      </c>
      <c r="FH202" s="20">
        <f t="shared" si="183"/>
        <v>42.147312355119332</v>
      </c>
      <c r="FI202" s="59">
        <f t="shared" si="199"/>
        <v>335.48064568845263</v>
      </c>
      <c r="FJ202" s="59">
        <f ca="1">AVERAGE(OFFSET($FI$3,0,0,'Données projet'!$E$16+1,1))-AVERAGE(OFFSET($H$3,0,0,'Données projet'!$E$16+1,1))</f>
        <v>380.43199889536805</v>
      </c>
      <c r="FK202" s="59">
        <f t="shared" si="211"/>
        <v>154.72646317672996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112.88717364232906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112.88717364232906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304</v>
      </c>
      <c r="O203" s="13">
        <f>N203*VLOOKUP('Données projet'!$B$9,Paramètres!$A$1:$I$89,3,0)*VLOOKUP('Données projet'!$B$9,Paramètres!$A$1:$I$89,5,0)</f>
        <v>189.696</v>
      </c>
      <c r="P203" s="13">
        <f t="shared" si="203"/>
        <v>47.472736505152469</v>
      </c>
      <c r="Q203" s="20">
        <f t="shared" si="162"/>
        <v>413.06888274647389</v>
      </c>
      <c r="R203" s="59">
        <f t="shared" si="191"/>
        <v>706.4022160798072</v>
      </c>
      <c r="S203" s="59">
        <f ca="1">AVERAGE(OFFSET($R$3,0,0,'Données projet'!$E$9+1,1))-AVERAGE(OFFSET($H$3,0,0,'Données projet'!$E$9+1,1))</f>
        <v>179.44051550872138</v>
      </c>
      <c r="T203" s="59">
        <f t="shared" si="204"/>
        <v>272.9500808380069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4.2435649215657829</v>
      </c>
      <c r="AA203" s="21">
        <f>EXP(-LN(2)/25)*AA202+(1-EXP(-LN(2)/25))/(LN(2)/25)*Calculateur!V203*Calculateur!X203*VLOOKUP('Données projet'!$B$9,Paramètres!$A$1:$I$89,3,0)*0.475*44/12</f>
        <v>0.43425758479262683</v>
      </c>
      <c r="AB203" s="21">
        <f>EXP(-LN(2)/2)*AB202+(1-EXP(-LN(2)/2))/(LN(2)/2)*V203*Y203*VLOOKUP('Données projet'!$B$9,Paramètres!$A$1:$I$89,3,0)*0.475*44/12</f>
        <v>5.7071661892797366E-27</v>
      </c>
      <c r="AC203" s="22">
        <f t="shared" si="163"/>
        <v>4.6778225063584093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2.4999999999997442</v>
      </c>
      <c r="AJ203" s="13">
        <f>AI203*VLOOKUP('Données projet'!$B$10,Paramètres!$A$1:$I$89,3,0)*VLOOKUP('Données projet'!$B$10,Paramètres!$A$1:$I$89,5,0)</f>
        <v>1.2024999999998769</v>
      </c>
      <c r="AK203" s="13">
        <f t="shared" si="164"/>
        <v>0.54239446125464896</v>
      </c>
      <c r="AL203" s="20">
        <f t="shared" si="165"/>
        <v>3.0390245200182986</v>
      </c>
      <c r="AM203" s="59">
        <f t="shared" si="193"/>
        <v>296.37235785335162</v>
      </c>
      <c r="AN203" s="59">
        <f ca="1">AVERAGE(OFFSET($AM$3,0,0,'Données projet'!$E$10+1,1))-AVERAGE(OFFSET($H$3,0,0,'Données projet'!$E$10+1,1))</f>
        <v>174.18188687702559</v>
      </c>
      <c r="AO203" s="59">
        <f t="shared" si="205"/>
        <v>32.17353897322738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44.051769161220818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44.051769161220818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0.8600000000003547</v>
      </c>
      <c r="BE203" s="13">
        <f>BD203*VLOOKUP('Données projet'!$B$11,Paramètres!$A$1:$I$89,3,0)*VLOOKUP('Données projet'!$B$11,Paramètres!$A$1:$I$89,5,0)</f>
        <v>0.48074000000019829</v>
      </c>
      <c r="BF203" s="13">
        <f t="shared" si="167"/>
        <v>0.24126147010950588</v>
      </c>
      <c r="BG203" s="20">
        <f t="shared" si="168"/>
        <v>1.2574858937744013</v>
      </c>
      <c r="BH203" s="59">
        <f t="shared" si="194"/>
        <v>294.59081922710772</v>
      </c>
      <c r="BI203" s="59">
        <f ca="1">AVERAGE(OFFSET($BH$3,0,0,'Données projet'!$E$11+1,1))-AVERAGE(OFFSET($H$3,0,0,'Données projet'!$E$11+1,1))</f>
        <v>350.01600895263641</v>
      </c>
      <c r="BJ203" s="59">
        <f t="shared" si="206"/>
        <v>464.08921044376882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21.04617821431896</v>
      </c>
      <c r="BQ203" s="21">
        <f>EXP(-LN(2)/25)*BQ202+(1-EXP(-LN(2)/25))/(LN(2)/25)*Calculateur!BL203*Calculateur!BN203*VLOOKUP('Données projet'!$B$11,Paramètres!$A$1:$I$89,3,0)*0.475*44/12</f>
        <v>0.45383700334594701</v>
      </c>
      <c r="BR203" s="21">
        <f>EXP(-LN(2)/2)*BR202+(1-EXP(-LN(2)/2))/(LN(2)/2)*BL203*BO203*VLOOKUP('Données projet'!$B$11,Paramètres!$A$1:$I$89,3,0)*0.475*44/12</f>
        <v>1.9126497389710539E-26</v>
      </c>
      <c r="BS203" s="22">
        <f t="shared" si="169"/>
        <v>21.500015217664906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253.79640000000001</v>
      </c>
      <c r="CA203" s="13">
        <f t="shared" si="170"/>
        <v>61.39816832228076</v>
      </c>
      <c r="CB203" s="20">
        <f t="shared" si="171"/>
        <v>548.96387316130563</v>
      </c>
      <c r="CC203" s="59">
        <f t="shared" si="195"/>
        <v>842.29720649463889</v>
      </c>
      <c r="CD203" s="59">
        <f ca="1">AVERAGE(OFFSET($CC$3,0,0,'Données projet'!$E$12+1,1))-AVERAGE(OFFSET($H$3,0,0,'Données projet'!$E$12+1,1))</f>
        <v>279.49721661620544</v>
      </c>
      <c r="CE203" s="59">
        <f t="shared" si="207"/>
        <v>275.18739333988754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4.937981093979583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4.937981093979583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18.829999999999643</v>
      </c>
      <c r="CU203" s="17">
        <f>CT203*VLOOKUP('Données projet'!$B$13,Paramètres!$A$1:$I$89,3,0)*VLOOKUP('Données projet'!$B$13,Paramètres!$A$1:$I$89,5,0)</f>
        <v>19.093619999999639</v>
      </c>
      <c r="CV203" s="13">
        <f t="shared" si="173"/>
        <v>6.2423044268988592</v>
      </c>
      <c r="CW203" s="20">
        <f t="shared" si="174"/>
        <v>44.126735043514884</v>
      </c>
      <c r="CX203" s="59">
        <f t="shared" si="196"/>
        <v>337.4600683768482</v>
      </c>
      <c r="CY203" s="59">
        <f ca="1">AVERAGE(OFFSET($CX$3,0,0,'Données projet'!$E$13+1,1))-AVERAGE(OFFSET($H$3,0,0,'Données projet'!$E$13+1,1))</f>
        <v>402.54350692668021</v>
      </c>
      <c r="CZ203" s="59">
        <f t="shared" si="208"/>
        <v>163.60655196884522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116.02869558714045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116.02869558714045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404.00000000000017</v>
      </c>
      <c r="DP203" s="17">
        <f>DO203*VLOOKUP('Données projet'!$B$14,Paramètres!$A$1:$I$89,3,0)*VLOOKUP('Données projet'!$B$14,Paramètres!$A$1:$I$89,5,0)</f>
        <v>346.63200000000018</v>
      </c>
      <c r="DQ203" s="13">
        <f t="shared" si="176"/>
        <v>80.868615263336864</v>
      </c>
      <c r="DR203" s="20">
        <f t="shared" si="177"/>
        <v>744.56357158364528</v>
      </c>
      <c r="DS203" s="59">
        <f t="shared" si="197"/>
        <v>1037.8969049169787</v>
      </c>
      <c r="DT203" s="59">
        <f ca="1">AVERAGE(OFFSET($DS$3,0,0,'Données projet'!$E$14+1,1))-AVERAGE(OFFSET($H$3,0,0,'Données projet'!$E$14+1,1))</f>
        <v>352.76625414822473</v>
      </c>
      <c r="DU203" s="59">
        <f t="shared" si="209"/>
        <v>186.48649111821521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20.49930166471006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20.49930166471006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210.25641030000014</v>
      </c>
      <c r="EK203" s="17">
        <f>EJ203*VLOOKUP('Données projet'!$B$15,Paramètres!$A$1:$I$89,3,0)*VLOOKUP('Données projet'!$B$15,Paramètres!$A$1:$I$89,5,0)</f>
        <v>164.00000003400012</v>
      </c>
      <c r="EL203" s="13">
        <f t="shared" si="179"/>
        <v>41.743425916009095</v>
      </c>
      <c r="EM203" s="20">
        <f t="shared" si="180"/>
        <v>358.3364668629327</v>
      </c>
      <c r="EN203" s="59">
        <f t="shared" si="198"/>
        <v>651.66980019626601</v>
      </c>
      <c r="EO203" s="59">
        <f ca="1">AVERAGE(OFFSET($EN$3,0,0,'Données projet'!$E$15+1,1))-AVERAGE(OFFSET($H$3,0,0,'Données projet'!$E$15+1,1))</f>
        <v>130.66539383144681</v>
      </c>
      <c r="EP203" s="59">
        <f t="shared" si="210"/>
        <v>126.36398121441903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2.4122537886279773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2.4122537886279773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18.829999999999643</v>
      </c>
      <c r="FF203" s="17">
        <f>FE203*VLOOKUP('Données projet'!$B$16,Paramètres!$A$1:$I$89,3,0)*VLOOKUP('Données projet'!$B$16,Paramètres!$A$1:$I$89,5,0)</f>
        <v>18.212375999999654</v>
      </c>
      <c r="FG203" s="13">
        <f t="shared" si="182"/>
        <v>5.9870377924133553</v>
      </c>
      <c r="FH203" s="20">
        <f t="shared" si="183"/>
        <v>42.147312355119332</v>
      </c>
      <c r="FI203" s="59">
        <f t="shared" si="199"/>
        <v>335.48064568845263</v>
      </c>
      <c r="FJ203" s="59">
        <f ca="1">AVERAGE(OFFSET($FI$3,0,0,'Données projet'!$E$16+1,1))-AVERAGE(OFFSET($H$3,0,0,'Données projet'!$E$16+1,1))</f>
        <v>380.43199889536805</v>
      </c>
      <c r="FK203" s="59">
        <f t="shared" si="211"/>
        <v>154.72646317672996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110.6735250215801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110.6735250215801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1.2997069632623315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1.1461513822606064</v>
      </c>
      <c r="BA205" s="81">
        <f>EXP(LN('Données projet'!B88)/'Données projet'!A88)</f>
        <v>1.3540417154604885</v>
      </c>
      <c r="BV205" s="81">
        <f>EXP(LN('Données projet'!B114)/'Données projet'!A114)</f>
        <v>1.2709816152101407</v>
      </c>
      <c r="CQ205" s="81">
        <f>EXP(LN('Données projet'!B140)/'Données projet'!A140)</f>
        <v>1.1608269964394529</v>
      </c>
      <c r="DL205" s="81">
        <f>EXP(LN('Données projet'!B166)/'Données projet'!A166)</f>
        <v>1.189207115002721</v>
      </c>
      <c r="EG205" s="81">
        <f>EXP(LN('Données projet'!B192)/'Données projet'!A192)</f>
        <v>1.2414494093530228</v>
      </c>
      <c r="FB205" s="81">
        <f>EXP(LN('Données projet'!B218)/'Données projet'!A218)</f>
        <v>1.1608269964394529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Mélèze d'Europe</v>
      </c>
      <c r="B6" s="144">
        <f>'Données projet'!D9</f>
        <v>2.7108060000000003</v>
      </c>
      <c r="C6" s="145">
        <f ca="1">IF(OR('Données projet'!B9="",'Données projet'!C9="",'Données projet'!C9=0%),0,Calculateur!S3)</f>
        <v>179.44051550872138</v>
      </c>
      <c r="D6" s="145">
        <f>IF(OR('Données projet'!B9="",'Données projet'!C9="",'Données projet'!C9=0%),0,Calculateur!T3)</f>
        <v>272.9500808380069</v>
      </c>
      <c r="E6" s="145">
        <f ca="1">MIN(C6,D6)</f>
        <v>179.44051550872138</v>
      </c>
      <c r="F6" s="145">
        <f ca="1">E6*B6</f>
        <v>486.42842608413503</v>
      </c>
      <c r="G6" s="145">
        <f ca="1">F6*(100%-'Données projet'!$C$24)*(100%-'Données projet'!$C$25)*(100%-'Données projet'!$C$26)*(100%-'Données projet'!$C$27)</f>
        <v>437.78558347572152</v>
      </c>
      <c r="H6" s="146">
        <f>IF(OR('Données projet'!B9="",'Données projet'!C9="",'Données projet'!C9=0%),0,AVERAGE(Calculateur!$AC$3:$AC$33)*B6)</f>
        <v>24.518026368935001</v>
      </c>
      <c r="I6" s="147">
        <f>H6*(100%-'Données projet'!$C$24)*(100%-'Données projet'!$C$25)*(100%-'Données projet'!$C$26)*(100%-'Données projet'!$C$27)</f>
        <v>22.0662237320415</v>
      </c>
      <c r="J6" s="148">
        <f>IF(OR('Données projet'!B9="",'Données projet'!C9="",'Données projet'!C9=0%),0,SUM(Calculateur!$V$3:$V$33)*VLOOKUP('Données projet'!$B$9,Paramètres!$A$1:$I$89,9,0)*B6)</f>
        <v>149.20276224</v>
      </c>
      <c r="K6" s="149">
        <f>J6*(100%-'Données projet'!$C$24)*(100%-'Données projet'!$C$25)*(100%-'Données projet'!$C$26)*(100%-'Données projet'!$C$27)</f>
        <v>134.28248601600001</v>
      </c>
      <c r="L6" s="150">
        <f ca="1">G6+I6+K6</f>
        <v>594.13429322376305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Sapin de Nordmann</v>
      </c>
      <c r="B7" s="152">
        <f>'Données projet'!D10</f>
        <v>0.77451600000000009</v>
      </c>
      <c r="C7" s="145">
        <f ca="1">IF(OR('Données projet'!B10="",'Données projet'!C10="",'Données projet'!C10=0%),0,Calculateur!AN3)</f>
        <v>174.18188687702559</v>
      </c>
      <c r="D7" s="145">
        <f>IF(OR('Données projet'!B10="",'Données projet'!C10="",'Données projet'!C10=0%),0,Calculateur!AO3)</f>
        <v>32.17353897322738</v>
      </c>
      <c r="E7" s="145">
        <f t="shared" ref="E7:E15" ca="1" si="0">MIN(C7,D7)</f>
        <v>32.17353897322738</v>
      </c>
      <c r="F7" s="145">
        <f t="shared" ref="F7:F15" ca="1" si="1">E7*B7</f>
        <v>24.918920711388182</v>
      </c>
      <c r="G7" s="145">
        <f ca="1">F7*(100%-'Données projet'!$C$24)*(100%-'Données projet'!$C$25)*(100%-'Données projet'!$C$26)*(100%-'Données projet'!$C$27)</f>
        <v>22.427028640249365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22.427028640249365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Douglas</v>
      </c>
      <c r="B8" s="152">
        <f>'Données projet'!D11</f>
        <v>0.23233899999999999</v>
      </c>
      <c r="C8" s="145">
        <f ca="1">IF(OR('Données projet'!B11="",'Données projet'!C11="",'Données projet'!C11=0%),0,Calculateur!BI3)</f>
        <v>350.01600895263641</v>
      </c>
      <c r="D8" s="145">
        <f>IF(OR('Données projet'!B11="",'Données projet'!C11="",'Données projet'!C11=0%),0,Calculateur!BJ3)</f>
        <v>464.08921044376882</v>
      </c>
      <c r="E8" s="145">
        <f t="shared" ca="1" si="0"/>
        <v>350.01600895263641</v>
      </c>
      <c r="F8" s="145">
        <f t="shared" ca="1" si="1"/>
        <v>81.322369504046591</v>
      </c>
      <c r="G8" s="145">
        <f ca="1">F8*(100%-'Données projet'!$C$24)*(100%-'Données projet'!$C$25)*(100%-'Données projet'!$C$26)*(100%-'Données projet'!$C$27)</f>
        <v>73.190132553641931</v>
      </c>
      <c r="H8" s="153">
        <f>IF(OR('Données projet'!B11="",'Données projet'!C11="",'Données projet'!C11=0%),0,AVERAGE(Calculateur!$BS$3:$BS$33)*B8)</f>
        <v>2.454319647422746</v>
      </c>
      <c r="I8" s="147">
        <f>H8*(100%-'Données projet'!$C$24)*(100%-'Données projet'!$C$25)*(100%-'Données projet'!$C$26)*(100%-'Données projet'!$C$27)</f>
        <v>2.2088876826804715</v>
      </c>
      <c r="J8" s="148">
        <f>IF(OR('Données projet'!B11="",'Données projet'!C11="",'Données projet'!C11=0%),0,SUM(Calculateur!$BL$3:$BL$33)*VLOOKUP('Données projet'!$B$11,Paramètres!$A$1:$I$89,9,0)*B8)</f>
        <v>20.6984774286</v>
      </c>
      <c r="K8" s="149">
        <f>J8*(100%-'Données projet'!$C$24)*(100%-'Données projet'!$C$25)*(100%-'Données projet'!$C$26)*(100%-'Données projet'!$C$27)</f>
        <v>18.628629685740002</v>
      </c>
      <c r="L8" s="150">
        <f t="shared" ca="1" si="2"/>
        <v>94.027649922062409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sycomore</v>
      </c>
      <c r="B9" s="152">
        <f>'Données projet'!D12</f>
        <v>2.2460490000000002</v>
      </c>
      <c r="C9" s="145">
        <f ca="1">IF(OR('Données projet'!B12="",'Données projet'!C12="",'Données projet'!C12=0%),0,Calculateur!CD3)</f>
        <v>279.49721661620544</v>
      </c>
      <c r="D9" s="145">
        <f>IF(OR('Données projet'!B12="",'Données projet'!C12="",'Données projet'!C12=0%),0,Calculateur!CE3)</f>
        <v>275.18739333988754</v>
      </c>
      <c r="E9" s="145">
        <f t="shared" ca="1" si="0"/>
        <v>275.18739333988754</v>
      </c>
      <c r="F9" s="145">
        <f t="shared" ca="1" si="1"/>
        <v>618.08436962366113</v>
      </c>
      <c r="G9" s="145">
        <f ca="1">F9*(100%-'Données projet'!$C$24)*(100%-'Données projet'!$C$25)*(100%-'Données projet'!$C$26)*(100%-'Données projet'!$C$27)</f>
        <v>556.27593266129509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76.927178250000011</v>
      </c>
      <c r="K9" s="149">
        <f>J9*(100%-'Données projet'!$C$24)*(100%-'Données projet'!$C$25)*(100%-'Données projet'!$C$26)*(100%-'Données projet'!$C$27)</f>
        <v>69.234460425000009</v>
      </c>
      <c r="L9" s="150">
        <f t="shared" ca="1" si="2"/>
        <v>625.51039308629515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pubescent</v>
      </c>
      <c r="B10" s="152">
        <f>'Données projet'!D13</f>
        <v>0.77451600000000009</v>
      </c>
      <c r="C10" s="145">
        <f ca="1">IF(OR('Données projet'!B13="",'Données projet'!C13="",'Données projet'!C13=0%),0,Calculateur!CY3)</f>
        <v>402.54350692668021</v>
      </c>
      <c r="D10" s="145">
        <f>IF(OR('Données projet'!B13="",'Données projet'!C13="",'Données projet'!C13=0%),0,Calculateur!CZ3)</f>
        <v>163.60655196884522</v>
      </c>
      <c r="E10" s="145">
        <f t="shared" ca="1" si="0"/>
        <v>163.60655196884522</v>
      </c>
      <c r="F10" s="145">
        <f t="shared" ca="1" si="1"/>
        <v>126.71589220470214</v>
      </c>
      <c r="G10" s="145">
        <f ca="1">F10*(100%-'Données projet'!$C$24)*(100%-'Données projet'!$C$25)*(100%-'Données projet'!$C$26)*(100%-'Données projet'!$C$27)</f>
        <v>114.04430298423193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114.04430298423193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Hêtre</v>
      </c>
      <c r="B11" s="152">
        <f>'Données projet'!D14</f>
        <v>0.38725800000000005</v>
      </c>
      <c r="C11" s="145">
        <f ca="1">IF(OR('Données projet'!B14="",'Données projet'!C14="",'Données projet'!C14=0%),0,Calculateur!DT3)</f>
        <v>352.76625414822473</v>
      </c>
      <c r="D11" s="145">
        <f>IF(OR('Données projet'!B14="",'Données projet'!C14="",'Données projet'!C14=0%),0,Calculateur!DU3)</f>
        <v>186.48649111821521</v>
      </c>
      <c r="E11" s="145">
        <f t="shared" ca="1" si="0"/>
        <v>186.48649111821521</v>
      </c>
      <c r="F11" s="145">
        <f t="shared" ca="1" si="1"/>
        <v>72.218385577457795</v>
      </c>
      <c r="G11" s="145">
        <f ca="1">F11*(100%-'Données projet'!$C$24)*(100%-'Données projet'!$C$25)*(100%-'Données projet'!$C$26)*(100%-'Données projet'!$C$27)</f>
        <v>64.996547019712011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3.3885075000000002</v>
      </c>
      <c r="K11" s="149">
        <f>J11*(100%-'Données projet'!$C$24)*(100%-'Données projet'!$C$25)*(100%-'Données projet'!$C$26)*(100%-'Données projet'!$C$27)</f>
        <v>3.0496567500000005</v>
      </c>
      <c r="L11" s="150">
        <f t="shared" ca="1" si="2"/>
        <v>68.046203769712008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Merisier</v>
      </c>
      <c r="B12" s="152">
        <f>'Données projet'!D15</f>
        <v>0.38725800000000005</v>
      </c>
      <c r="C12" s="145">
        <f ca="1">IF(OR('Données projet'!B15="",'Données projet'!C15="",'Données projet'!C15=0%),0,Calculateur!EO3)</f>
        <v>130.66539383144681</v>
      </c>
      <c r="D12" s="145">
        <f>IF(OR('Données projet'!B15="",'Données projet'!C15="",'Données projet'!C15=0%),0,Calculateur!EP3)</f>
        <v>126.36398121441903</v>
      </c>
      <c r="E12" s="145">
        <f t="shared" ca="1" si="0"/>
        <v>126.36398121441903</v>
      </c>
      <c r="F12" s="145">
        <f t="shared" ca="1" si="1"/>
        <v>48.93546263713349</v>
      </c>
      <c r="G12" s="145">
        <f ca="1">F12*(100%-'Données projet'!$C$24)*(100%-'Données projet'!$C$25)*(100%-'Données projet'!$C$26)*(100%-'Données projet'!$C$27)</f>
        <v>44.041916373420143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3.4133317314072138</v>
      </c>
      <c r="K12" s="149">
        <f>J12*(100%-'Données projet'!$C$24)*(100%-'Données projet'!$C$25)*(100%-'Données projet'!$C$26)*(100%-'Données projet'!$C$27)</f>
        <v>3.0719985582664924</v>
      </c>
      <c r="L12" s="150">
        <f t="shared" ca="1" si="2"/>
        <v>47.113914931686637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Alisier torminal</v>
      </c>
      <c r="B13" s="152">
        <f>'Données projet'!D16</f>
        <v>0.38725800000000005</v>
      </c>
      <c r="C13" s="145">
        <f ca="1">IF(OR('Données projet'!B16="",'Données projet'!C16="",'Données projet'!C16=0%),0,Calculateur!FJ3)</f>
        <v>380.43199889536805</v>
      </c>
      <c r="D13" s="145">
        <f>IF(OR('Données projet'!B16="",'Données projet'!C16="",'Données projet'!C16=0%),0,Calculateur!FK3)</f>
        <v>154.72646317672996</v>
      </c>
      <c r="E13" s="145">
        <f t="shared" ca="1" si="0"/>
        <v>154.72646317672996</v>
      </c>
      <c r="F13" s="145">
        <f t="shared" ca="1" si="1"/>
        <v>59.919060676894098</v>
      </c>
      <c r="G13" s="145">
        <f ca="1">F13*(100%-'Données projet'!$C$24)*(100%-'Données projet'!$C$25)*(100%-'Données projet'!$C$26)*(100%-'Données projet'!$C$27)</f>
        <v>53.927154609204692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ca="1" si="2"/>
        <v>53.927154609204692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1518.5428870194185</v>
      </c>
      <c r="G16" s="164">
        <f t="shared" ca="1" si="3"/>
        <v>1366.688598317477</v>
      </c>
      <c r="H16" s="165">
        <f t="shared" si="3"/>
        <v>26.972346016357747</v>
      </c>
      <c r="I16" s="165">
        <f t="shared" si="3"/>
        <v>24.275111414721973</v>
      </c>
      <c r="J16" s="166">
        <f t="shared" si="3"/>
        <v>253.63025715000722</v>
      </c>
      <c r="K16" s="166">
        <f t="shared" si="3"/>
        <v>228.26723143500652</v>
      </c>
      <c r="L16" s="167">
        <f t="shared" ca="1" si="3"/>
        <v>1619.2309411672054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Sapin de Nordmann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Hêtre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Mélèze d'Europe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808.95338109849308</v>
      </c>
      <c r="U10" s="176">
        <f>'Données projet'!D9</f>
        <v>2.7108060000000003</v>
      </c>
      <c r="V10" s="175">
        <f>U10*T10</f>
        <v>2192.9156792020817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Sapin de Nordmann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-1802.331478275283</v>
      </c>
      <c r="U11" s="176">
        <f>'Données projet'!D10</f>
        <v>0.77451600000000009</v>
      </c>
      <c r="V11" s="175">
        <f t="shared" ref="V11" si="0">U11*T11</f>
        <v>-1395.9345672278591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Douglas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7288.1600150768772</v>
      </c>
      <c r="U12" s="176">
        <f>'Données projet'!D11</f>
        <v>0.23233899999999999</v>
      </c>
      <c r="V12" s="175">
        <f t="shared" ref="V12:V19" si="1">U12*T12</f>
        <v>1693.3238097429464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sycomore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-1200.5045845078878</v>
      </c>
      <c r="U13" s="176">
        <f>'Données projet'!D12</f>
        <v>2.2460490000000002</v>
      </c>
      <c r="V13" s="175">
        <f t="shared" si="1"/>
        <v>-2696.3921215293572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Mélèze d'Europe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pubescent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1126.3156517502819</v>
      </c>
      <c r="U14" s="176">
        <f>'Données projet'!D13</f>
        <v>0.77451600000000009</v>
      </c>
      <c r="V14" s="175">
        <f t="shared" si="1"/>
        <v>872.34949333102145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Hêtre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-1459.2115291379378</v>
      </c>
      <c r="U15" s="176">
        <f>'Données projet'!D14</f>
        <v>0.38725800000000005</v>
      </c>
      <c r="V15" s="175">
        <f t="shared" si="1"/>
        <v>-565.0913383508996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40</v>
      </c>
      <c r="O16" s="23"/>
      <c r="P16" s="23"/>
      <c r="Q16" s="232"/>
      <c r="R16" s="23"/>
      <c r="S16" s="36" t="str">
        <f>B200</f>
        <v>Merisier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-2958.4626758069699</v>
      </c>
      <c r="U16" s="176">
        <f>'Données projet'!D15</f>
        <v>0.38725800000000005</v>
      </c>
      <c r="V16" s="175">
        <f t="shared" si="1"/>
        <v>-1145.6883389076556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2496.34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>Alisier torminal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-2441.7188900158922</v>
      </c>
      <c r="U17" s="176">
        <f>'Données projet'!D16</f>
        <v>0.38725800000000005</v>
      </c>
      <c r="V17" s="175">
        <f t="shared" si="1"/>
        <v>-945.57517390977443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10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400.00000000000023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7660.1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18</v>
      </c>
      <c r="B23" s="179">
        <f>'Données projet'!D36</f>
        <v>20</v>
      </c>
      <c r="C23" s="191">
        <v>20</v>
      </c>
      <c r="D23" s="180">
        <f>B23*C23</f>
        <v>400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-62504.882557649507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21</v>
      </c>
      <c r="B24" s="179">
        <f>'Données projet'!D37</f>
        <v>26</v>
      </c>
      <c r="C24" s="191">
        <v>20</v>
      </c>
      <c r="D24" s="180">
        <f t="shared" ref="D24:D42" si="2">B24*C24</f>
        <v>520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543.2946954362161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29</v>
      </c>
      <c r="C25" s="191">
        <v>20</v>
      </c>
      <c r="D25" s="180">
        <f t="shared" si="2"/>
        <v>580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-63048.177253085727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53</v>
      </c>
      <c r="C26" s="191">
        <v>60</v>
      </c>
      <c r="D26" s="180">
        <f t="shared" si="2"/>
        <v>3180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62</v>
      </c>
      <c r="C27" s="191">
        <v>60</v>
      </c>
      <c r="D27" s="180">
        <f t="shared" si="2"/>
        <v>3720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67</v>
      </c>
      <c r="C28" s="191">
        <v>60</v>
      </c>
      <c r="D28" s="180">
        <f t="shared" si="2"/>
        <v>4020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65</v>
      </c>
      <c r="C29" s="191">
        <v>60</v>
      </c>
      <c r="D29" s="180">
        <f t="shared" si="2"/>
        <v>3900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60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Sapin de Nordmann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3381.74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45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103.29</v>
      </c>
      <c r="C57" s="189">
        <v>45</v>
      </c>
      <c r="D57" s="177">
        <f t="shared" si="4"/>
        <v>4648.05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60</v>
      </c>
      <c r="B59" s="179">
        <f>'Données projet'!D67</f>
        <v>143.41999999999999</v>
      </c>
      <c r="C59" s="189">
        <v>45</v>
      </c>
      <c r="D59" s="177">
        <f t="shared" si="4"/>
        <v>6453.9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65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70</v>
      </c>
      <c r="B61" s="179">
        <f>'Données projet'!D69</f>
        <v>114.55</v>
      </c>
      <c r="C61" s="189">
        <v>45</v>
      </c>
      <c r="D61" s="177">
        <f t="shared" si="4"/>
        <v>5154.75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75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80</v>
      </c>
      <c r="B63" s="179">
        <f>'Données projet'!D71</f>
        <v>87.34</v>
      </c>
      <c r="C63" s="189">
        <v>45</v>
      </c>
      <c r="D63" s="177">
        <f t="shared" si="4"/>
        <v>3930.3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85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90</v>
      </c>
      <c r="B65" s="179">
        <f>'Données projet'!D73</f>
        <v>63.34</v>
      </c>
      <c r="C65" s="189">
        <v>45</v>
      </c>
      <c r="D65" s="177">
        <f t="shared" si="4"/>
        <v>2850.3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95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100</v>
      </c>
      <c r="B67" s="179">
        <f>'Données projet'!D75</f>
        <v>193.84</v>
      </c>
      <c r="C67" s="189">
        <v>45</v>
      </c>
      <c r="D67" s="177">
        <f t="shared" si="4"/>
        <v>8722.7999999999993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105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110</v>
      </c>
      <c r="B69" s="179">
        <f>'Données projet'!D77</f>
        <v>139.02000000000001</v>
      </c>
      <c r="C69" s="189">
        <v>45</v>
      </c>
      <c r="D69" s="177">
        <f t="shared" si="4"/>
        <v>6255.9000000000005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115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120</v>
      </c>
      <c r="B71" s="179">
        <f>'Données projet'!D79</f>
        <v>180.97</v>
      </c>
      <c r="C71" s="189">
        <v>45</v>
      </c>
      <c r="D71" s="177">
        <f t="shared" si="4"/>
        <v>8143.65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Douglas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3218.4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17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18</v>
      </c>
      <c r="B86" s="179">
        <f>'Données projet'!D89</f>
        <v>74.819999999999993</v>
      </c>
      <c r="C86" s="189">
        <v>20</v>
      </c>
      <c r="D86" s="177">
        <f t="shared" ref="D86:D104" si="6">B86*C86</f>
        <v>1496.3999999999999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24</v>
      </c>
      <c r="B87" s="179">
        <f>'Données projet'!D90</f>
        <v>51.39</v>
      </c>
      <c r="C87" s="189">
        <v>20</v>
      </c>
      <c r="D87" s="177">
        <f t="shared" si="6"/>
        <v>1027.8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80.97</v>
      </c>
      <c r="C88" s="189">
        <v>72</v>
      </c>
      <c r="D88" s="177">
        <f t="shared" si="6"/>
        <v>5829.84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str">
        <f>IF(O87+1&lt;=MIN('Données projet'!$E$9:$E$18),O87+1,"STOP")</f>
        <v>STOP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36</v>
      </c>
      <c r="B89" s="179">
        <f>'Données projet'!D92</f>
        <v>85.88</v>
      </c>
      <c r="C89" s="189">
        <v>72</v>
      </c>
      <c r="D89" s="177">
        <f t="shared" si="6"/>
        <v>6183.36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42</v>
      </c>
      <c r="B90" s="179">
        <f>'Données projet'!D93</f>
        <v>91.25</v>
      </c>
      <c r="C90" s="189">
        <v>72</v>
      </c>
      <c r="D90" s="177">
        <f t="shared" si="6"/>
        <v>6570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48</v>
      </c>
      <c r="B91" s="179">
        <f>'Données projet'!D94</f>
        <v>101.34</v>
      </c>
      <c r="C91" s="189">
        <v>72</v>
      </c>
      <c r="D91" s="177">
        <f t="shared" si="6"/>
        <v>7296.4800000000005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54</v>
      </c>
      <c r="B92" s="179">
        <f>'Données projet'!D95</f>
        <v>707.75</v>
      </c>
      <c r="C92" s="189">
        <v>72</v>
      </c>
      <c r="D92" s="177">
        <f t="shared" si="6"/>
        <v>50958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sycomore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3858.54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32</v>
      </c>
      <c r="C117" s="189">
        <v>20</v>
      </c>
      <c r="D117" s="177">
        <f t="shared" ref="D117:D135" si="8">B117*C117</f>
        <v>640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35</v>
      </c>
      <c r="C118" s="189">
        <v>20</v>
      </c>
      <c r="D118" s="177">
        <f t="shared" si="8"/>
        <v>700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35</v>
      </c>
      <c r="C119" s="189">
        <v>20</v>
      </c>
      <c r="D119" s="177">
        <f t="shared" si="8"/>
        <v>700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35</v>
      </c>
      <c r="C120" s="189">
        <v>55</v>
      </c>
      <c r="D120" s="177">
        <f t="shared" si="8"/>
        <v>1925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35</v>
      </c>
      <c r="C121" s="189">
        <v>55</v>
      </c>
      <c r="D121" s="177">
        <f t="shared" si="8"/>
        <v>1925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35</v>
      </c>
      <c r="C122" s="189">
        <v>55</v>
      </c>
      <c r="D122" s="177">
        <f t="shared" si="8"/>
        <v>1925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24</v>
      </c>
      <c r="C123" s="189">
        <v>55</v>
      </c>
      <c r="D123" s="177">
        <f t="shared" si="8"/>
        <v>1320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19</v>
      </c>
      <c r="C124" s="189">
        <v>55</v>
      </c>
      <c r="D124" s="177">
        <f t="shared" si="8"/>
        <v>1045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16</v>
      </c>
      <c r="C125" s="189">
        <v>55</v>
      </c>
      <c r="D125" s="177">
        <f t="shared" si="8"/>
        <v>880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14</v>
      </c>
      <c r="C126" s="189">
        <v>55</v>
      </c>
      <c r="D126" s="177">
        <f t="shared" si="8"/>
        <v>770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13</v>
      </c>
      <c r="C127" s="189">
        <v>55</v>
      </c>
      <c r="D127" s="177">
        <f t="shared" si="8"/>
        <v>715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13</v>
      </c>
      <c r="C128" s="189">
        <v>55</v>
      </c>
      <c r="D128" s="177">
        <f t="shared" si="8"/>
        <v>715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12</v>
      </c>
      <c r="C129" s="189">
        <v>55</v>
      </c>
      <c r="D129" s="177">
        <f t="shared" si="8"/>
        <v>660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11</v>
      </c>
      <c r="C130" s="189">
        <v>55</v>
      </c>
      <c r="D130" s="177">
        <f t="shared" si="8"/>
        <v>605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pubescent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5043.55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44</v>
      </c>
      <c r="B148" s="173">
        <f>'Données projet'!D141</f>
        <v>74.010000000000005</v>
      </c>
      <c r="C148" s="189">
        <v>235</v>
      </c>
      <c r="D148" s="180">
        <f t="shared" ref="D148:D166" si="10">B148*C148</f>
        <v>17392.350000000002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51</v>
      </c>
      <c r="B149" s="173">
        <f>'Données projet'!D142</f>
        <v>46.13</v>
      </c>
      <c r="C149" s="189">
        <v>235</v>
      </c>
      <c r="D149" s="180">
        <f t="shared" si="10"/>
        <v>10840.550000000001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59</v>
      </c>
      <c r="B150" s="173">
        <f>'Données projet'!D143</f>
        <v>48.96</v>
      </c>
      <c r="C150" s="189">
        <v>235</v>
      </c>
      <c r="D150" s="180">
        <f t="shared" si="10"/>
        <v>11505.6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67</v>
      </c>
      <c r="B151" s="173">
        <f>'Données projet'!D144</f>
        <v>40.630000000000003</v>
      </c>
      <c r="C151" s="189">
        <v>235</v>
      </c>
      <c r="D151" s="180">
        <f t="shared" si="10"/>
        <v>9548.0500000000011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3">
        <f>'Données projet'!D145</f>
        <v>39.54</v>
      </c>
      <c r="C152" s="189">
        <v>235</v>
      </c>
      <c r="D152" s="180">
        <f t="shared" si="10"/>
        <v>9291.9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3">
        <f>'Données projet'!D146</f>
        <v>44.89</v>
      </c>
      <c r="C153" s="189">
        <v>235</v>
      </c>
      <c r="D153" s="180">
        <f t="shared" si="10"/>
        <v>10549.15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93</v>
      </c>
      <c r="B154" s="173">
        <f>'Données projet'!D147</f>
        <v>38.57</v>
      </c>
      <c r="C154" s="189">
        <v>235</v>
      </c>
      <c r="D154" s="180">
        <f t="shared" si="10"/>
        <v>9063.9500000000007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103</v>
      </c>
      <c r="B155" s="173">
        <f>'Données projet'!D148</f>
        <v>50.51</v>
      </c>
      <c r="C155" s="189">
        <v>235</v>
      </c>
      <c r="D155" s="180">
        <f t="shared" si="10"/>
        <v>11869.85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113</v>
      </c>
      <c r="B156" s="173">
        <f>'Données projet'!D149</f>
        <v>40.479999999999997</v>
      </c>
      <c r="C156" s="189">
        <v>235</v>
      </c>
      <c r="D156" s="180">
        <f t="shared" si="10"/>
        <v>9512.7999999999993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125</v>
      </c>
      <c r="B157" s="173">
        <f>'Données projet'!D150</f>
        <v>61.5</v>
      </c>
      <c r="C157" s="189">
        <v>235</v>
      </c>
      <c r="D157" s="180">
        <f t="shared" si="10"/>
        <v>14452.5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137</v>
      </c>
      <c r="B158" s="173">
        <f>'Données projet'!D151</f>
        <v>65.53</v>
      </c>
      <c r="C158" s="189">
        <v>235</v>
      </c>
      <c r="D158" s="180">
        <f t="shared" si="10"/>
        <v>15399.550000000001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149</v>
      </c>
      <c r="B159" s="173">
        <f>'Données projet'!D152</f>
        <v>153.56</v>
      </c>
      <c r="C159" s="189">
        <v>235</v>
      </c>
      <c r="D159" s="180">
        <f t="shared" si="10"/>
        <v>36086.6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153</v>
      </c>
      <c r="B160" s="173">
        <f>'Données projet'!D153</f>
        <v>89.29</v>
      </c>
      <c r="C160" s="189">
        <v>235</v>
      </c>
      <c r="D160" s="180">
        <f t="shared" si="10"/>
        <v>20983.15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157</v>
      </c>
      <c r="B161" s="173">
        <f>'Données projet'!D154</f>
        <v>57.95</v>
      </c>
      <c r="C161" s="189">
        <v>235</v>
      </c>
      <c r="D161" s="180">
        <f t="shared" si="10"/>
        <v>13618.25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161</v>
      </c>
      <c r="B162" s="173">
        <f>'Données projet'!D155</f>
        <v>115.43</v>
      </c>
      <c r="C162" s="189">
        <v>235</v>
      </c>
      <c r="D162" s="180">
        <f t="shared" si="10"/>
        <v>27126.050000000003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Hêtre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3531.57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7</v>
      </c>
      <c r="C179" s="191">
        <v>20</v>
      </c>
      <c r="D179" s="177">
        <f t="shared" ref="D179:D197" si="11">B179*C179</f>
        <v>140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28</v>
      </c>
      <c r="C180" s="191">
        <v>55</v>
      </c>
      <c r="D180" s="177">
        <f t="shared" si="11"/>
        <v>1540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28</v>
      </c>
      <c r="C181" s="191">
        <v>55</v>
      </c>
      <c r="D181" s="177">
        <f t="shared" si="11"/>
        <v>1540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28</v>
      </c>
      <c r="C182" s="191">
        <v>55</v>
      </c>
      <c r="D182" s="177">
        <f t="shared" si="11"/>
        <v>1540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28</v>
      </c>
      <c r="C183" s="191">
        <v>55</v>
      </c>
      <c r="D183" s="177">
        <f t="shared" si="11"/>
        <v>1540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28</v>
      </c>
      <c r="C184" s="191">
        <v>55</v>
      </c>
      <c r="D184" s="177">
        <f t="shared" si="11"/>
        <v>1540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28</v>
      </c>
      <c r="C185" s="191">
        <v>55</v>
      </c>
      <c r="D185" s="177">
        <f t="shared" si="11"/>
        <v>1540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28</v>
      </c>
      <c r="C186" s="191">
        <v>55</v>
      </c>
      <c r="D186" s="177">
        <f t="shared" si="11"/>
        <v>1540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28</v>
      </c>
      <c r="C187" s="191">
        <v>55</v>
      </c>
      <c r="D187" s="177">
        <f t="shared" si="11"/>
        <v>1540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28</v>
      </c>
      <c r="C188" s="191">
        <v>55</v>
      </c>
      <c r="D188" s="177">
        <f t="shared" si="11"/>
        <v>1540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28</v>
      </c>
      <c r="C189" s="191">
        <v>55</v>
      </c>
      <c r="D189" s="177">
        <f t="shared" si="11"/>
        <v>1540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28</v>
      </c>
      <c r="C190" s="191">
        <v>55</v>
      </c>
      <c r="D190" s="177">
        <f t="shared" si="11"/>
        <v>1540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85</v>
      </c>
      <c r="B191" s="179">
        <f>'Données projet'!D179</f>
        <v>27</v>
      </c>
      <c r="C191" s="191">
        <v>55</v>
      </c>
      <c r="D191" s="177">
        <f t="shared" si="11"/>
        <v>1485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90</v>
      </c>
      <c r="B192" s="179">
        <f>'Données projet'!D180</f>
        <v>26</v>
      </c>
      <c r="C192" s="191">
        <v>55</v>
      </c>
      <c r="D192" s="177">
        <f t="shared" si="11"/>
        <v>1430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95</v>
      </c>
      <c r="B193" s="179">
        <f>'Données projet'!D181</f>
        <v>25</v>
      </c>
      <c r="C193" s="191">
        <v>55</v>
      </c>
      <c r="D193" s="177">
        <f t="shared" si="11"/>
        <v>1375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100</v>
      </c>
      <c r="B194" s="179">
        <f>'Données projet'!D182</f>
        <v>24</v>
      </c>
      <c r="C194" s="191">
        <v>55</v>
      </c>
      <c r="D194" s="177">
        <f t="shared" si="11"/>
        <v>1320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105</v>
      </c>
      <c r="B195" s="179">
        <f>'Données projet'!D183</f>
        <v>23</v>
      </c>
      <c r="C195" s="191">
        <v>55</v>
      </c>
      <c r="D195" s="177">
        <f t="shared" si="11"/>
        <v>1265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110</v>
      </c>
      <c r="B196" s="179">
        <f>'Données projet'!D184</f>
        <v>22</v>
      </c>
      <c r="C196" s="191">
        <v>55</v>
      </c>
      <c r="D196" s="177">
        <f t="shared" si="11"/>
        <v>1210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115</v>
      </c>
      <c r="B197" s="179">
        <f>'Données projet'!D185</f>
        <v>22</v>
      </c>
      <c r="C197" s="191">
        <v>55</v>
      </c>
      <c r="D197" s="177">
        <f t="shared" si="11"/>
        <v>1210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Merisier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4307.99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1.923076923</v>
      </c>
      <c r="C209" s="191">
        <v>20</v>
      </c>
      <c r="D209" s="177">
        <f>B209*C209</f>
        <v>38.46153846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16.025641029999999</v>
      </c>
      <c r="C210" s="191">
        <v>20</v>
      </c>
      <c r="D210" s="177">
        <f t="shared" ref="D210:D228" si="12">B210*C210</f>
        <v>320.5128206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17.30769231</v>
      </c>
      <c r="C211" s="191">
        <v>20</v>
      </c>
      <c r="D211" s="177">
        <f t="shared" si="12"/>
        <v>346.15384619999998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31</v>
      </c>
      <c r="B212" s="179">
        <f>'Données projet'!D195</f>
        <v>23.07692308</v>
      </c>
      <c r="C212" s="191">
        <v>55</v>
      </c>
      <c r="D212" s="177">
        <f t="shared" si="12"/>
        <v>1269.2307694000001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37</v>
      </c>
      <c r="B213" s="179">
        <f>'Données projet'!D196</f>
        <v>23.07692308</v>
      </c>
      <c r="C213" s="191">
        <v>55</v>
      </c>
      <c r="D213" s="177">
        <f t="shared" si="12"/>
        <v>1269.2307694000001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44</v>
      </c>
      <c r="B214" s="179">
        <f>'Données projet'!D197</f>
        <v>27.564102559999998</v>
      </c>
      <c r="C214" s="191">
        <v>55</v>
      </c>
      <c r="D214" s="177">
        <f t="shared" si="12"/>
        <v>1516.0256408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52</v>
      </c>
      <c r="B215" s="179">
        <f>'Données projet'!D198</f>
        <v>30.76923077</v>
      </c>
      <c r="C215" s="191">
        <v>55</v>
      </c>
      <c r="D215" s="177">
        <f t="shared" si="12"/>
        <v>1692.30769235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60</v>
      </c>
      <c r="B216" s="179">
        <f>'Données projet'!D199</f>
        <v>30.128205130000001</v>
      </c>
      <c r="C216" s="191">
        <v>55</v>
      </c>
      <c r="D216" s="177">
        <f t="shared" si="12"/>
        <v>1657.0512821500001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69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Alisier torminal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3885.73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30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44</v>
      </c>
      <c r="B241" s="179">
        <f>'Données projet'!D219</f>
        <v>74.010000000000005</v>
      </c>
      <c r="C241" s="191">
        <v>55</v>
      </c>
      <c r="D241" s="177">
        <f t="shared" ref="D241:D259" si="13">B241*C241</f>
        <v>4070.55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51</v>
      </c>
      <c r="B242" s="179">
        <f>'Données projet'!D220</f>
        <v>46.13</v>
      </c>
      <c r="C242" s="191">
        <v>55</v>
      </c>
      <c r="D242" s="177">
        <f t="shared" si="13"/>
        <v>2537.15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59</v>
      </c>
      <c r="B243" s="179">
        <f>'Données projet'!D221</f>
        <v>48.96</v>
      </c>
      <c r="C243" s="191">
        <v>55</v>
      </c>
      <c r="D243" s="177">
        <f t="shared" si="13"/>
        <v>2692.8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67</v>
      </c>
      <c r="B244" s="179">
        <f>'Données projet'!D222</f>
        <v>40.630000000000003</v>
      </c>
      <c r="C244" s="191">
        <v>55</v>
      </c>
      <c r="D244" s="177">
        <f t="shared" si="13"/>
        <v>2234.65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75</v>
      </c>
      <c r="B245" s="179">
        <f>'Données projet'!D223</f>
        <v>39.54</v>
      </c>
      <c r="C245" s="191">
        <v>55</v>
      </c>
      <c r="D245" s="177">
        <f t="shared" si="13"/>
        <v>2174.6999999999998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84</v>
      </c>
      <c r="B246" s="179">
        <f>'Données projet'!D224</f>
        <v>44.89</v>
      </c>
      <c r="C246" s="191">
        <v>55</v>
      </c>
      <c r="D246" s="177">
        <f t="shared" si="13"/>
        <v>2468.9499999999998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93</v>
      </c>
      <c r="B247" s="179">
        <f>'Données projet'!D225</f>
        <v>38.57</v>
      </c>
      <c r="C247" s="191">
        <v>55</v>
      </c>
      <c r="D247" s="177">
        <f t="shared" si="13"/>
        <v>2121.35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103</v>
      </c>
      <c r="B248" s="179">
        <f>'Données projet'!D226</f>
        <v>50.51</v>
      </c>
      <c r="C248" s="191">
        <v>55</v>
      </c>
      <c r="D248" s="177">
        <f t="shared" si="13"/>
        <v>2778.0499999999997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113</v>
      </c>
      <c r="B249" s="179">
        <f>'Données projet'!D227</f>
        <v>40.479999999999997</v>
      </c>
      <c r="C249" s="191">
        <v>55</v>
      </c>
      <c r="D249" s="177">
        <f t="shared" si="13"/>
        <v>2226.3999999999996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125</v>
      </c>
      <c r="B250" s="179">
        <f>'Données projet'!D228</f>
        <v>61.5</v>
      </c>
      <c r="C250" s="191">
        <v>55</v>
      </c>
      <c r="D250" s="177">
        <f t="shared" si="13"/>
        <v>3382.5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137</v>
      </c>
      <c r="B251" s="179">
        <f>'Données projet'!D229</f>
        <v>65.53</v>
      </c>
      <c r="C251" s="191">
        <v>55</v>
      </c>
      <c r="D251" s="177">
        <f t="shared" si="13"/>
        <v>3604.15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149</v>
      </c>
      <c r="B252" s="179">
        <f>'Données projet'!D230</f>
        <v>153.56</v>
      </c>
      <c r="C252" s="191">
        <v>55</v>
      </c>
      <c r="D252" s="177">
        <f t="shared" si="13"/>
        <v>8445.7999999999993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153</v>
      </c>
      <c r="B253" s="179">
        <f>'Données projet'!D231</f>
        <v>89.29</v>
      </c>
      <c r="C253" s="191">
        <v>55</v>
      </c>
      <c r="D253" s="177">
        <f t="shared" si="13"/>
        <v>4910.9500000000007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157</v>
      </c>
      <c r="B254" s="179">
        <f>'Données projet'!D232</f>
        <v>57.95</v>
      </c>
      <c r="C254" s="191">
        <v>55</v>
      </c>
      <c r="D254" s="177">
        <f t="shared" si="13"/>
        <v>3187.25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161</v>
      </c>
      <c r="B255" s="179">
        <f>'Données projet'!D233</f>
        <v>115.43</v>
      </c>
      <c r="C255" s="191">
        <v>55</v>
      </c>
      <c r="D255" s="177">
        <f t="shared" si="13"/>
        <v>6348.6500000000005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2025-06-30T08:59:31Z</dcterms:modified>
</cp:coreProperties>
</file>