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EST (CM)/2PRAF-123/Dossier/"/>
    </mc:Choice>
  </mc:AlternateContent>
  <xr:revisionPtr revIDLastSave="114" documentId="8_{0073CB2D-6C2F-4134-AB41-45495FEE790D}" xr6:coauthVersionLast="47" xr6:coauthVersionMax="47" xr10:uidLastSave="{F5DD276A-4128-4354-A27B-6A1F7D2E6AF2}"/>
  <bookViews>
    <workbookView xWindow="-108" yWindow="-108" windowWidth="23256" windowHeight="1389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7" l="1"/>
  <c r="E82" i="6"/>
  <c r="E80" i="6"/>
  <c r="E79" i="6"/>
  <c r="E81" i="6" s="1"/>
  <c r="C9" i="1"/>
  <c r="C10" i="1"/>
  <c r="E51" i="6" l="1"/>
  <c r="E49" i="6"/>
  <c r="E18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E50" i="6" l="1"/>
  <c r="E48" i="6"/>
  <c r="E17" i="6"/>
  <c r="E19" i="6" s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U30" i="6" l="1"/>
  <c r="U31" i="6"/>
  <c r="V10" i="6"/>
  <c r="I24" i="6"/>
  <c r="P67" i="6"/>
  <c r="H19" i="2"/>
  <c r="D20" i="2"/>
  <c r="G20" i="2" s="1"/>
  <c r="P40" i="6"/>
  <c r="U33" i="6" l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EY202" i="2"/>
  <c r="AX200" i="2"/>
  <c r="BC126" i="2" l="1" a="1"/>
  <c r="BC126" i="2" s="1"/>
  <c r="BC84" i="2" a="1"/>
  <c r="BC84" i="2" s="1"/>
  <c r="BC82" i="2" a="1"/>
  <c r="BC82" i="2" s="1"/>
  <c r="BC47" i="2" a="1"/>
  <c r="BC47" i="2" s="1"/>
  <c r="BC68" i="2" a="1"/>
  <c r="BC68" i="2" s="1"/>
  <c r="BX107" i="2" a="1"/>
  <c r="BX107" i="2" s="1"/>
  <c r="AH90" i="2" a="1"/>
  <c r="AH90" i="2" s="1"/>
  <c r="AH151" i="2" a="1"/>
  <c r="AH151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tc={28A7CC0F-D991-4928-938C-B5D581871AEB}</author>
    <author>tc={8131249B-5264-4CE2-8536-DB301268977E}</author>
    <author>tc={AED1880C-B096-4813-93B7-FD17A9A3721F}</author>
    <author>tc={8C0A4B39-B95E-463D-8E32-575A4BCDD94E}</author>
    <author>tc={C9D1C557-6F4F-41F6-8916-11DE98A8EC59}</author>
    <author>tc={4E15B899-BDCE-4AF1-B787-ADFCB0ADB9DA}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28A7CC0F-D991-4928-938C-B5D581871AE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8131249B-5264-4CE2-8536-DB301268977E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AED1880C-B096-4813-93B7-FD17A9A3721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8C0A4B39-B95E-463D-8E32-575A4BCDD94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C9D1C557-6F4F-41F6-8916-11DE98A8EC5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4E15B899-BDCE-4AF1-B787-ADFCB0ADB9D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<sst xmlns="http://schemas.openxmlformats.org/spreadsheetml/2006/main" count="1178" uniqueCount="329">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</sst>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38C5D8EF-7224-45D7-AE66-5FA07A8BF031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1.8640287764273715</c:v>
                </c:pt>
                <c:pt idx="2">
                  <c:v>2.2403406300750932</c:v>
                </c:pt>
                <c:pt idx="3">
                  <c:v>2.6929117978914889</c:v>
                </c:pt>
                <c:pt idx="4">
                  <c:v>3.2372516053740923</c:v>
                </c:pt>
                <c:pt idx="5">
                  <c:v>3.8920341923639565</c:v>
                </c:pt>
                <c:pt idx="6">
                  <c:v>4.6797463362061977</c:v>
                </c:pt>
                <c:pt idx="7">
                  <c:v>5.6274682635662172</c:v>
                </c:pt>
                <c:pt idx="8">
                  <c:v>6.7678148238020102</c:v>
                </c:pt>
                <c:pt idx="9">
                  <c:v>8.1400700445507415</c:v>
                </c:pt>
                <c:pt idx="10">
                  <c:v>9.7915549057905107</c:v>
                </c:pt>
                <c:pt idx="11">
                  <c:v>11.779276394053923</c:v>
                </c:pt>
                <c:pt idx="12">
                  <c:v>14.171915825890288</c:v>
                </c:pt>
                <c:pt idx="13">
                  <c:v>17.052226411955296</c:v>
                </c:pt>
                <c:pt idx="14">
                  <c:v>20.51992449638772</c:v>
                </c:pt>
                <c:pt idx="15">
                  <c:v>24.695176365073063</c:v>
                </c:pt>
                <c:pt idx="16">
                  <c:v>29.722803592594314</c:v>
                </c:pt>
                <c:pt idx="17">
                  <c:v>35.777355341924697</c:v>
                </c:pt>
                <c:pt idx="18">
                  <c:v>43.069226750108349</c:v>
                </c:pt>
                <c:pt idx="19">
                  <c:v>51.85203962276352</c:v>
                </c:pt>
                <c:pt idx="20">
                  <c:v>62.431546443546161</c:v>
                </c:pt>
                <c:pt idx="21">
                  <c:v>75.176372780355464</c:v>
                </c:pt>
                <c:pt idx="22">
                  <c:v>90.530978469341832</c:v>
                </c:pt>
                <c:pt idx="23">
                  <c:v>109.03129681397088</c:v>
                </c:pt>
                <c:pt idx="24">
                  <c:v>131.32360626855731</c:v>
                </c:pt>
                <c:pt idx="25">
                  <c:v>158.18730408988156</c:v>
                </c:pt>
                <c:pt idx="26">
                  <c:v>110.16783838299024</c:v>
                </c:pt>
                <c:pt idx="27">
                  <c:v>127.47740209498517</c:v>
                </c:pt>
                <c:pt idx="28">
                  <c:v>144.72997128258132</c:v>
                </c:pt>
                <c:pt idx="29">
                  <c:v>161.93330563088048</c:v>
                </c:pt>
                <c:pt idx="30">
                  <c:v>179.09337642660753</c:v>
                </c:pt>
                <c:pt idx="31">
                  <c:v>196.214914712987</c:v>
                </c:pt>
                <c:pt idx="32">
                  <c:v>213.30175713927812</c:v>
                </c:pt>
                <c:pt idx="33">
                  <c:v>172.025646560745</c:v>
                </c:pt>
                <c:pt idx="34">
                  <c:v>189.87670779481053</c:v>
                </c:pt>
                <c:pt idx="35">
                  <c:v>207.68866515368813</c:v>
                </c:pt>
                <c:pt idx="36">
                  <c:v>225.4653449494439</c:v>
                </c:pt>
                <c:pt idx="37">
                  <c:v>243.20992025308374</c:v>
                </c:pt>
                <c:pt idx="38">
                  <c:v>260.92506298760685</c:v>
                </c:pt>
                <c:pt idx="39">
                  <c:v>278.61305246523608</c:v>
                </c:pt>
                <c:pt idx="40">
                  <c:v>296.2758548734829</c:v>
                </c:pt>
                <c:pt idx="41">
                  <c:v>239.76770751057586</c:v>
                </c:pt>
                <c:pt idx="42">
                  <c:v>256.8271318916386</c:v>
                </c:pt>
                <c:pt idx="43">
                  <c:v>273.86093423683366</c:v>
                </c:pt>
                <c:pt idx="44">
                  <c:v>290.87093237144524</c:v>
                </c:pt>
                <c:pt idx="45">
                  <c:v>307.8587141069433</c:v>
                </c:pt>
                <c:pt idx="46">
                  <c:v>324.8256776994553</c:v>
                </c:pt>
                <c:pt idx="47">
                  <c:v>341.77306340643787</c:v>
                </c:pt>
                <c:pt idx="48">
                  <c:v>358.70197845336497</c:v>
                </c:pt>
                <c:pt idx="49">
                  <c:v>375.61341703894681</c:v>
                </c:pt>
                <c:pt idx="50">
                  <c:v>392.50827654831147</c:v>
                </c:pt>
                <c:pt idx="51">
                  <c:v>319.37050265005104</c:v>
                </c:pt>
                <c:pt idx="52">
                  <c:v>334.52134793211144</c:v>
                </c:pt>
                <c:pt idx="53">
                  <c:v>349.65707861306277</c:v>
                </c:pt>
                <c:pt idx="54">
                  <c:v>364.7784410433967</c:v>
                </c:pt>
                <c:pt idx="55">
                  <c:v>379.88611464794849</c:v>
                </c:pt>
                <c:pt idx="56">
                  <c:v>394.98072040575977</c:v>
                </c:pt>
                <c:pt idx="57">
                  <c:v>410.06282796584441</c:v>
                </c:pt>
                <c:pt idx="58">
                  <c:v>425.13296166139679</c:v>
                </c:pt>
                <c:pt idx="59">
                  <c:v>440.19160562675683</c:v>
                </c:pt>
                <c:pt idx="60">
                  <c:v>455.23920817771847</c:v>
                </c:pt>
                <c:pt idx="61">
                  <c:v>387.28600368987105</c:v>
                </c:pt>
                <c:pt idx="62">
                  <c:v>400.32168647741304</c:v>
                </c:pt>
                <c:pt idx="63">
                  <c:v>413.34818434892662</c:v>
                </c:pt>
                <c:pt idx="64">
                  <c:v>426.36582754686032</c:v>
                </c:pt>
                <c:pt idx="65">
                  <c:v>439.37492450301892</c:v>
                </c:pt>
                <c:pt idx="66">
                  <c:v>452.37576389576316</c:v>
                </c:pt>
                <c:pt idx="67">
                  <c:v>465.36861645840571</c:v>
                </c:pt>
                <c:pt idx="68">
                  <c:v>478.35373657514043</c:v>
                </c:pt>
                <c:pt idx="69">
                  <c:v>491.33136369467434</c:v>
                </c:pt>
                <c:pt idx="70">
                  <c:v>504.30172358674866</c:v>
                </c:pt>
                <c:pt idx="71">
                  <c:v>426.01885347012268</c:v>
                </c:pt>
                <c:pt idx="72">
                  <c:v>436.28953142824543</c:v>
                </c:pt>
                <c:pt idx="73">
                  <c:v>446.55502197293748</c:v>
                </c:pt>
                <c:pt idx="74">
                  <c:v>456.81546119092872</c:v>
                </c:pt>
                <c:pt idx="75">
                  <c:v>467.07097855581628</c:v>
                </c:pt>
                <c:pt idx="76">
                  <c:v>477.32169739068991</c:v>
                </c:pt>
                <c:pt idx="77">
                  <c:v>487.56773528894473</c:v>
                </c:pt>
                <c:pt idx="78">
                  <c:v>497.80920449787737</c:v>
                </c:pt>
                <c:pt idx="79">
                  <c:v>508.04621226907233</c:v>
                </c:pt>
                <c:pt idx="80">
                  <c:v>518.27886117907588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1.850909291479347</c:v>
                </c:pt>
                <c:pt idx="2">
                  <c:v>2.3571093517086852</c:v>
                </c:pt>
                <c:pt idx="3">
                  <c:v>3.0023044836471922</c:v>
                </c:pt>
                <c:pt idx="4">
                  <c:v>3.8248048306110398</c:v>
                </c:pt>
                <c:pt idx="5">
                  <c:v>4.8735168998325982</c:v>
                </c:pt>
                <c:pt idx="6">
                  <c:v>6.2108840367772453</c:v>
                </c:pt>
                <c:pt idx="7">
                  <c:v>7.9166453333903419</c:v>
                </c:pt>
                <c:pt idx="8">
                  <c:v>10.092641396223335</c:v>
                </c:pt>
                <c:pt idx="9">
                  <c:v>12.868959314383559</c:v>
                </c:pt>
                <c:pt idx="10">
                  <c:v>16.411791005165558</c:v>
                </c:pt>
                <c:pt idx="11">
                  <c:v>20.933483913910308</c:v>
                </c:pt>
                <c:pt idx="12">
                  <c:v>26.705397258990146</c:v>
                </c:pt>
                <c:pt idx="13">
                  <c:v>34.074348915626643</c:v>
                </c:pt>
                <c:pt idx="14">
                  <c:v>43.483658227026353</c:v>
                </c:pt>
                <c:pt idx="15">
                  <c:v>55.500072109956967</c:v>
                </c:pt>
                <c:pt idx="16">
                  <c:v>70.84822320816825</c:v>
                </c:pt>
                <c:pt idx="17">
                  <c:v>90.454731878583559</c:v>
                </c:pt>
                <c:pt idx="18">
                  <c:v>115.50465711116368</c:v>
                </c:pt>
                <c:pt idx="19">
                  <c:v>147.51376180488208</c:v>
                </c:pt>
                <c:pt idx="20">
                  <c:v>188.42103223620668</c:v>
                </c:pt>
                <c:pt idx="21">
                  <c:v>240.70714044550846</c:v>
                </c:pt>
                <c:pt idx="22">
                  <c:v>188.87090934206265</c:v>
                </c:pt>
                <c:pt idx="23">
                  <c:v>214.98109510056543</c:v>
                </c:pt>
                <c:pt idx="24">
                  <c:v>241.01824892205289</c:v>
                </c:pt>
                <c:pt idx="25">
                  <c:v>266.9913697084724</c:v>
                </c:pt>
                <c:pt idx="26">
                  <c:v>292.90756031220479</c:v>
                </c:pt>
                <c:pt idx="27">
                  <c:v>318.77256321643927</c:v>
                </c:pt>
                <c:pt idx="28">
                  <c:v>344.59111272829563</c:v>
                </c:pt>
                <c:pt idx="29">
                  <c:v>291.56928243434669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374.94948796267505</c:v>
                </c:pt>
                <c:pt idx="33">
                  <c:v>402.64772617105808</c:v>
                </c:pt>
                <c:pt idx="34">
                  <c:v>430.30476217007714</c:v>
                </c:pt>
                <c:pt idx="35">
                  <c:v>457.92361345472074</c:v>
                </c:pt>
                <c:pt idx="36">
                  <c:v>382.03503582506397</c:v>
                </c:pt>
                <c:pt idx="37">
                  <c:v>409.19922205124948</c:v>
                </c:pt>
                <c:pt idx="38">
                  <c:v>436.32447725278092</c:v>
                </c:pt>
                <c:pt idx="39">
                  <c:v>463.41355924810637</c:v>
                </c:pt>
                <c:pt idx="40">
                  <c:v>490.46887740764822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478.09239623400521</c:v>
                </c:pt>
                <c:pt idx="45">
                  <c:v>504.08010035598926</c:v>
                </c:pt>
                <c:pt idx="46">
                  <c:v>530.03947668561864</c:v>
                </c:pt>
                <c:pt idx="47">
                  <c:v>555.97210607718182</c:v>
                </c:pt>
                <c:pt idx="48">
                  <c:v>581.87941004696052</c:v>
                </c:pt>
                <c:pt idx="49">
                  <c:v>607.76267335393857</c:v>
                </c:pt>
                <c:pt idx="50">
                  <c:v>498.72181261790962</c:v>
                </c:pt>
                <c:pt idx="51">
                  <c:v>522.77570769625004</c:v>
                </c:pt>
                <c:pt idx="52">
                  <c:v>546.80628686047885</c:v>
                </c:pt>
                <c:pt idx="53">
                  <c:v>570.8147177994498</c:v>
                </c:pt>
                <c:pt idx="54">
                  <c:v>594.80206206973287</c:v>
                </c:pt>
                <c:pt idx="55">
                  <c:v>618.7692887187502</c:v>
                </c:pt>
                <c:pt idx="56">
                  <c:v>642.71728568895765</c:v>
                </c:pt>
                <c:pt idx="57">
                  <c:v>553.08091315642685</c:v>
                </c:pt>
                <c:pt idx="58">
                  <c:v>575.02795262431994</c:v>
                </c:pt>
                <c:pt idx="59">
                  <c:v>596.95751269363416</c:v>
                </c:pt>
                <c:pt idx="60">
                  <c:v>618.87032518267199</c:v>
                </c:pt>
                <c:pt idx="61">
                  <c:v>640.7670659136046</c:v>
                </c:pt>
                <c:pt idx="62">
                  <c:v>662.64836080260761</c:v>
                </c:pt>
                <c:pt idx="63">
                  <c:v>684.51479110444359</c:v>
                </c:pt>
                <c:pt idx="64">
                  <c:v>586.91870078586362</c:v>
                </c:pt>
                <c:pt idx="65">
                  <c:v>606.5598649568966</c:v>
                </c:pt>
                <c:pt idx="66">
                  <c:v>626.187827915507</c:v>
                </c:pt>
                <c:pt idx="67">
                  <c:v>645.80306133016256</c:v>
                </c:pt>
                <c:pt idx="68">
                  <c:v>665.40600590783038</c:v>
                </c:pt>
                <c:pt idx="69">
                  <c:v>684.99707429705416</c:v>
                </c:pt>
                <c:pt idx="70">
                  <c:v>704.57665364194054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28A7CC0F-D991-4928-938C-B5D581871AEB}">
    <text>A recopier sur toutes les essences.
Correspond aux frais fixes d’entretien mécanique + répulsif gibier</text>
  </threadedComment>
  <threadedComment ref="E50" dT="2024-11-27T17:08:05.48" personId="{44BC7BF0-8157-4572-8E12-7E0C99523682}" id="{8131249B-5264-4CE2-8536-DB301268977E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AED1880C-B096-4813-93B7-FD17A9A3721F}">
    <text>A recopier sur toutes les essences.
Correspond aux frais fixes d’entretien mécanique + répulsif gibier</text>
  </threadedComment>
  <threadedComment ref="E80" dT="2024-11-27T17:07:34.75" personId="{44BC7BF0-8157-4572-8E12-7E0C99523682}" id="{8C0A4B39-B95E-463D-8E32-575A4BCDD94E}">
    <text>A recopier sur toutes les essences.
Correspond aux frais fixes d’entretien mécanique + répulsif gibier</text>
  </threadedComment>
  <threadedComment ref="E81" dT="2024-11-27T17:08:05.48" personId="{44BC7BF0-8157-4572-8E12-7E0C99523682}" id="{C9D1C557-6F4F-41F6-8916-11DE98A8EC59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4E15B899-BDCE-4AF1-B787-ADFCB0ADB9DA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8.08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27</v>
      </c>
      <c r="C9" s="32">
        <f>(3.93+1.92*90%)/C5</f>
        <v>0.70024752475247531</v>
      </c>
      <c r="D9" s="33">
        <f t="shared" ref="D9:D18" si="0">C9*$C$5</f>
        <v>5.6580000000000004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f>2.23/C5</f>
        <v>0.27599009900990101</v>
      </c>
      <c r="D10" s="33">
        <f t="shared" si="0"/>
        <v>2.2300000000000004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18</v>
      </c>
      <c r="C11" s="32">
        <v>2.3762376237623763E-2</v>
      </c>
      <c r="D11" s="33">
        <f t="shared" si="0"/>
        <v>0.192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8.08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Mélèze d'Europe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18</v>
      </c>
      <c r="B36" s="258">
        <v>112</v>
      </c>
      <c r="C36" s="258">
        <v>1</v>
      </c>
      <c r="D36" s="259">
        <v>20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6.2222222222222223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21</v>
      </c>
      <c r="B37" s="262">
        <v>146</v>
      </c>
      <c r="C37" s="262">
        <v>2</v>
      </c>
      <c r="D37" s="262">
        <v>26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18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24</v>
      </c>
      <c r="B38" s="262">
        <v>168</v>
      </c>
      <c r="C38" s="262">
        <v>3</v>
      </c>
      <c r="D38" s="262">
        <v>29</v>
      </c>
      <c r="E38" s="263">
        <v>0</v>
      </c>
      <c r="F38" s="263">
        <v>1</v>
      </c>
      <c r="G38" s="263">
        <v>0</v>
      </c>
      <c r="H38" s="263">
        <v>0</v>
      </c>
      <c r="I38" s="53">
        <f t="shared" si="1"/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30</v>
      </c>
      <c r="B39" s="262">
        <v>224</v>
      </c>
      <c r="C39" s="262">
        <v>4</v>
      </c>
      <c r="D39" s="262">
        <v>53</v>
      </c>
      <c r="E39" s="263">
        <v>0</v>
      </c>
      <c r="F39" s="263">
        <v>1</v>
      </c>
      <c r="G39" s="263">
        <v>0</v>
      </c>
      <c r="H39" s="263">
        <v>0</v>
      </c>
      <c r="I39" s="49">
        <f t="shared" si="1"/>
        <v>14.166666666666666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36</v>
      </c>
      <c r="B40" s="262">
        <v>248</v>
      </c>
      <c r="C40" s="262">
        <v>5</v>
      </c>
      <c r="D40" s="262">
        <v>62</v>
      </c>
      <c r="E40" s="263">
        <v>0</v>
      </c>
      <c r="F40" s="263">
        <v>1</v>
      </c>
      <c r="G40" s="263">
        <v>0</v>
      </c>
      <c r="H40" s="263">
        <v>0</v>
      </c>
      <c r="I40" s="49">
        <f t="shared" si="1"/>
        <v>12.833333333333334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42</v>
      </c>
      <c r="B41" s="262">
        <v>255</v>
      </c>
      <c r="C41" s="262">
        <v>6</v>
      </c>
      <c r="D41" s="262">
        <v>67</v>
      </c>
      <c r="E41" s="263">
        <v>0.5</v>
      </c>
      <c r="F41" s="263">
        <v>0.5</v>
      </c>
      <c r="G41" s="263">
        <v>0</v>
      </c>
      <c r="H41" s="263">
        <v>0</v>
      </c>
      <c r="I41" s="53">
        <f t="shared" si="1"/>
        <v>11.5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48</v>
      </c>
      <c r="B42" s="262">
        <v>252</v>
      </c>
      <c r="C42" s="262">
        <v>7</v>
      </c>
      <c r="D42" s="262">
        <v>65</v>
      </c>
      <c r="E42" s="263">
        <v>0.5</v>
      </c>
      <c r="F42" s="263">
        <v>0.5</v>
      </c>
      <c r="G42" s="263">
        <v>0</v>
      </c>
      <c r="H42" s="263">
        <v>0</v>
      </c>
      <c r="I42" s="53">
        <f t="shared" si="1"/>
        <v>10.666666666666666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60</v>
      </c>
      <c r="B43" s="262">
        <v>304</v>
      </c>
      <c r="C43" s="262">
        <v>8</v>
      </c>
      <c r="D43" s="262">
        <v>304</v>
      </c>
      <c r="E43" s="263">
        <v>0.7</v>
      </c>
      <c r="F43" s="263">
        <v>0.3</v>
      </c>
      <c r="G43" s="263">
        <v>0</v>
      </c>
      <c r="H43" s="263">
        <v>0</v>
      </c>
      <c r="I43" s="49">
        <f t="shared" si="1"/>
        <v>9.75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118.6</v>
      </c>
      <c r="C62" s="60">
        <v>1</v>
      </c>
      <c r="D62" s="60">
        <v>50.02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4.7439999999999998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32</v>
      </c>
      <c r="B63" s="60">
        <v>161.16</v>
      </c>
      <c r="C63" s="60">
        <v>2</v>
      </c>
      <c r="D63" s="60">
        <v>45.68</v>
      </c>
      <c r="E63" s="51">
        <v>0.3</v>
      </c>
      <c r="F63" s="51">
        <v>0.5</v>
      </c>
      <c r="G63" s="51">
        <v>0</v>
      </c>
      <c r="H63" s="51">
        <v>0.2</v>
      </c>
      <c r="I63" s="49">
        <f>IF(A63&lt;&gt;0,(B63-(B62-D62))/(A63-A62),"")</f>
        <v>13.225714285714288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225.7</v>
      </c>
      <c r="C64" s="60">
        <v>3</v>
      </c>
      <c r="D64" s="60">
        <v>57.27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13.7775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301.06</v>
      </c>
      <c r="C65" s="60">
        <v>4</v>
      </c>
      <c r="D65" s="60">
        <v>69.17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13.263000000000002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350.41</v>
      </c>
      <c r="C66" s="60">
        <v>5</v>
      </c>
      <c r="D66" s="60">
        <v>63.69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11.852000000000004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389.11</v>
      </c>
      <c r="C67" s="60">
        <v>6</v>
      </c>
      <c r="D67" s="60">
        <v>69.790000000000006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10.238999999999999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400.15</v>
      </c>
      <c r="C68" s="60">
        <v>7</v>
      </c>
      <c r="D68" s="60">
        <v>400.15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8.0829999999999984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21</v>
      </c>
      <c r="B88" s="60">
        <v>195.15</v>
      </c>
      <c r="C88" s="60">
        <v>1</v>
      </c>
      <c r="D88" s="60">
        <v>64.58</v>
      </c>
      <c r="E88" s="51">
        <v>0.1</v>
      </c>
      <c r="F88" s="51">
        <v>0.8</v>
      </c>
      <c r="G88" s="51">
        <v>0</v>
      </c>
      <c r="H88" s="87">
        <v>0.1</v>
      </c>
      <c r="I88" s="53">
        <f>IFERROR(B88/A88,"")</f>
        <v>9.2928571428571427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28</v>
      </c>
      <c r="B89" s="60">
        <v>281.86</v>
      </c>
      <c r="C89" s="60">
        <v>2</v>
      </c>
      <c r="D89" s="60">
        <v>67.61</v>
      </c>
      <c r="E89" s="51">
        <v>0.1</v>
      </c>
      <c r="F89" s="51">
        <v>0.8</v>
      </c>
      <c r="G89" s="51">
        <v>0</v>
      </c>
      <c r="H89" s="87">
        <v>0.1</v>
      </c>
      <c r="I89" s="53">
        <f t="shared" ref="I89:I107" si="3">IF(A89&lt;&gt;0,(B89-(B88-D88))/(A89-A88),"")</f>
        <v>21.612857142857145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35</v>
      </c>
      <c r="B90" s="60">
        <v>377.12</v>
      </c>
      <c r="C90" s="60">
        <v>3</v>
      </c>
      <c r="D90" s="60">
        <v>86.68</v>
      </c>
      <c r="E90" s="87">
        <v>0.3</v>
      </c>
      <c r="F90" s="87">
        <v>0.5</v>
      </c>
      <c r="G90" s="87">
        <v>0</v>
      </c>
      <c r="H90" s="87">
        <v>0.2</v>
      </c>
      <c r="I90" s="53">
        <f t="shared" si="3"/>
        <v>23.267142857142858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42</v>
      </c>
      <c r="B91" s="60">
        <v>450.23</v>
      </c>
      <c r="C91" s="60">
        <v>4</v>
      </c>
      <c r="D91" s="60">
        <v>99.98</v>
      </c>
      <c r="E91" s="87">
        <v>0.3</v>
      </c>
      <c r="F91" s="87">
        <v>0.5</v>
      </c>
      <c r="G91" s="87">
        <v>0</v>
      </c>
      <c r="H91" s="87">
        <v>0.2</v>
      </c>
      <c r="I91" s="53">
        <f t="shared" si="3"/>
        <v>22.82714285714286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49</v>
      </c>
      <c r="B92" s="60">
        <v>503.83</v>
      </c>
      <c r="C92" s="60">
        <v>5</v>
      </c>
      <c r="D92" s="60">
        <v>112.61</v>
      </c>
      <c r="E92" s="87">
        <v>0.3</v>
      </c>
      <c r="F92" s="87">
        <v>0.5</v>
      </c>
      <c r="G92" s="87">
        <v>0</v>
      </c>
      <c r="H92" s="87">
        <v>0.2</v>
      </c>
      <c r="I92" s="53">
        <f t="shared" si="3"/>
        <v>21.939999999999998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56</v>
      </c>
      <c r="B93" s="60">
        <v>533.49</v>
      </c>
      <c r="C93" s="60">
        <v>6</v>
      </c>
      <c r="D93" s="60">
        <v>94.57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20.324285714285718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63</v>
      </c>
      <c r="B94" s="60">
        <v>569</v>
      </c>
      <c r="C94" s="60">
        <v>7</v>
      </c>
      <c r="D94" s="60">
        <v>99.49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18.58285714285714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70</v>
      </c>
      <c r="B95" s="60">
        <v>586.05999999999995</v>
      </c>
      <c r="C95" s="60">
        <v>8</v>
      </c>
      <c r="D95" s="60">
        <v>586.05999999999995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16.649999999999995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f>1.92/8.08</f>
        <v>0.23762376237623761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0.76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ERREUR : corrigez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41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ERREUR : corrigez ; le total n'est pas égal à celui de la cellule B8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Mélèze d'Europe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Pin laricio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Douglas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451.73333333333335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451.73333333333335</v>
      </c>
      <c r="S3" s="59">
        <f ca="1">AVERAGE(OFFSET($R$3,0,0,'Données projet'!$E$9+1,1))-AVERAGE(OFFSET($H$3,0,0,'Données projet'!$E$9+1,1))</f>
        <v>216.99952889049467</v>
      </c>
      <c r="T3" s="59">
        <f>IF('Données projet'!E9&gt;30,$R$33-$H$33,LOOKUP('Données projet'!$E$9,$A$3:$A$203,R3:R203)-LOOKUP('Données projet'!$E$9,$A$3:$A$203,$H$3:$H$203))</f>
        <v>340.62742489103783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451.73333333333335</v>
      </c>
      <c r="AN3" s="59">
        <f ca="1">AVERAGE(OFFSET($AM$3,0,0,'Données projet'!$E$10+1,1))-AVERAGE(OFFSET($H$3,0,0,'Données projet'!$E$10+1,1))</f>
        <v>243.63945673917135</v>
      </c>
      <c r="AO3" s="59">
        <f>IF('Données projet'!E10&gt;30,$AM$33-$H$33,LOOKUP('Données projet'!$E$10,$A$3:$A$203,AM3:AM203)-LOOKUP('Données projet'!$E$10,$A$3:$A$203,$H$3:$H$203))</f>
        <v>213.14969914288025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451.73333333333335</v>
      </c>
      <c r="BI3" s="59">
        <f ca="1">AVERAGE(OFFSET($BH$3,0,0,'Données projet'!$E$11+1,1))-AVERAGE(OFFSET($H$3,0,0,'Données projet'!$E$11+1,1))</f>
        <v>357.2406649189378</v>
      </c>
      <c r="BJ3" s="59">
        <f>IF('Données projet'!E11&gt;30,$BH$33-$H$33,LOOKUP('Données projet'!$E$11,$A$3:$A$203,BH3:BH203)-LOOKUP('Données projet'!$E$11,$A$3:$A$203,$H$3:$H$203))</f>
        <v>353.47109765343811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123.2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0.43472000000000005</v>
      </c>
      <c r="D4" s="11">
        <f>IFERROR(EXP(-1.0587+0.8836*LN(C4)+0.284),0)</f>
        <v>0.22073646643337688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3.8453446030758118</v>
      </c>
      <c r="H4" s="67">
        <f t="shared" ref="H4:H67" si="1">(B4+E4+F4)*44/12+(C4+D4)*0.475*44/12</f>
        <v>452.87492001237149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6.2222222222222223</v>
      </c>
      <c r="N4" s="13">
        <f>IF('Données projet'!$A$36&gt;35,N3+M4-V3,IF(A4&lt;'Données projet'!$A$36,$K$205^A4,IF(A4='Données projet'!$A$36,'Données projet'!$B$36,N3+M4-V3)))</f>
        <v>1.2997069632623315</v>
      </c>
      <c r="O4" s="13">
        <f>N4*VLOOKUP('Données projet'!$B$9,Paramètres!$A$1:$I$89,3,0)*VLOOKUP('Données projet'!$B$9,Paramètres!$A$1:$I$89,5,0)</f>
        <v>0.81101714507569489</v>
      </c>
      <c r="P4" s="13">
        <f>EXP(-1.0587+0.8836*LN(O4)+0.284)</f>
        <v>0.38297551084354686</v>
      </c>
      <c r="Q4" s="20">
        <f t="shared" ref="Q4:Q34" si="2">(O4+P4)*0.475*44/12</f>
        <v>2.0795372090593456</v>
      </c>
      <c r="R4" s="59">
        <f t="shared" si="0"/>
        <v>455.96398165350382</v>
      </c>
      <c r="S4" s="59">
        <f ca="1">AVERAGE(OFFSET($R$3,0,0,'Données projet'!$E$9+1,1))-AVERAGE(OFFSET($H$3,0,0,'Données projet'!$E$9+1,1))</f>
        <v>216.99952889049467</v>
      </c>
      <c r="T4" s="59">
        <f>$T$3</f>
        <v>340.62742489103783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4.7439999999999998</v>
      </c>
      <c r="AI4" s="13">
        <f>IF('Données projet'!$A$62&gt;35,AI3+AH4-AQ3,IF(A4&lt;'Données projet'!$A$62,$AF$205^A4,IF(A4='Données projet'!$A$62,'Données projet'!$B$62,AI3+AH4-AQ3)))</f>
        <v>1.2104960804879272</v>
      </c>
      <c r="AJ4" s="13">
        <f>AI4*VLOOKUP('Données projet'!$B$10,Paramètres!$A$1:$I$89,3,0)*VLOOKUP('Données projet'!$B$10,Paramètres!$A$1:$I$89,5,0)</f>
        <v>0.72387665613178054</v>
      </c>
      <c r="AK4" s="13">
        <f>EXP(-1.0587+0.8836*LN(AJ4)+0.284)</f>
        <v>0.34637910066862415</v>
      </c>
      <c r="AL4" s="20">
        <f t="shared" ref="AL4:AL67" si="4">(AJ4+AK4)*0.475*44/12</f>
        <v>1.8640287764273715</v>
      </c>
      <c r="AM4" s="59">
        <f t="shared" ref="AM4:AM67" si="5">AL4+(AD4+AE4)*44/12</f>
        <v>455.7484732208718</v>
      </c>
      <c r="AN4" s="59">
        <f ca="1">AVERAGE(OFFSET($AM$3,0,0,'Données projet'!$E$10+1,1))-AVERAGE(OFFSET($H$3,0,0,'Données projet'!$E$10+1,1))</f>
        <v>243.63945673917135</v>
      </c>
      <c r="AO4" s="59">
        <f>$AO$3</f>
        <v>213.14969914288025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9.2928571428571427</v>
      </c>
      <c r="BD4" s="12">
        <f>IF('Données projet'!$A$88&gt;35,BD3+BC4-BL3,IF(A4&lt;'Données projet'!$A$88,$BA$205^A4,IF(A4='Données projet'!$A$88,'Données projet'!$B$88,BD3+BC4-BL3)))</f>
        <v>1.2854795418236975</v>
      </c>
      <c r="BE4" s="13">
        <f>BD4*VLOOKUP('Données projet'!$B$11,Paramètres!$A$1:$I$89,3,0)*VLOOKUP('Données projet'!$B$11,Paramètres!$A$1:$I$89,5,0)</f>
        <v>0.71858306387944693</v>
      </c>
      <c r="BF4" s="13">
        <f>EXP(-1.0587+0.8836*LN(BE4)+0.284)</f>
        <v>0.34413997429051324</v>
      </c>
      <c r="BG4" s="20">
        <f t="shared" ref="BG4:BG67" si="7">(BE4+BF4)*0.475*44/12</f>
        <v>1.850909291479347</v>
      </c>
      <c r="BH4" s="59">
        <f t="shared" ref="BH4:BH67" si="8">BG4+(AY4+AZ4)*44/12</f>
        <v>455.73535373592381</v>
      </c>
      <c r="BI4" s="59">
        <f ca="1">AVERAGE(OFFSET($BH$3,0,0,'Données projet'!$E$11+1,1))-AVERAGE(OFFSET($H$3,0,0,'Données projet'!$E$11+1,1))</f>
        <v>357.2406649189378</v>
      </c>
      <c r="BJ4" s="59">
        <f>$BJ$3</f>
        <v>353.47109765343811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123.2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0.58666666666666667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0.8694400000000001</v>
      </c>
      <c r="D5" s="11">
        <f t="shared" ref="D5:D68" si="32">IFERROR(EXP(-1.0587+0.8836*LN(C5)+0.284),0)</f>
        <v>0.40725290437695627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7.4899317056781447</v>
      </c>
      <c r="H5" s="67">
        <f t="shared" si="1"/>
        <v>453.95690680845655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6.2222222222222223</v>
      </c>
      <c r="N5" s="13">
        <f>IF('Données projet'!$A$36&gt;35,N4+M5-V4,IF(A5&lt;'Données projet'!$A$36,$K$205^A5,IF(A5='Données projet'!$A$36,'Données projet'!$B$36,N4+M5-V4)))</f>
        <v>1.6892381903525915</v>
      </c>
      <c r="O5" s="13">
        <f>N5*VLOOKUP('Données projet'!$B$9,Paramètres!$A$1:$I$89,3,0)*VLOOKUP('Données projet'!$B$9,Paramètres!$A$1:$I$89,5,0)</f>
        <v>1.0540846307800171</v>
      </c>
      <c r="P5" s="13">
        <f t="shared" ref="P5:P68" si="33">EXP(-1.0587+0.8836*LN(O5)+0.284)</f>
        <v>0.48279730809434274</v>
      </c>
      <c r="Q5" s="20">
        <f t="shared" si="2"/>
        <v>2.6767360435395098</v>
      </c>
      <c r="R5" s="59">
        <f t="shared" si="0"/>
        <v>458.71229159909501</v>
      </c>
      <c r="S5" s="59">
        <f ca="1">AVERAGE(OFFSET($R$3,0,0,'Données projet'!$E$9+1,1))-AVERAGE(OFFSET($H$3,0,0,'Données projet'!$E$9+1,1))</f>
        <v>216.99952889049467</v>
      </c>
      <c r="T5" s="59">
        <f t="shared" ref="T5:T68" si="34">$T$3</f>
        <v>340.62742489103783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4.7439999999999998</v>
      </c>
      <c r="AI5" s="13">
        <f>IF('Données projet'!$A$62&gt;35,AI4+AH5-AQ4,IF(A5&lt;'Données projet'!$A$62,$AF$205^A5,IF(A5='Données projet'!$A$62,'Données projet'!$B$62,AI4+AH5-AQ4)))</f>
        <v>1.4653007608766344</v>
      </c>
      <c r="AJ5" s="13">
        <f>AI5*VLOOKUP('Données projet'!$B$10,Paramètres!$A$1:$I$89,3,0)*VLOOKUP('Données projet'!$B$10,Paramètres!$A$1:$I$89,5,0)</f>
        <v>0.87624985500422747</v>
      </c>
      <c r="AK5" s="13">
        <f t="shared" ref="AK5:AK68" si="35">EXP(-1.0587+0.8836*LN(AJ5)+0.284)</f>
        <v>0.41007012398625681</v>
      </c>
      <c r="AL5" s="20">
        <f t="shared" si="4"/>
        <v>2.2403406300750932</v>
      </c>
      <c r="AM5" s="59">
        <f t="shared" si="5"/>
        <v>458.27589618563059</v>
      </c>
      <c r="AN5" s="59">
        <f ca="1">AVERAGE(OFFSET($AM$3,0,0,'Données projet'!$E$10+1,1))-AVERAGE(OFFSET($H$3,0,0,'Données projet'!$E$10+1,1))</f>
        <v>243.63945673917135</v>
      </c>
      <c r="AO5" s="59">
        <f t="shared" ref="AO5:AO68" si="36">$AO$3</f>
        <v>213.14969914288025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9.2928571428571427</v>
      </c>
      <c r="BD5" s="12">
        <f>IF('Données projet'!$A$88&gt;35,BD4+BC5-BL4,IF(A5&lt;'Données projet'!$A$88,$BA$205^A5,IF(A5='Données projet'!$A$88,'Données projet'!$B$88,BD4+BC5-BL4)))</f>
        <v>1.6524576524472632</v>
      </c>
      <c r="BE5" s="13">
        <f>BD5*VLOOKUP('Données projet'!$B$11,Paramètres!$A$1:$I$89,3,0)*VLOOKUP('Données projet'!$B$11,Paramètres!$A$1:$I$89,5,0)</f>
        <v>0.92372382771802009</v>
      </c>
      <c r="BF5" s="13">
        <f t="shared" ref="BF5:BF68" si="37">EXP(-1.0587+0.8836*LN(BE5)+0.284)</f>
        <v>0.42964039335873705</v>
      </c>
      <c r="BG5" s="20">
        <f t="shared" si="7"/>
        <v>2.3571093517086852</v>
      </c>
      <c r="BH5" s="59">
        <f t="shared" si="8"/>
        <v>458.39266490726419</v>
      </c>
      <c r="BI5" s="59">
        <f ca="1">AVERAGE(OFFSET($BH$3,0,0,'Données projet'!$E$11+1,1))-AVERAGE(OFFSET($H$3,0,0,'Données projet'!$E$11+1,1))</f>
        <v>357.2406649189378</v>
      </c>
      <c r="BJ5" s="59">
        <f t="shared" ref="BJ5:BJ68" si="38">$BJ$3</f>
        <v>353.47109765343811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123.2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1.1733333333333333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1.3041600000000002</v>
      </c>
      <c r="D6" s="11">
        <f t="shared" si="32"/>
        <v>0.58271799085630638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11.069684213023665</v>
      </c>
      <c r="H6" s="67">
        <f t="shared" si="1"/>
        <v>455.01964583407477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6.2222222222222223</v>
      </c>
      <c r="N6" s="13">
        <f>IF('Données projet'!$A$36&gt;35,N5+M6-V5,IF(A6&lt;'Données projet'!$A$36,$K$205^A6,IF(A6='Données projet'!$A$36,'Données projet'!$B$36,N5+M6-V5)))</f>
        <v>2.1955146386099229</v>
      </c>
      <c r="O6" s="13">
        <f>N6*VLOOKUP('Données projet'!$B$9,Paramètres!$A$1:$I$89,3,0)*VLOOKUP('Données projet'!$B$9,Paramètres!$A$1:$I$89,5,0)</f>
        <v>1.3700011344925918</v>
      </c>
      <c r="P6" s="13">
        <f t="shared" si="33"/>
        <v>0.60863745619068288</v>
      </c>
      <c r="Q6" s="20">
        <f t="shared" si="2"/>
        <v>3.4461288787733699</v>
      </c>
      <c r="R6" s="59">
        <f t="shared" si="0"/>
        <v>461.6327955454401</v>
      </c>
      <c r="S6" s="59">
        <f ca="1">AVERAGE(OFFSET($R$3,0,0,'Données projet'!$E$9+1,1))-AVERAGE(OFFSET($H$3,0,0,'Données projet'!$E$9+1,1))</f>
        <v>216.99952889049467</v>
      </c>
      <c r="T6" s="59">
        <f t="shared" si="34"/>
        <v>340.62742489103783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4.7439999999999998</v>
      </c>
      <c r="AI6" s="13">
        <f>IF('Données projet'!$A$62&gt;35,AI5+AH6-AQ5,IF(A6&lt;'Données projet'!$A$62,$AF$205^A6,IF(A6='Données projet'!$A$62,'Données projet'!$B$62,AI5+AH6-AQ5)))</f>
        <v>1.7737408277771434</v>
      </c>
      <c r="AJ6" s="13">
        <f>AI6*VLOOKUP('Données projet'!$B$10,Paramètres!$A$1:$I$89,3,0)*VLOOKUP('Données projet'!$B$10,Paramètres!$A$1:$I$89,5,0)</f>
        <v>1.0606970150107318</v>
      </c>
      <c r="AK6" s="13">
        <f t="shared" si="35"/>
        <v>0.48547243832409476</v>
      </c>
      <c r="AL6" s="20">
        <f t="shared" si="4"/>
        <v>2.6929117978914889</v>
      </c>
      <c r="AM6" s="59">
        <f t="shared" si="5"/>
        <v>460.87957846455822</v>
      </c>
      <c r="AN6" s="59">
        <f ca="1">AVERAGE(OFFSET($AM$3,0,0,'Données projet'!$E$10+1,1))-AVERAGE(OFFSET($H$3,0,0,'Données projet'!$E$10+1,1))</f>
        <v>243.63945673917135</v>
      </c>
      <c r="AO6" s="59">
        <f t="shared" si="36"/>
        <v>213.14969914288025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9.2928571428571427</v>
      </c>
      <c r="BD6" s="12">
        <f>IF('Données projet'!$A$88&gt;35,BD5+BC6-BL5,IF(A6&lt;'Données projet'!$A$88,$BA$205^A6,IF(A6='Données projet'!$A$88,'Données projet'!$B$88,BD5+BC6-BL5)))</f>
        <v>2.1242005059509705</v>
      </c>
      <c r="BE6" s="13">
        <f>BD6*VLOOKUP('Données projet'!$B$11,Paramètres!$A$1:$I$89,3,0)*VLOOKUP('Données projet'!$B$11,Paramètres!$A$1:$I$89,5,0)</f>
        <v>1.1874280828265924</v>
      </c>
      <c r="BF6" s="13">
        <f t="shared" si="37"/>
        <v>0.53638310395648459</v>
      </c>
      <c r="BG6" s="20">
        <f t="shared" si="7"/>
        <v>3.0023044836471922</v>
      </c>
      <c r="BH6" s="59">
        <f t="shared" si="8"/>
        <v>461.18897115031393</v>
      </c>
      <c r="BI6" s="59">
        <f ca="1">AVERAGE(OFFSET($BH$3,0,0,'Données projet'!$E$11+1,1))-AVERAGE(OFFSET($H$3,0,0,'Données projet'!$E$11+1,1))</f>
        <v>357.2406649189378</v>
      </c>
      <c r="BJ6" s="59">
        <f t="shared" si="38"/>
        <v>353.47109765343811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123.2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1.7600000000000002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1.7388800000000002</v>
      </c>
      <c r="D7" s="11">
        <f t="shared" si="32"/>
        <v>0.75137076715652207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14.609471167318267</v>
      </c>
      <c r="H7" s="67">
        <f t="shared" si="1"/>
        <v>456.07052008613095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6.2222222222222223</v>
      </c>
      <c r="N7" s="13">
        <f>IF('Données projet'!$A$36&gt;35,N6+M7-V6,IF(A7&lt;'Données projet'!$A$36,$K$205^A7,IF(A7='Données projet'!$A$36,'Données projet'!$B$36,N6+M7-V6)))</f>
        <v>2.8535256637456983</v>
      </c>
      <c r="O7" s="13">
        <f>N7*VLOOKUP('Données projet'!$B$9,Paramètres!$A$1:$I$89,3,0)*VLOOKUP('Données projet'!$B$9,Paramètres!$A$1:$I$89,5,0)</f>
        <v>1.7806000141773157</v>
      </c>
      <c r="P7" s="13">
        <f t="shared" si="33"/>
        <v>0.76727758599241935</v>
      </c>
      <c r="Q7" s="20">
        <f t="shared" si="2"/>
        <v>4.4375534869622877</v>
      </c>
      <c r="R7" s="59">
        <f t="shared" si="0"/>
        <v>464.77533126474009</v>
      </c>
      <c r="S7" s="59">
        <f ca="1">AVERAGE(OFFSET($R$3,0,0,'Données projet'!$E$9+1,1))-AVERAGE(OFFSET($H$3,0,0,'Données projet'!$E$9+1,1))</f>
        <v>216.99952889049467</v>
      </c>
      <c r="T7" s="59">
        <f t="shared" si="34"/>
        <v>340.62742489103783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4.7439999999999998</v>
      </c>
      <c r="AI7" s="13">
        <f>IF('Données projet'!$A$62&gt;35,AI6+AH7-AQ6,IF(A7&lt;'Données projet'!$A$62,$AF$205^A7,IF(A7='Données projet'!$A$62,'Données projet'!$B$62,AI6+AH7-AQ6)))</f>
        <v>2.1471063198256437</v>
      </c>
      <c r="AJ7" s="13">
        <f>AI7*VLOOKUP('Données projet'!$B$10,Paramètres!$A$1:$I$89,3,0)*VLOOKUP('Données projet'!$B$10,Paramètres!$A$1:$I$89,5,0)</f>
        <v>1.2839695792557351</v>
      </c>
      <c r="AK7" s="13">
        <f t="shared" si="35"/>
        <v>0.5747394764614473</v>
      </c>
      <c r="AL7" s="20">
        <f t="shared" si="4"/>
        <v>3.2372516053740923</v>
      </c>
      <c r="AM7" s="59">
        <f t="shared" si="5"/>
        <v>463.57502938315184</v>
      </c>
      <c r="AN7" s="59">
        <f ca="1">AVERAGE(OFFSET($AM$3,0,0,'Données projet'!$E$10+1,1))-AVERAGE(OFFSET($H$3,0,0,'Données projet'!$E$10+1,1))</f>
        <v>243.63945673917135</v>
      </c>
      <c r="AO7" s="59">
        <f t="shared" si="36"/>
        <v>213.14969914288025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9.2928571428571427</v>
      </c>
      <c r="BD7" s="12">
        <f>IF('Données projet'!$A$88&gt;35,BD6+BC7-BL6,IF(A7&lt;'Données projet'!$A$88,$BA$205^A7,IF(A7='Données projet'!$A$88,'Données projet'!$B$88,BD6+BC7-BL6)))</f>
        <v>2.7306162931315199</v>
      </c>
      <c r="BE7" s="13">
        <f>BD7*VLOOKUP('Données projet'!$B$11,Paramètres!$A$1:$I$89,3,0)*VLOOKUP('Données projet'!$B$11,Paramètres!$A$1:$I$89,5,0)</f>
        <v>1.5264145078605198</v>
      </c>
      <c r="BF7" s="13">
        <f t="shared" si="37"/>
        <v>0.66964568196400076</v>
      </c>
      <c r="BG7" s="20">
        <f t="shared" si="7"/>
        <v>3.8248048306110398</v>
      </c>
      <c r="BH7" s="59">
        <f t="shared" si="8"/>
        <v>464.16258260838879</v>
      </c>
      <c r="BI7" s="59">
        <f ca="1">AVERAGE(OFFSET($BH$3,0,0,'Données projet'!$E$11+1,1))-AVERAGE(OFFSET($H$3,0,0,'Données projet'!$E$11+1,1))</f>
        <v>357.2406649189378</v>
      </c>
      <c r="BJ7" s="59">
        <f t="shared" si="38"/>
        <v>353.47109765343811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123.2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2.3466666666666667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2.1736000000000004</v>
      </c>
      <c r="D8" s="11">
        <f t="shared" si="32"/>
        <v>0.91513250575297078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18.120564033750767</v>
      </c>
      <c r="H8" s="67">
        <f t="shared" si="1"/>
        <v>457.11287578085313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6.2222222222222223</v>
      </c>
      <c r="N8" s="13">
        <f>IF('Données projet'!$A$36&gt;35,N7+M8-V7,IF(A8&lt;'Données projet'!$A$36,$K$205^A8,IF(A8='Données projet'!$A$36,'Données projet'!$B$36,N7+M8-V7)))</f>
        <v>3.7087471750180505</v>
      </c>
      <c r="O8" s="13">
        <f>N8*VLOOKUP('Données projet'!$B$9,Paramètres!$A$1:$I$89,3,0)*VLOOKUP('Données projet'!$B$9,Paramètres!$A$1:$I$89,5,0)</f>
        <v>2.3142582372112632</v>
      </c>
      <c r="P8" s="13">
        <f t="shared" si="33"/>
        <v>0.96726694681425085</v>
      </c>
      <c r="Q8" s="20">
        <f t="shared" si="2"/>
        <v>5.7153230288444377</v>
      </c>
      <c r="R8" s="59">
        <f t="shared" si="0"/>
        <v>468.20421191773335</v>
      </c>
      <c r="S8" s="59">
        <f ca="1">AVERAGE(OFFSET($R$3,0,0,'Données projet'!$E$9+1,1))-AVERAGE(OFFSET($H$3,0,0,'Données projet'!$E$9+1,1))</f>
        <v>216.99952889049467</v>
      </c>
      <c r="T8" s="59">
        <f t="shared" si="34"/>
        <v>340.62742489103783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4.7439999999999998</v>
      </c>
      <c r="AI8" s="13">
        <f>IF('Données projet'!$A$62&gt;35,AI7+AH8-AQ7,IF(A8&lt;'Données projet'!$A$62,$AF$205^A8,IF(A8='Données projet'!$A$62,'Données projet'!$B$62,AI7+AH8-AQ7)))</f>
        <v>2.5990637845397995</v>
      </c>
      <c r="AJ8" s="13">
        <f>AI8*VLOOKUP('Données projet'!$B$10,Paramètres!$A$1:$I$89,3,0)*VLOOKUP('Données projet'!$B$10,Paramètres!$A$1:$I$89,5,0)</f>
        <v>1.5542401431548003</v>
      </c>
      <c r="AK8" s="13">
        <f t="shared" si="35"/>
        <v>0.68042063714986378</v>
      </c>
      <c r="AL8" s="20">
        <f t="shared" si="4"/>
        <v>3.8920341923639565</v>
      </c>
      <c r="AM8" s="59">
        <f t="shared" si="5"/>
        <v>466.38092308125283</v>
      </c>
      <c r="AN8" s="59">
        <f ca="1">AVERAGE(OFFSET($AM$3,0,0,'Données projet'!$E$10+1,1))-AVERAGE(OFFSET($H$3,0,0,'Données projet'!$E$10+1,1))</f>
        <v>243.63945673917135</v>
      </c>
      <c r="AO8" s="59">
        <f t="shared" si="36"/>
        <v>213.14969914288025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9.2928571428571427</v>
      </c>
      <c r="BD8" s="12">
        <f>IF('Données projet'!$A$88&gt;35,BD7+BC8-BL7,IF(A8&lt;'Données projet'!$A$88,$BA$205^A8,IF(A8='Données projet'!$A$88,'Données projet'!$B$88,BD7+BC8-BL7)))</f>
        <v>3.5101513813910294</v>
      </c>
      <c r="BE8" s="13">
        <f>BD8*VLOOKUP('Données projet'!$B$11,Paramètres!$A$1:$I$89,3,0)*VLOOKUP('Données projet'!$B$11,Paramètres!$A$1:$I$89,5,0)</f>
        <v>1.9621746221975855</v>
      </c>
      <c r="BF8" s="13">
        <f t="shared" si="37"/>
        <v>0.83601689923739897</v>
      </c>
      <c r="BG8" s="20">
        <f t="shared" si="7"/>
        <v>4.8735168998325982</v>
      </c>
      <c r="BH8" s="59">
        <f t="shared" si="8"/>
        <v>467.3624057887215</v>
      </c>
      <c r="BI8" s="59">
        <f ca="1">AVERAGE(OFFSET($BH$3,0,0,'Données projet'!$E$11+1,1))-AVERAGE(OFFSET($H$3,0,0,'Données projet'!$E$11+1,1))</f>
        <v>357.2406649189378</v>
      </c>
      <c r="BJ8" s="59">
        <f t="shared" si="38"/>
        <v>353.47109765343811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123.2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2.9333333333333331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2.6083200000000004</v>
      </c>
      <c r="D9" s="11">
        <f t="shared" si="32"/>
        <v>1.0750991806809678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21.609392526661683</v>
      </c>
      <c r="H9" s="67">
        <f t="shared" si="1"/>
        <v>458.14862173968601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6.2222222222222223</v>
      </c>
      <c r="N9" s="13">
        <f>IF('Données projet'!$A$36&gt;35,N8+M9-V8,IF(A9&lt;'Données projet'!$A$36,$K$205^A9,IF(A9='Données projet'!$A$36,'Données projet'!$B$36,N8+M9-V8)))</f>
        <v>4.8202845283504612</v>
      </c>
      <c r="O9" s="13">
        <f>N9*VLOOKUP('Données projet'!$B$9,Paramètres!$A$1:$I$89,3,0)*VLOOKUP('Données projet'!$B$9,Paramètres!$A$1:$I$89,5,0)</f>
        <v>3.0078575456906878</v>
      </c>
      <c r="P9" s="13">
        <f t="shared" si="33"/>
        <v>1.2193831326236693</v>
      </c>
      <c r="Q9" s="20">
        <f t="shared" si="2"/>
        <v>7.3624441813975059</v>
      </c>
      <c r="R9" s="59">
        <f t="shared" si="0"/>
        <v>472.00244418139755</v>
      </c>
      <c r="S9" s="59">
        <f ca="1">AVERAGE(OFFSET($R$3,0,0,'Données projet'!$E$9+1,1))-AVERAGE(OFFSET($H$3,0,0,'Données projet'!$E$9+1,1))</f>
        <v>216.99952889049467</v>
      </c>
      <c r="T9" s="59">
        <f t="shared" si="34"/>
        <v>340.62742489103783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4.7439999999999998</v>
      </c>
      <c r="AI9" s="13">
        <f>IF('Données projet'!$A$62&gt;35,AI8+AH9-AQ8,IF(A9&lt;'Données projet'!$A$62,$AF$205^A9,IF(A9='Données projet'!$A$62,'Données projet'!$B$62,AI8+AH9-AQ8)))</f>
        <v>3.1461565241235463</v>
      </c>
      <c r="AJ9" s="13">
        <f>AI9*VLOOKUP('Données projet'!$B$10,Paramètres!$A$1:$I$89,3,0)*VLOOKUP('Données projet'!$B$10,Paramètres!$A$1:$I$89,5,0)</f>
        <v>1.8814016014258808</v>
      </c>
      <c r="AK9" s="13">
        <f t="shared" si="35"/>
        <v>0.80553409400351517</v>
      </c>
      <c r="AL9" s="20">
        <f t="shared" si="4"/>
        <v>4.6797463362061977</v>
      </c>
      <c r="AM9" s="59">
        <f t="shared" si="5"/>
        <v>469.31974633620626</v>
      </c>
      <c r="AN9" s="59">
        <f ca="1">AVERAGE(OFFSET($AM$3,0,0,'Données projet'!$E$10+1,1))-AVERAGE(OFFSET($H$3,0,0,'Données projet'!$E$10+1,1))</f>
        <v>243.63945673917135</v>
      </c>
      <c r="AO9" s="59">
        <f t="shared" si="36"/>
        <v>213.14969914288025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9.2928571428571427</v>
      </c>
      <c r="BD9" s="12">
        <f>IF('Données projet'!$A$88&gt;35,BD8+BC9-BL8,IF(A9&lt;'Données projet'!$A$88,$BA$205^A9,IF(A9='Données projet'!$A$88,'Données projet'!$B$88,BD8+BC9-BL8)))</f>
        <v>4.5122277894823588</v>
      </c>
      <c r="BE9" s="13">
        <f>BD9*VLOOKUP('Données projet'!$B$11,Paramètres!$A$1:$I$89,3,0)*VLOOKUP('Données projet'!$B$11,Paramètres!$A$1:$I$89,5,0)</f>
        <v>2.5223353343206387</v>
      </c>
      <c r="BF9" s="13">
        <f t="shared" si="37"/>
        <v>1.0437224858385457</v>
      </c>
      <c r="BG9" s="20">
        <f t="shared" si="7"/>
        <v>6.2108840367772453</v>
      </c>
      <c r="BH9" s="59">
        <f t="shared" si="8"/>
        <v>470.8508840367773</v>
      </c>
      <c r="BI9" s="59">
        <f ca="1">AVERAGE(OFFSET($BH$3,0,0,'Données projet'!$E$11+1,1))-AVERAGE(OFFSET($H$3,0,0,'Données projet'!$E$11+1,1))</f>
        <v>357.2406649189378</v>
      </c>
      <c r="BJ9" s="59">
        <f t="shared" si="38"/>
        <v>353.47109765343811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123.2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3.5200000000000005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3.0430400000000004</v>
      </c>
      <c r="D10" s="11">
        <f t="shared" si="32"/>
        <v>1.2319773240246277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25.08010163427782</v>
      </c>
      <c r="H10" s="67">
        <f t="shared" si="1"/>
        <v>459.17898850600955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6.2222222222222223</v>
      </c>
      <c r="N10" s="13">
        <f>IF('Données projet'!$A$36&gt;35,N9+M10-V9,IF(A10&lt;'Données projet'!$A$36,$K$205^A10,IF(A10='Données projet'!$A$36,'Données projet'!$B$36,N9+M10-V9)))</f>
        <v>6.2649573664027773</v>
      </c>
      <c r="O10" s="13">
        <f>N10*VLOOKUP('Données projet'!$B$9,Paramètres!$A$1:$I$89,3,0)*VLOOKUP('Données projet'!$B$9,Paramètres!$A$1:$I$89,5,0)</f>
        <v>3.9093333966353332</v>
      </c>
      <c r="P10" s="13">
        <f t="shared" si="33"/>
        <v>1.5372128955964925</v>
      </c>
      <c r="Q10" s="20">
        <f t="shared" si="2"/>
        <v>9.4860681256370967</v>
      </c>
      <c r="R10" s="59">
        <f t="shared" si="0"/>
        <v>476.27717923674822</v>
      </c>
      <c r="S10" s="59">
        <f ca="1">AVERAGE(OFFSET($R$3,0,0,'Données projet'!$E$9+1,1))-AVERAGE(OFFSET($H$3,0,0,'Données projet'!$E$9+1,1))</f>
        <v>216.99952889049467</v>
      </c>
      <c r="T10" s="59">
        <f t="shared" si="34"/>
        <v>340.62742489103783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4.7439999999999998</v>
      </c>
      <c r="AI10" s="13">
        <f>IF('Données projet'!$A$62&gt;35,AI9+AH10-AQ9,IF(A10&lt;'Données projet'!$A$62,$AF$205^A10,IF(A10='Données projet'!$A$62,'Données projet'!$B$62,AI9+AH10-AQ9)))</f>
        <v>3.8084101410530731</v>
      </c>
      <c r="AJ10" s="13">
        <f>AI10*VLOOKUP('Données projet'!$B$10,Paramètres!$A$1:$I$89,3,0)*VLOOKUP('Données projet'!$B$10,Paramètres!$A$1:$I$89,5,0)</f>
        <v>2.2774292643497378</v>
      </c>
      <c r="AK10" s="13">
        <f t="shared" si="35"/>
        <v>0.95365299224330546</v>
      </c>
      <c r="AL10" s="20">
        <f t="shared" si="4"/>
        <v>5.6274682635662172</v>
      </c>
      <c r="AM10" s="59">
        <f t="shared" si="5"/>
        <v>472.41857937467739</v>
      </c>
      <c r="AN10" s="59">
        <f ca="1">AVERAGE(OFFSET($AM$3,0,0,'Données projet'!$E$10+1,1))-AVERAGE(OFFSET($H$3,0,0,'Données projet'!$E$10+1,1))</f>
        <v>243.63945673917135</v>
      </c>
      <c r="AO10" s="59">
        <f t="shared" si="36"/>
        <v>213.14969914288025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9.2928571428571427</v>
      </c>
      <c r="BD10" s="12">
        <f>IF('Données projet'!$A$88&gt;35,BD9+BC10-BL9,IF(A10&lt;'Données projet'!$A$88,$BA$205^A10,IF(A10='Données projet'!$A$88,'Données projet'!$B$88,BD9+BC10-BL9)))</f>
        <v>5.8003765114279382</v>
      </c>
      <c r="BE10" s="13">
        <f>BD10*VLOOKUP('Données projet'!$B$11,Paramètres!$A$1:$I$89,3,0)*VLOOKUP('Données projet'!$B$11,Paramètres!$A$1:$I$89,5,0)</f>
        <v>3.2424104698882177</v>
      </c>
      <c r="BF10" s="13">
        <f t="shared" si="37"/>
        <v>1.3030318267952323</v>
      </c>
      <c r="BG10" s="20">
        <f t="shared" si="7"/>
        <v>7.9166453333903419</v>
      </c>
      <c r="BH10" s="59">
        <f t="shared" si="8"/>
        <v>474.70775644450151</v>
      </c>
      <c r="BI10" s="59">
        <f ca="1">AVERAGE(OFFSET($BH$3,0,0,'Données projet'!$E$11+1,1))-AVERAGE(OFFSET($H$3,0,0,'Données projet'!$E$11+1,1))</f>
        <v>357.2406649189378</v>
      </c>
      <c r="BJ10" s="59">
        <f t="shared" si="38"/>
        <v>353.47109765343811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123.2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4.1066666666666665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3.4777600000000004</v>
      </c>
      <c r="D11" s="11">
        <f t="shared" si="32"/>
        <v>1.3862590632744058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28.535578504543185</v>
      </c>
      <c r="H11" s="67">
        <f t="shared" si="1"/>
        <v>460.20483320186963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6.2222222222222223</v>
      </c>
      <c r="N11" s="13">
        <f>IF('Données projet'!$A$36&gt;35,N10+M11-V10,IF(A11&lt;'Données projet'!$A$36,$K$205^A11,IF(A11='Données projet'!$A$36,'Données projet'!$B$36,N10+M11-V10)))</f>
        <v>8.1426087136553278</v>
      </c>
      <c r="O11" s="13">
        <f>N11*VLOOKUP('Données projet'!$B$9,Paramètres!$A$1:$I$89,3,0)*VLOOKUP('Données projet'!$B$9,Paramètres!$A$1:$I$89,5,0)</f>
        <v>5.080987837320925</v>
      </c>
      <c r="P11" s="13">
        <f t="shared" si="33"/>
        <v>1.9378843475584122</v>
      </c>
      <c r="Q11" s="20">
        <f t="shared" si="2"/>
        <v>12.224535721998178</v>
      </c>
      <c r="R11" s="59">
        <f t="shared" si="0"/>
        <v>481.16675794422036</v>
      </c>
      <c r="S11" s="59">
        <f ca="1">AVERAGE(OFFSET($R$3,0,0,'Données projet'!$E$9+1,1))-AVERAGE(OFFSET($H$3,0,0,'Données projet'!$E$9+1,1))</f>
        <v>216.99952889049467</v>
      </c>
      <c r="T11" s="59">
        <f t="shared" si="34"/>
        <v>340.62742489103783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4.7439999999999998</v>
      </c>
      <c r="AI11" s="13">
        <f>IF('Données projet'!$A$62&gt;35,AI10+AH11-AQ10,IF(A11&lt;'Données projet'!$A$62,$AF$205^A11,IF(A11='Données projet'!$A$62,'Données projet'!$B$62,AI10+AH11-AQ10)))</f>
        <v>4.6100655486352196</v>
      </c>
      <c r="AJ11" s="13">
        <f>AI11*VLOOKUP('Données projet'!$B$10,Paramètres!$A$1:$I$89,3,0)*VLOOKUP('Données projet'!$B$10,Paramètres!$A$1:$I$89,5,0)</f>
        <v>2.7568191980838614</v>
      </c>
      <c r="AK11" s="13">
        <f t="shared" si="35"/>
        <v>1.1290074950082019</v>
      </c>
      <c r="AL11" s="20">
        <f t="shared" si="4"/>
        <v>6.7678148238020102</v>
      </c>
      <c r="AM11" s="59">
        <f t="shared" si="5"/>
        <v>475.71003704602418</v>
      </c>
      <c r="AN11" s="59">
        <f ca="1">AVERAGE(OFFSET($AM$3,0,0,'Données projet'!$E$10+1,1))-AVERAGE(OFFSET($H$3,0,0,'Données projet'!$E$10+1,1))</f>
        <v>243.63945673917135</v>
      </c>
      <c r="AO11" s="59">
        <f t="shared" si="36"/>
        <v>213.14969914288025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9.2928571428571427</v>
      </c>
      <c r="BD11" s="12">
        <f>IF('Données projet'!$A$88&gt;35,BD10+BC11-BL10,IF(A11&lt;'Données projet'!$A$88,$BA$205^A11,IF(A11='Données projet'!$A$88,'Données projet'!$B$88,BD10+BC11-BL10)))</f>
        <v>7.4562653403153227</v>
      </c>
      <c r="BE11" s="13">
        <f>BD11*VLOOKUP('Données projet'!$B$11,Paramètres!$A$1:$I$89,3,0)*VLOOKUP('Données projet'!$B$11,Paramètres!$A$1:$I$89,5,0)</f>
        <v>4.1680523252362658</v>
      </c>
      <c r="BF11" s="13">
        <f t="shared" si="37"/>
        <v>1.6267657013034484</v>
      </c>
      <c r="BG11" s="20">
        <f t="shared" si="7"/>
        <v>10.092641396223335</v>
      </c>
      <c r="BH11" s="59">
        <f t="shared" si="8"/>
        <v>479.03486361844551</v>
      </c>
      <c r="BI11" s="59">
        <f ca="1">AVERAGE(OFFSET($BH$3,0,0,'Données projet'!$E$11+1,1))-AVERAGE(OFFSET($H$3,0,0,'Données projet'!$E$11+1,1))</f>
        <v>357.2406649189378</v>
      </c>
      <c r="BJ11" s="59">
        <f t="shared" si="38"/>
        <v>353.47109765343811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123.2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4.6933333333333334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3.9124800000000004</v>
      </c>
      <c r="D12" s="11">
        <f t="shared" si="32"/>
        <v>1.5383061183961511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31.977945227924085</v>
      </c>
      <c r="H12" s="67">
        <f t="shared" si="1"/>
        <v>461.2267858228733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6.2222222222222223</v>
      </c>
      <c r="N12" s="13">
        <f>IF('Données projet'!$A$36&gt;35,N11+M12-V11,IF(A12&lt;'Données projet'!$A$36,$K$205^A12,IF(A12='Données projet'!$A$36,'Données projet'!$B$36,N11+M12-V11)))</f>
        <v>10.583005244258365</v>
      </c>
      <c r="O12" s="13">
        <f>N12*VLOOKUP('Données projet'!$B$9,Paramètres!$A$1:$I$89,3,0)*VLOOKUP('Données projet'!$B$9,Paramètres!$A$1:$I$89,5,0)</f>
        <v>6.6037952724172193</v>
      </c>
      <c r="P12" s="13">
        <f t="shared" si="33"/>
        <v>2.4429900082608067</v>
      </c>
      <c r="Q12" s="20">
        <f t="shared" si="2"/>
        <v>15.75648436384756</v>
      </c>
      <c r="R12" s="59">
        <f t="shared" si="0"/>
        <v>486.84981769718087</v>
      </c>
      <c r="S12" s="59">
        <f ca="1">AVERAGE(OFFSET($R$3,0,0,'Données projet'!$E$9+1,1))-AVERAGE(OFFSET($H$3,0,0,'Données projet'!$E$9+1,1))</f>
        <v>216.99952889049467</v>
      </c>
      <c r="T12" s="59">
        <f t="shared" si="34"/>
        <v>340.62742489103783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4.7439999999999998</v>
      </c>
      <c r="AI12" s="13">
        <f>IF('Données projet'!$A$62&gt;35,AI11+AH12-AQ11,IF(A12&lt;'Données projet'!$A$62,$AF$205^A12,IF(A12='Données projet'!$A$62,'Données projet'!$B$62,AI11+AH12-AQ11)))</f>
        <v>5.5804662774153595</v>
      </c>
      <c r="AJ12" s="13">
        <f>AI12*VLOOKUP('Données projet'!$B$10,Paramètres!$A$1:$I$89,3,0)*VLOOKUP('Données projet'!$B$10,Paramètres!$A$1:$I$89,5,0)</f>
        <v>3.3371188338943854</v>
      </c>
      <c r="AK12" s="13">
        <f t="shared" si="35"/>
        <v>1.336605593598863</v>
      </c>
      <c r="AL12" s="20">
        <f t="shared" si="4"/>
        <v>8.1400700445507415</v>
      </c>
      <c r="AM12" s="59">
        <f t="shared" si="5"/>
        <v>479.23340337788403</v>
      </c>
      <c r="AN12" s="59">
        <f ca="1">AVERAGE(OFFSET($AM$3,0,0,'Données projet'!$E$10+1,1))-AVERAGE(OFFSET($H$3,0,0,'Données projet'!$E$10+1,1))</f>
        <v>243.63945673917135</v>
      </c>
      <c r="AO12" s="59">
        <f t="shared" si="36"/>
        <v>213.14969914288025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9.2928571428571427</v>
      </c>
      <c r="BD12" s="12">
        <f>IF('Données projet'!$A$88&gt;35,BD11+BC12-BL11,IF(A12&lt;'Données projet'!$A$88,$BA$205^A12,IF(A12='Données projet'!$A$88,'Données projet'!$B$88,BD11+BC12-BL11)))</f>
        <v>9.5848765533844578</v>
      </c>
      <c r="BE12" s="13">
        <f>BD12*VLOOKUP('Données projet'!$B$11,Paramètres!$A$1:$I$89,3,0)*VLOOKUP('Données projet'!$B$11,Paramètres!$A$1:$I$89,5,0)</f>
        <v>5.3579459933419118</v>
      </c>
      <c r="BF12" s="13">
        <f t="shared" si="37"/>
        <v>2.0309301680266394</v>
      </c>
      <c r="BG12" s="20">
        <f t="shared" si="7"/>
        <v>12.868959314383559</v>
      </c>
      <c r="BH12" s="59">
        <f t="shared" si="8"/>
        <v>483.96229264771688</v>
      </c>
      <c r="BI12" s="59">
        <f ca="1">AVERAGE(OFFSET($BH$3,0,0,'Données projet'!$E$11+1,1))-AVERAGE(OFFSET($H$3,0,0,'Données projet'!$E$11+1,1))</f>
        <v>357.2406649189378</v>
      </c>
      <c r="BJ12" s="59">
        <f t="shared" si="38"/>
        <v>353.47109765343811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123.2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5.28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4.3472000000000008</v>
      </c>
      <c r="D13" s="11">
        <f t="shared" si="32"/>
        <v>1.6883951115079807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35.408824654180158</v>
      </c>
      <c r="H13" s="67">
        <f t="shared" si="1"/>
        <v>462.2453281525431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6.2222222222222223</v>
      </c>
      <c r="N13" s="13">
        <f>IF('Données projet'!$A$36&gt;35,N12+M13-V12,IF(A13&lt;'Données projet'!$A$36,$K$205^A13,IF(A13='Données projet'!$A$36,'Données projet'!$B$36,N12+M13-V12)))</f>
        <v>13.754805608204368</v>
      </c>
      <c r="O13" s="13">
        <f>N13*VLOOKUP('Données projet'!$B$9,Paramètres!$A$1:$I$89,3,0)*VLOOKUP('Données projet'!$B$9,Paramètres!$A$1:$I$89,5,0)</f>
        <v>8.5829986995195267</v>
      </c>
      <c r="P13" s="13">
        <f t="shared" si="33"/>
        <v>3.0797504443346257</v>
      </c>
      <c r="Q13" s="20">
        <f t="shared" si="2"/>
        <v>20.312621425545984</v>
      </c>
      <c r="R13" s="59">
        <f t="shared" si="0"/>
        <v>493.55706586999042</v>
      </c>
      <c r="S13" s="59">
        <f ca="1">AVERAGE(OFFSET($R$3,0,0,'Données projet'!$E$9+1,1))-AVERAGE(OFFSET($H$3,0,0,'Données projet'!$E$9+1,1))</f>
        <v>216.99952889049467</v>
      </c>
      <c r="T13" s="59">
        <f t="shared" si="34"/>
        <v>340.62742489103783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4.7439999999999998</v>
      </c>
      <c r="AI13" s="13">
        <f>IF('Données projet'!$A$62&gt;35,AI12+AH13-AQ12,IF(A13&lt;'Données projet'!$A$62,$AF$205^A13,IF(A13='Données projet'!$A$62,'Données projet'!$B$62,AI12+AH13-AQ12)))</f>
        <v>6.7551325561063464</v>
      </c>
      <c r="AJ13" s="13">
        <f>AI13*VLOOKUP('Données projet'!$B$10,Paramètres!$A$1:$I$89,3,0)*VLOOKUP('Données projet'!$B$10,Paramètres!$A$1:$I$89,5,0)</f>
        <v>4.0395692685515954</v>
      </c>
      <c r="AK13" s="13">
        <f t="shared" si="35"/>
        <v>1.5823761319022867</v>
      </c>
      <c r="AL13" s="20">
        <f t="shared" si="4"/>
        <v>9.7915549057905107</v>
      </c>
      <c r="AM13" s="59">
        <f t="shared" si="5"/>
        <v>483.03599935023499</v>
      </c>
      <c r="AN13" s="59">
        <f ca="1">AVERAGE(OFFSET($AM$3,0,0,'Données projet'!$E$10+1,1))-AVERAGE(OFFSET($H$3,0,0,'Données projet'!$E$10+1,1))</f>
        <v>243.63945673917135</v>
      </c>
      <c r="AO13" s="59">
        <f t="shared" si="36"/>
        <v>213.14969914288025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9.2928571428571427</v>
      </c>
      <c r="BD13" s="12">
        <f>IF('Données projet'!$A$88&gt;35,BD12+BC13-BL12,IF(A13&lt;'Données projet'!$A$88,$BA$205^A13,IF(A13='Données projet'!$A$88,'Données projet'!$B$88,BD12+BC13-BL12)))</f>
        <v>12.321162720281352</v>
      </c>
      <c r="BE13" s="13">
        <f>BD13*VLOOKUP('Données projet'!$B$11,Paramètres!$A$1:$I$89,3,0)*VLOOKUP('Données projet'!$B$11,Paramètres!$A$1:$I$89,5,0)</f>
        <v>6.8875299606372762</v>
      </c>
      <c r="BF13" s="13">
        <f t="shared" si="37"/>
        <v>2.5355079370654359</v>
      </c>
      <c r="BG13" s="20">
        <f t="shared" si="7"/>
        <v>16.411791005165558</v>
      </c>
      <c r="BH13" s="59">
        <f t="shared" si="8"/>
        <v>489.65623544961005</v>
      </c>
      <c r="BI13" s="59">
        <f ca="1">AVERAGE(OFFSET($BH$3,0,0,'Données projet'!$E$11+1,1))-AVERAGE(OFFSET($H$3,0,0,'Données projet'!$E$11+1,1))</f>
        <v>357.2406649189378</v>
      </c>
      <c r="BJ13" s="59">
        <f t="shared" si="38"/>
        <v>353.47109765343811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123.2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5.8666666666666663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4.7819200000000013</v>
      </c>
      <c r="D14" s="11">
        <f t="shared" si="32"/>
        <v>1.8367441388278554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38.829496281123426</v>
      </c>
      <c r="H14" s="67">
        <f t="shared" si="1"/>
        <v>463.26084004179188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6.2222222222222223</v>
      </c>
      <c r="N14" s="13">
        <f>IF('Données projet'!$A$36&gt;35,N13+M14-V13,IF(A14&lt;'Données projet'!$A$36,$K$205^A14,IF(A14='Données projet'!$A$36,'Données projet'!$B$36,N13+M14-V13)))</f>
        <v>17.877216627302985</v>
      </c>
      <c r="O14" s="13">
        <f>N14*VLOOKUP('Données projet'!$B$9,Paramètres!$A$1:$I$89,3,0)*VLOOKUP('Données projet'!$B$9,Paramètres!$A$1:$I$89,5,0)</f>
        <v>11.155383175437063</v>
      </c>
      <c r="P14" s="13">
        <f t="shared" si="33"/>
        <v>3.8824812083990929</v>
      </c>
      <c r="Q14" s="20">
        <f t="shared" si="2"/>
        <v>26.1909471351813</v>
      </c>
      <c r="R14" s="59">
        <f t="shared" si="0"/>
        <v>501.58650269073689</v>
      </c>
      <c r="S14" s="59">
        <f ca="1">AVERAGE(OFFSET($R$3,0,0,'Données projet'!$E$9+1,1))-AVERAGE(OFFSET($H$3,0,0,'Données projet'!$E$9+1,1))</f>
        <v>216.99952889049467</v>
      </c>
      <c r="T14" s="59">
        <f t="shared" si="34"/>
        <v>340.62742489103783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4.7439999999999998</v>
      </c>
      <c r="AI14" s="13">
        <f>IF('Données projet'!$A$62&gt;35,AI13+AH14-AQ13,IF(A14&lt;'Données projet'!$A$62,$AF$205^A14,IF(A14='Données projet'!$A$62,'Données projet'!$B$62,AI13+AH14-AQ13)))</f>
        <v>8.1770614823431256</v>
      </c>
      <c r="AJ14" s="13">
        <f>AI14*VLOOKUP('Données projet'!$B$10,Paramètres!$A$1:$I$89,3,0)*VLOOKUP('Données projet'!$B$10,Paramètres!$A$1:$I$89,5,0)</f>
        <v>4.8898827664411897</v>
      </c>
      <c r="AK14" s="13">
        <f t="shared" si="35"/>
        <v>1.8733381296663256</v>
      </c>
      <c r="AL14" s="20">
        <f t="shared" si="4"/>
        <v>11.779276394053923</v>
      </c>
      <c r="AM14" s="59">
        <f t="shared" si="5"/>
        <v>487.17483194960948</v>
      </c>
      <c r="AN14" s="59">
        <f ca="1">AVERAGE(OFFSET($AM$3,0,0,'Données projet'!$E$10+1,1))-AVERAGE(OFFSET($H$3,0,0,'Données projet'!$E$10+1,1))</f>
        <v>243.63945673917135</v>
      </c>
      <c r="AO14" s="59">
        <f t="shared" si="36"/>
        <v>213.14969914288025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9.2928571428571427</v>
      </c>
      <c r="BD14" s="12">
        <f>IF('Données projet'!$A$88&gt;35,BD13+BC14-BL13,IF(A14&lt;'Données projet'!$A$88,$BA$205^A14,IF(A14='Données projet'!$A$88,'Données projet'!$B$88,BD13+BC14-BL13)))</f>
        <v>15.838602608402494</v>
      </c>
      <c r="BE14" s="13">
        <f>BD14*VLOOKUP('Données projet'!$B$11,Paramètres!$A$1:$I$89,3,0)*VLOOKUP('Données projet'!$B$11,Paramètres!$A$1:$I$89,5,0)</f>
        <v>8.8537788580969945</v>
      </c>
      <c r="BF14" s="13">
        <f t="shared" si="37"/>
        <v>3.1654463556314143</v>
      </c>
      <c r="BG14" s="20">
        <f t="shared" si="7"/>
        <v>20.933483913910308</v>
      </c>
      <c r="BH14" s="59">
        <f t="shared" si="8"/>
        <v>496.3290394694659</v>
      </c>
      <c r="BI14" s="59">
        <f ca="1">AVERAGE(OFFSET($BH$3,0,0,'Données projet'!$E$11+1,1))-AVERAGE(OFFSET($H$3,0,0,'Données projet'!$E$11+1,1))</f>
        <v>357.2406649189378</v>
      </c>
      <c r="BJ14" s="59">
        <f t="shared" si="38"/>
        <v>353.47109765343811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123.2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6.4533333333333331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5.2166400000000017</v>
      </c>
      <c r="D15" s="11">
        <f t="shared" si="32"/>
        <v>1.9835293683010877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42.2409936273664</v>
      </c>
      <c r="H15" s="67">
        <f t="shared" si="1"/>
        <v>464.27362831645775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6.2222222222222223</v>
      </c>
      <c r="N15" s="13">
        <f>IF('Données projet'!$A$36&gt;35,N14+M15-V14,IF(A15&lt;'Données projet'!$A$36,$K$205^A15,IF(A15='Données projet'!$A$36,'Données projet'!$B$36,N14+M15-V14)))</f>
        <v>23.235142934254824</v>
      </c>
      <c r="O15" s="13">
        <f>N15*VLOOKUP('Données projet'!$B$9,Paramètres!$A$1:$I$89,3,0)*VLOOKUP('Données projet'!$B$9,Paramètres!$A$1:$I$89,5,0)</f>
        <v>14.498729190975009</v>
      </c>
      <c r="P15" s="13">
        <f t="shared" si="33"/>
        <v>4.8944421329010357</v>
      </c>
      <c r="Q15" s="20">
        <f t="shared" si="2"/>
        <v>33.776440055750776</v>
      </c>
      <c r="R15" s="59">
        <f t="shared" si="0"/>
        <v>511.32310672241744</v>
      </c>
      <c r="S15" s="59">
        <f ca="1">AVERAGE(OFFSET($R$3,0,0,'Données projet'!$E$9+1,1))-AVERAGE(OFFSET($H$3,0,0,'Données projet'!$E$9+1,1))</f>
        <v>216.99952889049467</v>
      </c>
      <c r="T15" s="59">
        <f t="shared" si="34"/>
        <v>340.62742489103783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4.7439999999999998</v>
      </c>
      <c r="AI15" s="13">
        <f>IF('Données projet'!$A$62&gt;35,AI14+AH15-AQ14,IF(A15&lt;'Données projet'!$A$62,$AF$205^A15,IF(A15='Données projet'!$A$62,'Données projet'!$B$62,AI14+AH15-AQ14)))</f>
        <v>9.8983008742851535</v>
      </c>
      <c r="AJ15" s="13">
        <f>AI15*VLOOKUP('Données projet'!$B$10,Paramètres!$A$1:$I$89,3,0)*VLOOKUP('Données projet'!$B$10,Paramètres!$A$1:$I$89,5,0)</f>
        <v>5.9191839228225227</v>
      </c>
      <c r="AK15" s="13">
        <f t="shared" si="35"/>
        <v>2.217801240368074</v>
      </c>
      <c r="AL15" s="20">
        <f t="shared" si="4"/>
        <v>14.171915825890288</v>
      </c>
      <c r="AM15" s="59">
        <f t="shared" si="5"/>
        <v>491.71858249255695</v>
      </c>
      <c r="AN15" s="59">
        <f ca="1">AVERAGE(OFFSET($AM$3,0,0,'Données projet'!$E$10+1,1))-AVERAGE(OFFSET($H$3,0,0,'Données projet'!$E$10+1,1))</f>
        <v>243.63945673917135</v>
      </c>
      <c r="AO15" s="59">
        <f t="shared" si="36"/>
        <v>213.14969914288025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9.2928571428571427</v>
      </c>
      <c r="BD15" s="12">
        <f>IF('Données projet'!$A$88&gt;35,BD14+BC15-BL14,IF(A15&lt;'Données projet'!$A$88,$BA$205^A15,IF(A15='Données projet'!$A$88,'Données projet'!$B$88,BD14+BC15-BL14)))</f>
        <v>20.360199624176857</v>
      </c>
      <c r="BE15" s="13">
        <f>BD15*VLOOKUP('Données projet'!$B$11,Paramètres!$A$1:$I$89,3,0)*VLOOKUP('Données projet'!$B$11,Paramètres!$A$1:$I$89,5,0)</f>
        <v>11.381351589914864</v>
      </c>
      <c r="BF15" s="13">
        <f t="shared" si="37"/>
        <v>3.9518908554383323</v>
      </c>
      <c r="BG15" s="20">
        <f t="shared" si="7"/>
        <v>26.705397258990146</v>
      </c>
      <c r="BH15" s="59">
        <f t="shared" si="8"/>
        <v>504.25206392565684</v>
      </c>
      <c r="BI15" s="59">
        <f ca="1">AVERAGE(OFFSET($BH$3,0,0,'Données projet'!$E$11+1,1))-AVERAGE(OFFSET($H$3,0,0,'Données projet'!$E$11+1,1))</f>
        <v>357.2406649189378</v>
      </c>
      <c r="BJ15" s="59">
        <f t="shared" si="38"/>
        <v>353.47109765343811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123.2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7.0400000000000009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5.6513600000000022</v>
      </c>
      <c r="D16" s="11">
        <f t="shared" si="32"/>
        <v>2.1288959322421808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45.644168135820799</v>
      </c>
      <c r="H16" s="67">
        <f t="shared" si="1"/>
        <v>465.28394574865513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6.2222222222222223</v>
      </c>
      <c r="N16" s="13">
        <f>IF('Données projet'!$A$36&gt;35,N15+M16-V15,IF(A16&lt;'Données projet'!$A$36,$K$205^A16,IF(A16='Données projet'!$A$36,'Données projet'!$B$36,N15+M16-V15)))</f>
        <v>30.19887706404656</v>
      </c>
      <c r="O16" s="13">
        <f>N16*VLOOKUP('Données projet'!$B$9,Paramètres!$A$1:$I$89,3,0)*VLOOKUP('Données projet'!$B$9,Paramètres!$A$1:$I$89,5,0)</f>
        <v>18.844099287965054</v>
      </c>
      <c r="P16" s="13">
        <f t="shared" si="33"/>
        <v>6.1701686386769925</v>
      </c>
      <c r="Q16" s="20">
        <f t="shared" si="2"/>
        <v>43.566516638901568</v>
      </c>
      <c r="R16" s="59">
        <f t="shared" si="0"/>
        <v>523.26429441667938</v>
      </c>
      <c r="S16" s="59">
        <f ca="1">AVERAGE(OFFSET($R$3,0,0,'Données projet'!$E$9+1,1))-AVERAGE(OFFSET($H$3,0,0,'Données projet'!$E$9+1,1))</f>
        <v>216.99952889049467</v>
      </c>
      <c r="T16" s="59">
        <f t="shared" si="34"/>
        <v>340.62742489103783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4.7439999999999998</v>
      </c>
      <c r="AI16" s="13">
        <f>IF('Données projet'!$A$62&gt;35,AI15+AH16-AQ15,IF(A16&lt;'Données projet'!$A$62,$AF$205^A16,IF(A16='Données projet'!$A$62,'Données projet'!$B$62,AI15+AH16-AQ15)))</f>
        <v>11.981854411812401</v>
      </c>
      <c r="AJ16" s="13">
        <f>AI16*VLOOKUP('Données projet'!$B$10,Paramètres!$A$1:$I$89,3,0)*VLOOKUP('Données projet'!$B$10,Paramètres!$A$1:$I$89,5,0)</f>
        <v>7.1651489382638172</v>
      </c>
      <c r="AK16" s="13">
        <f t="shared" si="35"/>
        <v>2.6256030686004697</v>
      </c>
      <c r="AL16" s="20">
        <f t="shared" si="4"/>
        <v>17.052226411955296</v>
      </c>
      <c r="AM16" s="59">
        <f t="shared" si="5"/>
        <v>496.75000418973315</v>
      </c>
      <c r="AN16" s="59">
        <f ca="1">AVERAGE(OFFSET($AM$3,0,0,'Données projet'!$E$10+1,1))-AVERAGE(OFFSET($H$3,0,0,'Données projet'!$E$10+1,1))</f>
        <v>243.63945673917135</v>
      </c>
      <c r="AO16" s="59">
        <f t="shared" si="36"/>
        <v>213.14969914288025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9.2928571428571427</v>
      </c>
      <c r="BD16" s="12">
        <f>IF('Données projet'!$A$88&gt;35,BD15+BC16-BL15,IF(A16&lt;'Données projet'!$A$88,$BA$205^A16,IF(A16='Données projet'!$A$88,'Données projet'!$B$88,BD15+BC16-BL15)))</f>
        <v>26.172620084325885</v>
      </c>
      <c r="BE16" s="13">
        <f>BD16*VLOOKUP('Données projet'!$B$11,Paramètres!$A$1:$I$89,3,0)*VLOOKUP('Données projet'!$B$11,Paramètres!$A$1:$I$89,5,0)</f>
        <v>14.63049462713817</v>
      </c>
      <c r="BF16" s="13">
        <f t="shared" si="37"/>
        <v>4.9337248459489009</v>
      </c>
      <c r="BG16" s="20">
        <f t="shared" si="7"/>
        <v>34.074348915626643</v>
      </c>
      <c r="BH16" s="59">
        <f t="shared" si="8"/>
        <v>513.77212669340452</v>
      </c>
      <c r="BI16" s="59">
        <f ca="1">AVERAGE(OFFSET($BH$3,0,0,'Données projet'!$E$11+1,1))-AVERAGE(OFFSET($H$3,0,0,'Données projet'!$E$11+1,1))</f>
        <v>357.2406649189378</v>
      </c>
      <c r="BJ16" s="59">
        <f t="shared" si="38"/>
        <v>353.47109765343811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123.2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7.626666666666666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6.0860800000000026</v>
      </c>
      <c r="D17" s="11">
        <f t="shared" si="32"/>
        <v>2.2729653665404315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49.039732817037212</v>
      </c>
      <c r="H17" s="67">
        <f t="shared" si="1"/>
        <v>466.29200401339125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6.2222222222222223</v>
      </c>
      <c r="N17" s="13">
        <f>IF('Données projet'!$A$36&gt;35,N16+M17-V16,IF(A17&lt;'Données projet'!$A$36,$K$205^A17,IF(A17='Données projet'!$A$36,'Données projet'!$B$36,N16+M17-V16)))</f>
        <v>39.249690802844427</v>
      </c>
      <c r="O17" s="13">
        <f>N17*VLOOKUP('Données projet'!$B$9,Paramètres!$A$1:$I$89,3,0)*VLOOKUP('Données projet'!$B$9,Paramètres!$A$1:$I$89,5,0)</f>
        <v>24.491807060974921</v>
      </c>
      <c r="P17" s="13">
        <f t="shared" si="33"/>
        <v>7.7784106944068903</v>
      </c>
      <c r="Q17" s="20">
        <f t="shared" si="2"/>
        <v>56.203962590623313</v>
      </c>
      <c r="R17" s="59">
        <f t="shared" si="0"/>
        <v>538.05285147951224</v>
      </c>
      <c r="S17" s="59">
        <f ca="1">AVERAGE(OFFSET($R$3,0,0,'Données projet'!$E$9+1,1))-AVERAGE(OFFSET($H$3,0,0,'Données projet'!$E$9+1,1))</f>
        <v>216.99952889049467</v>
      </c>
      <c r="T17" s="59">
        <f t="shared" si="34"/>
        <v>340.62742489103783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4.7439999999999998</v>
      </c>
      <c r="AI17" s="13">
        <f>IF('Données projet'!$A$62&gt;35,AI16+AH17-AQ16,IF(A17&lt;'Données projet'!$A$62,$AF$205^A17,IF(A17='Données projet'!$A$62,'Données projet'!$B$62,AI16+AH17-AQ16)))</f>
        <v>14.503987802475892</v>
      </c>
      <c r="AJ17" s="13">
        <f>AI17*VLOOKUP('Données projet'!$B$10,Paramètres!$A$1:$I$89,3,0)*VLOOKUP('Données projet'!$B$10,Paramètres!$A$1:$I$89,5,0)</f>
        <v>8.6733847058805846</v>
      </c>
      <c r="AK17" s="13">
        <f t="shared" si="35"/>
        <v>3.1083901245812644</v>
      </c>
      <c r="AL17" s="20">
        <f t="shared" si="4"/>
        <v>20.51992449638772</v>
      </c>
      <c r="AM17" s="59">
        <f t="shared" si="5"/>
        <v>502.36881338527661</v>
      </c>
      <c r="AN17" s="59">
        <f ca="1">AVERAGE(OFFSET($AM$3,0,0,'Données projet'!$E$10+1,1))-AVERAGE(OFFSET($H$3,0,0,'Données projet'!$E$10+1,1))</f>
        <v>243.63945673917135</v>
      </c>
      <c r="AO17" s="59">
        <f t="shared" si="36"/>
        <v>213.14969914288025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9.2928571428571427</v>
      </c>
      <c r="BD17" s="12">
        <f>IF('Données projet'!$A$88&gt;35,BD16+BC17-BL16,IF(A17&lt;'Données projet'!$A$88,$BA$205^A17,IF(A17='Données projet'!$A$88,'Données projet'!$B$88,BD16+BC17-BL16)))</f>
        <v>33.64436767432494</v>
      </c>
      <c r="BE17" s="13">
        <f>BD17*VLOOKUP('Données projet'!$B$11,Paramètres!$A$1:$I$89,3,0)*VLOOKUP('Données projet'!$B$11,Paramètres!$A$1:$I$89,5,0)</f>
        <v>18.80720152994764</v>
      </c>
      <c r="BF17" s="13">
        <f t="shared" si="37"/>
        <v>6.1594921889191685</v>
      </c>
      <c r="BG17" s="20">
        <f t="shared" si="7"/>
        <v>43.483658227026353</v>
      </c>
      <c r="BH17" s="59">
        <f t="shared" si="8"/>
        <v>525.3325471159153</v>
      </c>
      <c r="BI17" s="59">
        <f ca="1">AVERAGE(OFFSET($BH$3,0,0,'Données projet'!$E$11+1,1))-AVERAGE(OFFSET($H$3,0,0,'Données projet'!$E$11+1,1))</f>
        <v>357.2406649189378</v>
      </c>
      <c r="BJ17" s="59">
        <f t="shared" si="38"/>
        <v>353.47109765343811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123.2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8.2133333333333329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6.520800000000003</v>
      </c>
      <c r="D18" s="11">
        <f t="shared" si="32"/>
        <v>2.4158408609871418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52.428293051124591</v>
      </c>
      <c r="H18" s="67">
        <f t="shared" si="1"/>
        <v>467.29798283288596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6.2222222222222223</v>
      </c>
      <c r="N18" s="13">
        <f>IF('Données projet'!$A$36&gt;35,N17+M18-V17,IF(A18&lt;'Données projet'!$A$36,$K$205^A18,IF(A18='Données projet'!$A$36,'Données projet'!$B$36,N17+M18-V17)))</f>
        <v>51.013096442350388</v>
      </c>
      <c r="O18" s="13">
        <f>N18*VLOOKUP('Données projet'!$B$9,Paramètres!$A$1:$I$89,3,0)*VLOOKUP('Données projet'!$B$9,Paramètres!$A$1:$I$89,5,0)</f>
        <v>31.832172180026642</v>
      </c>
      <c r="P18" s="13">
        <f t="shared" si="33"/>
        <v>9.8058378099430179</v>
      </c>
      <c r="Q18" s="20">
        <f t="shared" si="2"/>
        <v>72.519534065863823</v>
      </c>
      <c r="R18" s="59">
        <f t="shared" si="0"/>
        <v>556.51953406586381</v>
      </c>
      <c r="S18" s="59">
        <f ca="1">AVERAGE(OFFSET($R$3,0,0,'Données projet'!$E$9+1,1))-AVERAGE(OFFSET($H$3,0,0,'Données projet'!$E$9+1,1))</f>
        <v>216.99952889049467</v>
      </c>
      <c r="T18" s="59">
        <f t="shared" si="34"/>
        <v>340.62742489103783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4.7439999999999998</v>
      </c>
      <c r="AI18" s="13">
        <f>IF('Données projet'!$A$62&gt;35,AI17+AH18-AQ17,IF(A18&lt;'Données projet'!$A$62,$AF$205^A18,IF(A18='Données projet'!$A$62,'Données projet'!$B$62,AI17+AH18-AQ17)))</f>
        <v>17.557020386341769</v>
      </c>
      <c r="AJ18" s="13">
        <f>AI18*VLOOKUP('Données projet'!$B$10,Paramètres!$A$1:$I$89,3,0)*VLOOKUP('Données projet'!$B$10,Paramètres!$A$1:$I$89,5,0)</f>
        <v>10.499098191032378</v>
      </c>
      <c r="AK18" s="13">
        <f t="shared" si="35"/>
        <v>3.6799504396315821</v>
      </c>
      <c r="AL18" s="20">
        <f t="shared" si="4"/>
        <v>24.695176365073063</v>
      </c>
      <c r="AM18" s="59">
        <f t="shared" si="5"/>
        <v>508.69517636507305</v>
      </c>
      <c r="AN18" s="59">
        <f ca="1">AVERAGE(OFFSET($AM$3,0,0,'Données projet'!$E$10+1,1))-AVERAGE(OFFSET($H$3,0,0,'Données projet'!$E$10+1,1))</f>
        <v>243.63945673917135</v>
      </c>
      <c r="AO18" s="59">
        <f t="shared" si="36"/>
        <v>213.14969914288025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9.2928571428571427</v>
      </c>
      <c r="BD18" s="12">
        <f>IF('Données projet'!$A$88&gt;35,BD17+BC18-BL17,IF(A18&lt;'Données projet'!$A$88,$BA$205^A18,IF(A18='Données projet'!$A$88,'Données projet'!$B$88,BD17+BC18-BL17)))</f>
        <v>43.249146342939241</v>
      </c>
      <c r="BE18" s="13">
        <f>BD18*VLOOKUP('Données projet'!$B$11,Paramètres!$A$1:$I$89,3,0)*VLOOKUP('Données projet'!$B$11,Paramètres!$A$1:$I$89,5,0)</f>
        <v>24.176272805703039</v>
      </c>
      <c r="BF18" s="13">
        <f t="shared" si="37"/>
        <v>7.6897973052770441</v>
      </c>
      <c r="BG18" s="20">
        <f t="shared" si="7"/>
        <v>55.500072109956967</v>
      </c>
      <c r="BH18" s="59">
        <f t="shared" si="8"/>
        <v>539.50007210995693</v>
      </c>
      <c r="BI18" s="59">
        <f ca="1">AVERAGE(OFFSET($BH$3,0,0,'Données projet'!$E$11+1,1))-AVERAGE(OFFSET($H$3,0,0,'Données projet'!$E$11+1,1))</f>
        <v>357.2406649189378</v>
      </c>
      <c r="BJ18" s="59">
        <f t="shared" si="38"/>
        <v>353.47109765343811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123.2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8.8000000000000007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6.9555200000000035</v>
      </c>
      <c r="D19" s="11">
        <f t="shared" si="32"/>
        <v>2.5576110683450519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55.810368934290999</v>
      </c>
      <c r="H19" s="67">
        <f t="shared" si="1"/>
        <v>468.30203661070101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6.2222222222222223</v>
      </c>
      <c r="N19" s="13">
        <f>IF('Données projet'!$A$36&gt;35,N18+M19-V18,IF(A19&lt;'Données projet'!$A$36,$K$205^A19,IF(A19='Données projet'!$A$36,'Données projet'!$B$36,N18+M19-V18)))</f>
        <v>66.302076663695672</v>
      </c>
      <c r="O19" s="13">
        <f>N19*VLOOKUP('Données projet'!$B$9,Paramètres!$A$1:$I$89,3,0)*VLOOKUP('Données projet'!$B$9,Paramètres!$A$1:$I$89,5,0)</f>
        <v>41.372495838146101</v>
      </c>
      <c r="P19" s="13">
        <f t="shared" si="33"/>
        <v>12.361709728704412</v>
      </c>
      <c r="Q19" s="20">
        <f t="shared" si="2"/>
        <v>93.587074695597963</v>
      </c>
      <c r="R19" s="59">
        <f t="shared" si="0"/>
        <v>579.73818580670911</v>
      </c>
      <c r="S19" s="59">
        <f ca="1">AVERAGE(OFFSET($R$3,0,0,'Données projet'!$E$9+1,1))-AVERAGE(OFFSET($H$3,0,0,'Données projet'!$E$9+1,1))</f>
        <v>216.99952889049467</v>
      </c>
      <c r="T19" s="59">
        <f t="shared" si="34"/>
        <v>340.62742489103783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4.7439999999999998</v>
      </c>
      <c r="AI19" s="13">
        <f>IF('Données projet'!$A$62&gt;35,AI18+AH19-AQ18,IF(A19&lt;'Données projet'!$A$62,$AF$205^A19,IF(A19='Données projet'!$A$62,'Données projet'!$B$62,AI18+AH19-AQ18)))</f>
        <v>21.252704362713349</v>
      </c>
      <c r="AJ19" s="13">
        <f>AI19*VLOOKUP('Données projet'!$B$10,Paramètres!$A$1:$I$89,3,0)*VLOOKUP('Données projet'!$B$10,Paramètres!$A$1:$I$89,5,0)</f>
        <v>12.709117208902583</v>
      </c>
      <c r="AK19" s="13">
        <f t="shared" si="35"/>
        <v>4.3566073418692719</v>
      </c>
      <c r="AL19" s="20">
        <f t="shared" si="4"/>
        <v>29.722803592594314</v>
      </c>
      <c r="AM19" s="59">
        <f t="shared" si="5"/>
        <v>515.8739147037054</v>
      </c>
      <c r="AN19" s="59">
        <f ca="1">AVERAGE(OFFSET($AM$3,0,0,'Données projet'!$E$10+1,1))-AVERAGE(OFFSET($H$3,0,0,'Données projet'!$E$10+1,1))</f>
        <v>243.63945673917135</v>
      </c>
      <c r="AO19" s="59">
        <f t="shared" si="36"/>
        <v>213.14969914288025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9.2928571428571427</v>
      </c>
      <c r="BD19" s="12">
        <f>IF('Données projet'!$A$88&gt;35,BD18+BC19-BL18,IF(A19&lt;'Données projet'!$A$88,$BA$205^A19,IF(A19='Données projet'!$A$88,'Données projet'!$B$88,BD18+BC19-BL18)))</f>
        <v>55.595892825187576</v>
      </c>
      <c r="BE19" s="13">
        <f>BD19*VLOOKUP('Données projet'!$B$11,Paramètres!$A$1:$I$89,3,0)*VLOOKUP('Données projet'!$B$11,Paramètres!$A$1:$I$89,5,0)</f>
        <v>31.078104089279854</v>
      </c>
      <c r="BF19" s="13">
        <f t="shared" si="37"/>
        <v>9.6003015804818173</v>
      </c>
      <c r="BG19" s="20">
        <f t="shared" si="7"/>
        <v>70.84822320816825</v>
      </c>
      <c r="BH19" s="59">
        <f t="shared" si="8"/>
        <v>556.99933431927934</v>
      </c>
      <c r="BI19" s="59">
        <f ca="1">AVERAGE(OFFSET($BH$3,0,0,'Données projet'!$E$11+1,1))-AVERAGE(OFFSET($H$3,0,0,'Données projet'!$E$11+1,1))</f>
        <v>357.2406649189378</v>
      </c>
      <c r="BJ19" s="59">
        <f t="shared" si="38"/>
        <v>353.47109765343811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123.2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9.3866666666666667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7.3902400000000039</v>
      </c>
      <c r="D20" s="11">
        <f t="shared" si="32"/>
        <v>2.6983529334477749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59.186411876226963</v>
      </c>
      <c r="H20" s="67">
        <f t="shared" si="1"/>
        <v>469.30429935908825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6.2222222222222223</v>
      </c>
      <c r="N20" s="13">
        <f>IF('Données projet'!$A$36&gt;35,N19+M20-V19,IF(A20&lt;'Données projet'!$A$36,$K$205^A20,IF(A20='Données projet'!$A$36,'Données projet'!$B$36,N19+M20-V19)))</f>
        <v>86.1732707185582</v>
      </c>
      <c r="O20" s="13">
        <f>N20*VLOOKUP('Données projet'!$B$9,Paramètres!$A$1:$I$89,3,0)*VLOOKUP('Données projet'!$B$9,Paramètres!$A$1:$I$89,5,0)</f>
        <v>53.772120928380318</v>
      </c>
      <c r="P20" s="13">
        <f t="shared" si="33"/>
        <v>15.583764526657339</v>
      </c>
      <c r="Q20" s="20">
        <f t="shared" si="2"/>
        <v>120.79483383419057</v>
      </c>
      <c r="R20" s="59">
        <f t="shared" si="0"/>
        <v>609.09705605641284</v>
      </c>
      <c r="S20" s="59">
        <f ca="1">AVERAGE(OFFSET($R$3,0,0,'Données projet'!$E$9+1,1))-AVERAGE(OFFSET($H$3,0,0,'Données projet'!$E$9+1,1))</f>
        <v>216.99952889049467</v>
      </c>
      <c r="T20" s="59">
        <f t="shared" si="34"/>
        <v>340.62742489103783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4.7439999999999998</v>
      </c>
      <c r="AI20" s="13">
        <f>IF('Données projet'!$A$62&gt;35,AI19+AH20-AQ19,IF(A20&lt;'Données projet'!$A$62,$AF$205^A20,IF(A20='Données projet'!$A$62,'Données projet'!$B$62,AI19+AH20-AQ19)))</f>
        <v>25.726315330833181</v>
      </c>
      <c r="AJ20" s="13">
        <f>AI20*VLOOKUP('Données projet'!$B$10,Paramètres!$A$1:$I$89,3,0)*VLOOKUP('Données projet'!$B$10,Paramètres!$A$1:$I$89,5,0)</f>
        <v>15.384336567838243</v>
      </c>
      <c r="AK20" s="13">
        <f t="shared" si="35"/>
        <v>5.1576856380515324</v>
      </c>
      <c r="AL20" s="20">
        <f t="shared" si="4"/>
        <v>35.777355341924697</v>
      </c>
      <c r="AM20" s="59">
        <f t="shared" si="5"/>
        <v>524.07957756414692</v>
      </c>
      <c r="AN20" s="59">
        <f ca="1">AVERAGE(OFFSET($AM$3,0,0,'Données projet'!$E$10+1,1))-AVERAGE(OFFSET($H$3,0,0,'Données projet'!$E$10+1,1))</f>
        <v>243.63945673917135</v>
      </c>
      <c r="AO20" s="59">
        <f t="shared" si="36"/>
        <v>213.14969914288025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9.2928571428571427</v>
      </c>
      <c r="BD20" s="12">
        <f>IF('Données projet'!$A$88&gt;35,BD19+BC20-BL19,IF(A20&lt;'Données projet'!$A$88,$BA$205^A20,IF(A20='Données projet'!$A$88,'Données projet'!$B$88,BD19+BC20-BL19)))</f>
        <v>71.467382836201523</v>
      </c>
      <c r="BE20" s="13">
        <f>BD20*VLOOKUP('Données projet'!$B$11,Paramètres!$A$1:$I$89,3,0)*VLOOKUP('Données projet'!$B$11,Paramètres!$A$1:$I$89,5,0)</f>
        <v>39.95026700543665</v>
      </c>
      <c r="BF20" s="13">
        <f t="shared" si="37"/>
        <v>11.985464216716585</v>
      </c>
      <c r="BG20" s="20">
        <f t="shared" si="7"/>
        <v>90.454731878583559</v>
      </c>
      <c r="BH20" s="59">
        <f t="shared" si="8"/>
        <v>578.75695410080584</v>
      </c>
      <c r="BI20" s="59">
        <f ca="1">AVERAGE(OFFSET($BH$3,0,0,'Données projet'!$E$11+1,1))-AVERAGE(OFFSET($H$3,0,0,'Données projet'!$E$11+1,1))</f>
        <v>357.2406649189378</v>
      </c>
      <c r="BJ20" s="59">
        <f t="shared" si="38"/>
        <v>353.47109765343811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123.2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9.9733333333333345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7.8249600000000044</v>
      </c>
      <c r="D21" s="11">
        <f t="shared" si="32"/>
        <v>2.8381338374226446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62.556817179546215</v>
      </c>
      <c r="H21" s="67">
        <f t="shared" si="1"/>
        <v>470.30488843351111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K21" s="12">
        <f>VLOOKUP(A21,'Données projet'!$A$35:$I$55,2,0)</f>
        <v>112</v>
      </c>
      <c r="L21" s="12">
        <f>VLOOKUP(A21,'Données projet'!$A$35:$I$55,9,0)</f>
        <v>6.2222222222222223</v>
      </c>
      <c r="M21" s="12">
        <f t="array" ref="M21">INDEX(L:L,MIN(IF(ISNUMBER(L21:L217),ROW(L21:L217),"")))</f>
        <v>6.2222222222222223</v>
      </c>
      <c r="N21" s="13">
        <f>IF('Données projet'!$A$36&gt;35,N20+M21-V20,IF(A21&lt;'Données projet'!$A$36,$K$205^A21,IF(A21='Données projet'!$A$36,'Données projet'!$B$36,N20+M21-V20)))</f>
        <v>112</v>
      </c>
      <c r="O21" s="13">
        <f>N21*VLOOKUP('Données projet'!$B$9,Paramètres!$A$1:$I$89,3,0)*VLOOKUP('Données projet'!$B$9,Paramètres!$A$1:$I$89,5,0)</f>
        <v>69.888000000000005</v>
      </c>
      <c r="P21" s="13">
        <f t="shared" si="33"/>
        <v>19.645641432461961</v>
      </c>
      <c r="Q21" s="20">
        <f t="shared" si="2"/>
        <v>155.93775882820458</v>
      </c>
      <c r="R21" s="59">
        <f t="shared" si="0"/>
        <v>646.39109216153793</v>
      </c>
      <c r="S21" s="59">
        <f ca="1">AVERAGE(OFFSET($R$3,0,0,'Données projet'!$E$9+1,1))-AVERAGE(OFFSET($H$3,0,0,'Données projet'!$E$9+1,1))</f>
        <v>216.99952889049467</v>
      </c>
      <c r="T21" s="59">
        <f t="shared" si="34"/>
        <v>340.62742489103783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20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9.8942033976948078</v>
      </c>
      <c r="AB21" s="21">
        <f>EXP(-LN(2)/2)*AB20+(1-EXP(-LN(2)/2))/(LN(2)/2)*V21*Y21*VLOOKUP('Données projet'!$B$9,Paramètres!$A$1:$I$89,3,0)*0.475*44/12</f>
        <v>0</v>
      </c>
      <c r="AC21" s="22">
        <f t="shared" si="3"/>
        <v>9.8942033976948078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4.7439999999999998</v>
      </c>
      <c r="AI21" s="13">
        <f>IF('Données projet'!$A$62&gt;35,AI20+AH21-AQ20,IF(A21&lt;'Données projet'!$A$62,$AF$205^A21,IF(A21='Données projet'!$A$62,'Données projet'!$B$62,AI20+AH21-AQ20)))</f>
        <v>31.141603873370038</v>
      </c>
      <c r="AJ21" s="13">
        <f>AI21*VLOOKUP('Données projet'!$B$10,Paramètres!$A$1:$I$89,3,0)*VLOOKUP('Données projet'!$B$10,Paramètres!$A$1:$I$89,5,0)</f>
        <v>18.622679116275282</v>
      </c>
      <c r="AK21" s="13">
        <f t="shared" si="35"/>
        <v>6.1060635153658716</v>
      </c>
      <c r="AL21" s="20">
        <f t="shared" si="4"/>
        <v>43.069226750108349</v>
      </c>
      <c r="AM21" s="59">
        <f t="shared" si="5"/>
        <v>533.5225600834417</v>
      </c>
      <c r="AN21" s="59">
        <f ca="1">AVERAGE(OFFSET($AM$3,0,0,'Données projet'!$E$10+1,1))-AVERAGE(OFFSET($H$3,0,0,'Données projet'!$E$10+1,1))</f>
        <v>243.63945673917135</v>
      </c>
      <c r="AO21" s="59">
        <f t="shared" si="36"/>
        <v>213.14969914288025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9.2928571428571427</v>
      </c>
      <c r="BD21" s="12">
        <f>IF('Données projet'!$A$88&gt;35,BD20+BC21-BL20,IF(A21&lt;'Données projet'!$A$88,$BA$205^A21,IF(A21='Données projet'!$A$88,'Données projet'!$B$88,BD20+BC21-BL20)))</f>
        <v>91.869858543619102</v>
      </c>
      <c r="BE21" s="13">
        <f>BD21*VLOOKUP('Données projet'!$B$11,Paramètres!$A$1:$I$89,3,0)*VLOOKUP('Données projet'!$B$11,Paramètres!$A$1:$I$89,5,0)</f>
        <v>51.355250925883077</v>
      </c>
      <c r="BF21" s="13">
        <f t="shared" si="37"/>
        <v>14.963212487225249</v>
      </c>
      <c r="BG21" s="20">
        <f t="shared" si="7"/>
        <v>115.50465711116368</v>
      </c>
      <c r="BH21" s="59">
        <f t="shared" si="8"/>
        <v>605.957990444497</v>
      </c>
      <c r="BI21" s="59">
        <f ca="1">AVERAGE(OFFSET($BH$3,0,0,'Données projet'!$E$11+1,1))-AVERAGE(OFFSET($H$3,0,0,'Données projet'!$E$11+1,1))</f>
        <v>357.2406649189378</v>
      </c>
      <c r="BJ21" s="59">
        <f t="shared" si="38"/>
        <v>353.47109765343811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123.2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10.56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8.2596800000000048</v>
      </c>
      <c r="D22" s="11">
        <f t="shared" si="32"/>
        <v>2.9770132517589549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65.921933743652559</v>
      </c>
      <c r="H22" s="67">
        <f t="shared" si="1"/>
        <v>471.3039074134802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</v>
      </c>
      <c r="N22" s="13">
        <f>IF('Données projet'!$A$36&gt;35,N21+M22-V21,IF(A22&lt;'Données projet'!$A$36,$K$205^A22,IF(A22='Données projet'!$A$36,'Données projet'!$B$36,N21+M22-V21)))</f>
        <v>110</v>
      </c>
      <c r="O22" s="13">
        <f>N22*VLOOKUP('Données projet'!$B$9,Paramètres!$A$1:$I$89,3,0)*VLOOKUP('Données projet'!$B$9,Paramètres!$A$1:$I$89,5,0)</f>
        <v>68.64</v>
      </c>
      <c r="P22" s="13">
        <f t="shared" si="33"/>
        <v>19.335336956640202</v>
      </c>
      <c r="Q22" s="20">
        <f t="shared" si="2"/>
        <v>153.22371186614836</v>
      </c>
      <c r="R22" s="59">
        <f t="shared" si="0"/>
        <v>645.82815631059282</v>
      </c>
      <c r="S22" s="59">
        <f ca="1">AVERAGE(OFFSET($R$3,0,0,'Données projet'!$E$9+1,1))-AVERAGE(OFFSET($H$3,0,0,'Données projet'!$E$9+1,1))</f>
        <v>216.99952889049467</v>
      </c>
      <c r="T22" s="59">
        <f t="shared" si="34"/>
        <v>340.62742489103783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9.6236458854712996</v>
      </c>
      <c r="AB22" s="21">
        <f>EXP(-LN(2)/2)*AB21+(1-EXP(-LN(2)/2))/(LN(2)/2)*V22*Y22*VLOOKUP('Données projet'!$B$9,Paramètres!$A$1:$I$89,3,0)*0.475*44/12</f>
        <v>0</v>
      </c>
      <c r="AC22" s="22">
        <f t="shared" si="3"/>
        <v>9.6236458854712996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4.7439999999999998</v>
      </c>
      <c r="AI22" s="13">
        <f>IF('Données projet'!$A$62&gt;35,AI21+AH22-AQ21,IF(A22&lt;'Données projet'!$A$62,$AF$205^A22,IF(A22='Données projet'!$A$62,'Données projet'!$B$62,AI21+AH22-AQ21)))</f>
        <v>37.696789428822079</v>
      </c>
      <c r="AJ22" s="13">
        <f>AI22*VLOOKUP('Données projet'!$B$10,Paramètres!$A$1:$I$89,3,0)*VLOOKUP('Données projet'!$B$10,Paramètres!$A$1:$I$89,5,0)</f>
        <v>22.542680078435605</v>
      </c>
      <c r="AK22" s="13">
        <f t="shared" si="35"/>
        <v>7.2288259250649807</v>
      </c>
      <c r="AL22" s="20">
        <f t="shared" si="4"/>
        <v>51.85203962276352</v>
      </c>
      <c r="AM22" s="59">
        <f t="shared" si="5"/>
        <v>544.45648406720795</v>
      </c>
      <c r="AN22" s="59">
        <f ca="1">AVERAGE(OFFSET($AM$3,0,0,'Données projet'!$E$10+1,1))-AVERAGE(OFFSET($H$3,0,0,'Données projet'!$E$10+1,1))</f>
        <v>243.63945673917135</v>
      </c>
      <c r="AO22" s="59">
        <f t="shared" si="36"/>
        <v>213.14969914288025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9.2928571428571427</v>
      </c>
      <c r="BD22" s="12">
        <f>IF('Données projet'!$A$88&gt;35,BD21+BC22-BL21,IF(A22&lt;'Données projet'!$A$88,$BA$205^A22,IF(A22='Données projet'!$A$88,'Données projet'!$B$88,BD21+BC22-BL21)))</f>
        <v>118.09682366805939</v>
      </c>
      <c r="BE22" s="13">
        <f>BD22*VLOOKUP('Données projet'!$B$11,Paramètres!$A$1:$I$89,3,0)*VLOOKUP('Données projet'!$B$11,Paramètres!$A$1:$I$89,5,0)</f>
        <v>66.016124430445203</v>
      </c>
      <c r="BF22" s="13">
        <f t="shared" si="37"/>
        <v>18.68077229963064</v>
      </c>
      <c r="BG22" s="20">
        <f t="shared" si="7"/>
        <v>147.51376180488208</v>
      </c>
      <c r="BH22" s="59">
        <f t="shared" si="8"/>
        <v>640.11820624932648</v>
      </c>
      <c r="BI22" s="59">
        <f ca="1">AVERAGE(OFFSET($BH$3,0,0,'Données projet'!$E$11+1,1))-AVERAGE(OFFSET($H$3,0,0,'Données projet'!$E$11+1,1))</f>
        <v>357.2406649189378</v>
      </c>
      <c r="BJ22" s="59">
        <f t="shared" si="38"/>
        <v>353.47109765343811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123.2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11.146666666666667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8.6944000000000052</v>
      </c>
      <c r="D23" s="11">
        <f t="shared" si="32"/>
        <v>3.115044034217219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69.28207166740772</v>
      </c>
      <c r="H23" s="67">
        <f t="shared" si="1"/>
        <v>472.30144835959504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18</v>
      </c>
      <c r="N23" s="13">
        <f>IF('Données projet'!$A$36&gt;35,N22+M23-V22,IF(A23&lt;'Données projet'!$A$36,$K$205^A23,IF(A23='Données projet'!$A$36,'Données projet'!$B$36,N22+M23-V22)))</f>
        <v>128</v>
      </c>
      <c r="O23" s="13">
        <f>N23*VLOOKUP('Données projet'!$B$9,Paramètres!$A$1:$I$89,3,0)*VLOOKUP('Données projet'!$B$9,Paramètres!$A$1:$I$89,5,0)</f>
        <v>79.872</v>
      </c>
      <c r="P23" s="13">
        <f t="shared" si="33"/>
        <v>22.105884547145418</v>
      </c>
      <c r="Q23" s="20">
        <f t="shared" si="2"/>
        <v>177.61148225294494</v>
      </c>
      <c r="R23" s="59">
        <f t="shared" si="0"/>
        <v>672.36703780850053</v>
      </c>
      <c r="S23" s="59">
        <f ca="1">AVERAGE(OFFSET($R$3,0,0,'Données projet'!$E$9+1,1))-AVERAGE(OFFSET($H$3,0,0,'Données projet'!$E$9+1,1))</f>
        <v>216.99952889049467</v>
      </c>
      <c r="T23" s="59">
        <f t="shared" si="34"/>
        <v>340.62742489103783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9.3604867826475449</v>
      </c>
      <c r="AB23" s="21">
        <f>EXP(-LN(2)/2)*AB22+(1-EXP(-LN(2)/2))/(LN(2)/2)*V23*Y23*VLOOKUP('Données projet'!$B$9,Paramètres!$A$1:$I$89,3,0)*0.475*44/12</f>
        <v>0</v>
      </c>
      <c r="AC23" s="22">
        <f t="shared" si="3"/>
        <v>9.3604867826475449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4.7439999999999998</v>
      </c>
      <c r="AI23" s="13">
        <f>IF('Données projet'!$A$62&gt;35,AI22+AH23-AQ22,IF(A23&lt;'Données projet'!$A$62,$AF$205^A23,IF(A23='Données projet'!$A$62,'Données projet'!$B$62,AI22+AH23-AQ22)))</f>
        <v>45.631815850567861</v>
      </c>
      <c r="AJ23" s="13">
        <f>AI23*VLOOKUP('Données projet'!$B$10,Paramètres!$A$1:$I$89,3,0)*VLOOKUP('Données projet'!$B$10,Paramètres!$A$1:$I$89,5,0)</f>
        <v>27.287825878639584</v>
      </c>
      <c r="AK23" s="13">
        <f t="shared" si="35"/>
        <v>8.5580381080854853</v>
      </c>
      <c r="AL23" s="20">
        <f t="shared" si="4"/>
        <v>62.431546443546161</v>
      </c>
      <c r="AM23" s="59">
        <f t="shared" si="5"/>
        <v>557.18710199910174</v>
      </c>
      <c r="AN23" s="59">
        <f ca="1">AVERAGE(OFFSET($AM$3,0,0,'Données projet'!$E$10+1,1))-AVERAGE(OFFSET($H$3,0,0,'Données projet'!$E$10+1,1))</f>
        <v>243.63945673917135</v>
      </c>
      <c r="AO23" s="59">
        <f t="shared" si="36"/>
        <v>213.14969914288025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9.2928571428571427</v>
      </c>
      <c r="BD23" s="12">
        <f>IF('Données projet'!$A$88&gt;35,BD22+BC23-BL22,IF(A23&lt;'Données projet'!$A$88,$BA$205^A23,IF(A23='Données projet'!$A$88,'Données projet'!$B$88,BD22+BC23-BL22)))</f>
        <v>151.81105077965097</v>
      </c>
      <c r="BE23" s="13">
        <f>BD23*VLOOKUP('Données projet'!$B$11,Paramètres!$A$1:$I$89,3,0)*VLOOKUP('Données projet'!$B$11,Paramètres!$A$1:$I$89,5,0)</f>
        <v>84.8623773858249</v>
      </c>
      <c r="BF23" s="13">
        <f t="shared" si="37"/>
        <v>23.321947343097605</v>
      </c>
      <c r="BG23" s="20">
        <f t="shared" si="7"/>
        <v>188.42103223620668</v>
      </c>
      <c r="BH23" s="59">
        <f t="shared" si="8"/>
        <v>683.17658779176224</v>
      </c>
      <c r="BI23" s="59">
        <f ca="1">AVERAGE(OFFSET($BH$3,0,0,'Données projet'!$E$11+1,1))-AVERAGE(OFFSET($H$3,0,0,'Données projet'!$E$11+1,1))</f>
        <v>357.2406649189378</v>
      </c>
      <c r="BJ23" s="59">
        <f t="shared" si="38"/>
        <v>353.47109765343811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123.2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11.733333333333333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9.1291200000000057</v>
      </c>
      <c r="D24" s="11">
        <f t="shared" si="32"/>
        <v>3.2522734581910897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72.637508288054434</v>
      </c>
      <c r="H24" s="67">
        <f t="shared" si="1"/>
        <v>473.29759360634949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K24" s="12">
        <f>VLOOKUP(A24,'Données projet'!$A$35:$I$55,2,0)</f>
        <v>146</v>
      </c>
      <c r="L24" s="12">
        <f>VLOOKUP(A24,'Données projet'!$A$35:$I$55,9,0)</f>
        <v>18</v>
      </c>
      <c r="M24" s="12">
        <f t="array" ref="M24">INDEX(L:L,MIN(IF(ISNUMBER(L24:L220),ROW(L24:L220),"")))</f>
        <v>18</v>
      </c>
      <c r="N24" s="13">
        <f>IF('Données projet'!$A$36&gt;35,N23+M24-V23,IF(A24&lt;'Données projet'!$A$36,$K$205^A24,IF(A24='Données projet'!$A$36,'Données projet'!$B$36,N23+M24-V23)))</f>
        <v>146</v>
      </c>
      <c r="O24" s="13">
        <f>N24*VLOOKUP('Données projet'!$B$9,Paramètres!$A$1:$I$89,3,0)*VLOOKUP('Données projet'!$B$9,Paramètres!$A$1:$I$89,5,0)</f>
        <v>91.103999999999999</v>
      </c>
      <c r="P24" s="13">
        <f t="shared" si="33"/>
        <v>24.831293984707884</v>
      </c>
      <c r="Q24" s="20">
        <f t="shared" si="2"/>
        <v>201.92063702336623</v>
      </c>
      <c r="R24" s="59">
        <f t="shared" si="0"/>
        <v>698.82730369003298</v>
      </c>
      <c r="S24" s="59">
        <f ca="1">AVERAGE(OFFSET($R$3,0,0,'Données projet'!$E$9+1,1))-AVERAGE(OFFSET($H$3,0,0,'Données projet'!$E$9+1,1))</f>
        <v>216.99952889049467</v>
      </c>
      <c r="T24" s="59">
        <f t="shared" si="34"/>
        <v>340.62742489103783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26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0.6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21.966988196332693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21.966988196332693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4.7439999999999998</v>
      </c>
      <c r="AI24" s="13">
        <f>IF('Données projet'!$A$62&gt;35,AI23+AH24-AQ23,IF(A24&lt;'Données projet'!$A$62,$AF$205^A24,IF(A24='Données projet'!$A$62,'Données projet'!$B$62,AI23+AH24-AQ23)))</f>
        <v>55.237134232659265</v>
      </c>
      <c r="AJ24" s="13">
        <f>AI24*VLOOKUP('Données projet'!$B$10,Paramètres!$A$1:$I$89,3,0)*VLOOKUP('Données projet'!$B$10,Paramètres!$A$1:$I$89,5,0)</f>
        <v>33.031806271130243</v>
      </c>
      <c r="AK24" s="13">
        <f t="shared" si="35"/>
        <v>10.131661353954241</v>
      </c>
      <c r="AL24" s="20">
        <f t="shared" si="4"/>
        <v>75.176372780355464</v>
      </c>
      <c r="AM24" s="59">
        <f t="shared" si="5"/>
        <v>572.0830394470222</v>
      </c>
      <c r="AN24" s="59">
        <f ca="1">AVERAGE(OFFSET($AM$3,0,0,'Données projet'!$E$10+1,1))-AVERAGE(OFFSET($H$3,0,0,'Données projet'!$E$10+1,1))</f>
        <v>243.63945673917135</v>
      </c>
      <c r="AO24" s="59">
        <f t="shared" si="36"/>
        <v>213.14969914288025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BA24" s="12">
        <f>VLOOKUP(A24,'Données projet'!$A$87:$I$107,2,0)</f>
        <v>195.15</v>
      </c>
      <c r="BB24" s="12">
        <f>VLOOKUP(A24,'Données projet'!$A$87:$I$107,9,0)</f>
        <v>9.2928571428571427</v>
      </c>
      <c r="BC24" s="12">
        <f t="array" ref="BC24">INDEX(BB:BB,MIN(IF(ISNUMBER(BB24:BB220),ROW(BB24:BB220),"")))</f>
        <v>9.2928571428571427</v>
      </c>
      <c r="BD24" s="12">
        <f>IF('Données projet'!$A$88&gt;35,BD23+BC24-BL23,IF(A24&lt;'Données projet'!$A$88,$BA$205^A24,IF(A24='Données projet'!$A$88,'Données projet'!$B$88,BD23+BC24-BL23)))</f>
        <v>195.15</v>
      </c>
      <c r="BE24" s="13">
        <f>BD24*VLOOKUP('Données projet'!$B$11,Paramètres!$A$1:$I$89,3,0)*VLOOKUP('Données projet'!$B$11,Paramètres!$A$1:$I$89,5,0)</f>
        <v>109.08885000000001</v>
      </c>
      <c r="BF24" s="13">
        <f t="shared" si="37"/>
        <v>29.116206715124498</v>
      </c>
      <c r="BG24" s="20">
        <f t="shared" si="7"/>
        <v>240.70714044550846</v>
      </c>
      <c r="BH24" s="59">
        <f t="shared" si="8"/>
        <v>737.61380711217521</v>
      </c>
      <c r="BI24" s="59">
        <f ca="1">AVERAGE(OFFSET($BH$3,0,0,'Données projet'!$E$11+1,1))-AVERAGE(OFFSET($H$3,0,0,'Données projet'!$E$11+1,1))</f>
        <v>357.2406649189378</v>
      </c>
      <c r="BJ24" s="59">
        <f t="shared" si="38"/>
        <v>353.47109765343811</v>
      </c>
      <c r="BK24" s="15">
        <f>IF(ISNA(VLOOKUP(A24,'Données projet'!$A$87:$I$107,3,0)),0,VLOOKUP(A24,'Données projet'!$A$87:$I$107,3,0))</f>
        <v>1</v>
      </c>
      <c r="BL24" s="15">
        <f>IF(ISNA(VLOOKUP(A24,'Données projet'!$A$87:$I$107,4,0)),0,VLOOKUP(A24,'Données projet'!$A$87:$I$107,4,0))</f>
        <v>64.58</v>
      </c>
      <c r="BM24" s="16">
        <f>IF(ISNA(VLOOKUP(A24,'Données projet'!$A$87:$I$107,5,0)),0%,VLOOKUP(A24,'Données projet'!$A$87:$I$107,5,0)*VLOOKUP('Données projet'!$B$11,Paramètres!$A$1:$I$89,7,0))</f>
        <v>5.5000000000000007E-2</v>
      </c>
      <c r="BN24" s="16">
        <f>IF(ISNA(VLOOKUP(A24,'Données projet'!$A$87:$I$107,6,0)),0%,VLOOKUP(A24,'Données projet'!$A$87:$I$107,6,0)*VLOOKUP('Données projet'!$B$11,Paramètres!$A$1:$I$89,7,0))</f>
        <v>0.44000000000000006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2.6339097777051177</v>
      </c>
      <c r="BQ24" s="21">
        <f>EXP(-LN(2)/25)*BQ23+(1-EXP(-LN(2)/25))/(LN(2)/25)*Calculateur!BL24*Calculateur!BN24*VLOOKUP('Données projet'!$B$11,Paramètres!$A$1:$I$89,3,0)*0.475*44/12</f>
        <v>20.988312570495893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23.62222234820101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123.2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12.32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9.5638400000000061</v>
      </c>
      <c r="D25" s="11">
        <f t="shared" si="32"/>
        <v>3.3887440404450095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75.988493037277422</v>
      </c>
      <c r="H25" s="67">
        <f t="shared" si="1"/>
        <v>474.29241720377507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</v>
      </c>
      <c r="N25" s="13">
        <f>IF('Données projet'!$A$36&gt;35,N24+M25-V24,IF(A25&lt;'Données projet'!$A$36,$K$205^A25,IF(A25='Données projet'!$A$36,'Données projet'!$B$36,N24+M25-V24)))</f>
        <v>136</v>
      </c>
      <c r="O25" s="13">
        <f>N25*VLOOKUP('Données projet'!$B$9,Paramètres!$A$1:$I$89,3,0)*VLOOKUP('Données projet'!$B$9,Paramètres!$A$1:$I$89,5,0)</f>
        <v>84.864000000000004</v>
      </c>
      <c r="P25" s="13">
        <f t="shared" si="33"/>
        <v>23.322341364766192</v>
      </c>
      <c r="Q25" s="20">
        <f t="shared" si="2"/>
        <v>188.42454454363443</v>
      </c>
      <c r="R25" s="59">
        <f t="shared" si="0"/>
        <v>687.48232232141231</v>
      </c>
      <c r="S25" s="59">
        <f ca="1">AVERAGE(OFFSET($R$3,0,0,'Données projet'!$E$9+1,1))-AVERAGE(OFFSET($H$3,0,0,'Données projet'!$E$9+1,1))</f>
        <v>216.99952889049467</v>
      </c>
      <c r="T25" s="59">
        <f t="shared" si="34"/>
        <v>340.62742489103783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21.366299748910272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21.366299748910272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4.7439999999999998</v>
      </c>
      <c r="AI25" s="13">
        <f>IF('Données projet'!$A$62&gt;35,AI24+AH25-AQ24,IF(A25&lt;'Données projet'!$A$62,$AF$205^A25,IF(A25='Données projet'!$A$62,'Données projet'!$B$62,AI24+AH25-AQ24)))</f>
        <v>66.864334486019558</v>
      </c>
      <c r="AJ25" s="13">
        <f>AI25*VLOOKUP('Données projet'!$B$10,Paramètres!$A$1:$I$89,3,0)*VLOOKUP('Données projet'!$B$10,Paramètres!$A$1:$I$89,5,0)</f>
        <v>39.984872022639699</v>
      </c>
      <c r="AK25" s="13">
        <f t="shared" si="35"/>
        <v>11.994637146360388</v>
      </c>
      <c r="AL25" s="20">
        <f t="shared" si="4"/>
        <v>90.530978469341832</v>
      </c>
      <c r="AM25" s="59">
        <f t="shared" si="5"/>
        <v>589.5887562471197</v>
      </c>
      <c r="AN25" s="59">
        <f ca="1">AVERAGE(OFFSET($AM$3,0,0,'Données projet'!$E$10+1,1))-AVERAGE(OFFSET($H$3,0,0,'Données projet'!$E$10+1,1))</f>
        <v>243.63945673917135</v>
      </c>
      <c r="AO25" s="59">
        <f t="shared" si="36"/>
        <v>213.14969914288025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21.612857142857145</v>
      </c>
      <c r="BD25" s="12">
        <f>IF('Données projet'!$A$88&gt;35,BD24+BC25-BL24,IF(A25&lt;'Données projet'!$A$88,$BA$205^A25,IF(A25='Données projet'!$A$88,'Données projet'!$B$88,BD24+BC25-BL24)))</f>
        <v>152.18285714285713</v>
      </c>
      <c r="BE25" s="13">
        <f>BD25*VLOOKUP('Données projet'!$B$11,Paramètres!$A$1:$I$89,3,0)*VLOOKUP('Données projet'!$B$11,Paramètres!$A$1:$I$89,5,0)</f>
        <v>85.070217142857146</v>
      </c>
      <c r="BF25" s="13">
        <f t="shared" si="37"/>
        <v>23.372410230575955</v>
      </c>
      <c r="BG25" s="20">
        <f t="shared" si="7"/>
        <v>188.87090934206265</v>
      </c>
      <c r="BH25" s="59">
        <f t="shared" si="8"/>
        <v>687.92868711984056</v>
      </c>
      <c r="BI25" s="59">
        <f ca="1">AVERAGE(OFFSET($BH$3,0,0,'Données projet'!$E$11+1,1))-AVERAGE(OFFSET($H$3,0,0,'Données projet'!$E$11+1,1))</f>
        <v>357.2406649189378</v>
      </c>
      <c r="BJ25" s="59">
        <f t="shared" si="38"/>
        <v>353.47109765343811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2.5822604134906535</v>
      </c>
      <c r="BQ25" s="21">
        <f>EXP(-LN(2)/25)*BQ24+(1-EXP(-LN(2)/25))/(LN(2)/25)*Calculateur!BL25*Calculateur!BN25*VLOOKUP('Données projet'!$B$11,Paramètres!$A$1:$I$89,3,0)*0.475*44/12</f>
        <v>20.414386059528294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22.996646473018949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123.2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12.906666666666666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9.9985600000000066</v>
      </c>
      <c r="D26" s="11">
        <f t="shared" si="32"/>
        <v>3.52449421409991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79.335251389386187</v>
      </c>
      <c r="H26" s="67">
        <f t="shared" si="1"/>
        <v>475.28598608955735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152</v>
      </c>
      <c r="O26" s="13">
        <f>N26*VLOOKUP('Données projet'!$B$9,Paramètres!$A$1:$I$89,3,0)*VLOOKUP('Données projet'!$B$9,Paramètres!$A$1:$I$89,5,0)</f>
        <v>94.847999999999999</v>
      </c>
      <c r="P26" s="13">
        <f t="shared" si="33"/>
        <v>25.730851751939202</v>
      </c>
      <c r="Q26" s="20">
        <f t="shared" si="2"/>
        <v>210.0081668012941</v>
      </c>
      <c r="R26" s="59">
        <f t="shared" si="0"/>
        <v>711.21705569018297</v>
      </c>
      <c r="S26" s="59">
        <f ca="1">AVERAGE(OFFSET($R$3,0,0,'Données projet'!$E$9+1,1))-AVERAGE(OFFSET($H$3,0,0,'Données projet'!$E$9+1,1))</f>
        <v>216.99952889049467</v>
      </c>
      <c r="T26" s="59">
        <f t="shared" si="34"/>
        <v>340.62742489103783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20.78203715867145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20.78203715867145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4.7439999999999998</v>
      </c>
      <c r="AI26" s="13">
        <f>IF('Données projet'!$A$62&gt;35,AI25+AH26-AQ25,IF(A26&lt;'Données projet'!$A$62,$AF$205^A26,IF(A26='Données projet'!$A$62,'Données projet'!$B$62,AI25+AH26-AQ25)))</f>
        <v>80.939014819760402</v>
      </c>
      <c r="AJ26" s="13">
        <f>AI26*VLOOKUP('Données projet'!$B$10,Paramètres!$A$1:$I$89,3,0)*VLOOKUP('Données projet'!$B$10,Paramètres!$A$1:$I$89,5,0)</f>
        <v>48.401530862216724</v>
      </c>
      <c r="AK26" s="13">
        <f t="shared" si="35"/>
        <v>14.200170657766563</v>
      </c>
      <c r="AL26" s="20">
        <f t="shared" si="4"/>
        <v>109.03129681397088</v>
      </c>
      <c r="AM26" s="59">
        <f t="shared" si="5"/>
        <v>610.24018570285978</v>
      </c>
      <c r="AN26" s="59">
        <f ca="1">AVERAGE(OFFSET($AM$3,0,0,'Données projet'!$E$10+1,1))-AVERAGE(OFFSET($H$3,0,0,'Données projet'!$E$10+1,1))</f>
        <v>243.63945673917135</v>
      </c>
      <c r="AO26" s="59">
        <f t="shared" si="36"/>
        <v>213.14969914288025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21.612857142857145</v>
      </c>
      <c r="BD26" s="12">
        <f>IF('Données projet'!$A$88&gt;35,BD25+BC26-BL25,IF(A26&lt;'Données projet'!$A$88,$BA$205^A26,IF(A26='Données projet'!$A$88,'Données projet'!$B$88,BD25+BC26-BL25)))</f>
        <v>173.79571428571427</v>
      </c>
      <c r="BE26" s="13">
        <f>BD26*VLOOKUP('Données projet'!$B$11,Paramètres!$A$1:$I$89,3,0)*VLOOKUP('Données projet'!$B$11,Paramètres!$A$1:$I$89,5,0)</f>
        <v>97.151804285714277</v>
      </c>
      <c r="BF26" s="13">
        <f t="shared" si="37"/>
        <v>26.282317303127122</v>
      </c>
      <c r="BG26" s="20">
        <f t="shared" si="7"/>
        <v>214.98109510056543</v>
      </c>
      <c r="BH26" s="59">
        <f t="shared" si="8"/>
        <v>716.18998398945428</v>
      </c>
      <c r="BI26" s="59">
        <f ca="1">AVERAGE(OFFSET($BH$3,0,0,'Données projet'!$E$11+1,1))-AVERAGE(OFFSET($H$3,0,0,'Données projet'!$E$11+1,1))</f>
        <v>357.2406649189378</v>
      </c>
      <c r="BJ26" s="59">
        <f t="shared" si="38"/>
        <v>353.47109765343811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2.5316238618054334</v>
      </c>
      <c r="BQ26" s="21">
        <f>EXP(-LN(2)/25)*BQ25+(1-EXP(-LN(2)/25))/(LN(2)/25)*Calculateur!BL26*Calculateur!BN26*VLOOKUP('Données projet'!$B$11,Paramètres!$A$1:$I$89,3,0)*0.475*44/12</f>
        <v>19.856153599184587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22.387777460990019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13.493333333333332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10.433280000000007</v>
      </c>
      <c r="D27" s="11">
        <f t="shared" si="32"/>
        <v>3.6595588812753714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82.677988103482221</v>
      </c>
      <c r="H27" s="67">
        <f t="shared" si="1"/>
        <v>476.27836105155461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K27" s="12">
        <f>VLOOKUP(A27,'Données projet'!$A$35:$I$55,2,0)</f>
        <v>168</v>
      </c>
      <c r="L27" s="12">
        <f>VLOOKUP(A27,'Données projet'!$A$35:$I$55,9,0)</f>
        <v>16</v>
      </c>
      <c r="M27" s="12">
        <f t="array" ref="M27">INDEX(L:L,MIN(IF(ISNUMBER(L27:L223),ROW(L27:L223),"")))</f>
        <v>16</v>
      </c>
      <c r="N27" s="13">
        <f>IF('Données projet'!$A$36&gt;35,N26+M27-V26,IF(A27&lt;'Données projet'!$A$36,$K$205^A27,IF(A27='Données projet'!$A$36,'Données projet'!$B$36,N26+M27-V26)))</f>
        <v>168</v>
      </c>
      <c r="O27" s="13">
        <f>N27*VLOOKUP('Données projet'!$B$9,Paramètres!$A$1:$I$89,3,0)*VLOOKUP('Données projet'!$B$9,Paramètres!$A$1:$I$89,5,0)</f>
        <v>104.83200000000001</v>
      </c>
      <c r="P27" s="13">
        <f t="shared" si="33"/>
        <v>28.109974371137717</v>
      </c>
      <c r="Q27" s="20">
        <f t="shared" si="2"/>
        <v>231.54060536306486</v>
      </c>
      <c r="R27" s="59">
        <f t="shared" si="0"/>
        <v>734.90060536306487</v>
      </c>
      <c r="S27" s="59">
        <f ca="1">AVERAGE(OFFSET($R$3,0,0,'Données projet'!$E$9+1,1))-AVERAGE(OFFSET($H$3,0,0,'Données projet'!$E$9+1,1))</f>
        <v>216.99952889049467</v>
      </c>
      <c r="T27" s="59">
        <f t="shared" si="34"/>
        <v>340.62742489103783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29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0.6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34.560346186345214</v>
      </c>
      <c r="AB27" s="21">
        <f>EXP(-LN(2)/2)*AB26+(1-EXP(-LN(2)/2))/(LN(2)/2)*V27*Y27*VLOOKUP('Données projet'!$B$9,Paramètres!$A$1:$I$89,3,0)*0.475*44/12</f>
        <v>0</v>
      </c>
      <c r="AC27" s="22">
        <f t="shared" si="3"/>
        <v>34.560346186345214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4.7439999999999998</v>
      </c>
      <c r="AI27" s="13">
        <f>IF('Données projet'!$A$62&gt;35,AI26+AH27-AQ26,IF(A27&lt;'Données projet'!$A$62,$AF$205^A27,IF(A27='Données projet'!$A$62,'Données projet'!$B$62,AI26+AH27-AQ26)))</f>
        <v>97.976360197874243</v>
      </c>
      <c r="AJ27" s="13">
        <f>AI27*VLOOKUP('Données projet'!$B$10,Paramètres!$A$1:$I$89,3,0)*VLOOKUP('Données projet'!$B$10,Paramètres!$A$1:$I$89,5,0)</f>
        <v>58.589863398328795</v>
      </c>
      <c r="AK27" s="13">
        <f t="shared" si="35"/>
        <v>16.811250248689749</v>
      </c>
      <c r="AL27" s="20">
        <f t="shared" si="4"/>
        <v>131.32360626855731</v>
      </c>
      <c r="AM27" s="59">
        <f t="shared" si="5"/>
        <v>634.68360626855724</v>
      </c>
      <c r="AN27" s="59">
        <f ca="1">AVERAGE(OFFSET($AM$3,0,0,'Données projet'!$E$10+1,1))-AVERAGE(OFFSET($H$3,0,0,'Données projet'!$E$10+1,1))</f>
        <v>243.63945673917135</v>
      </c>
      <c r="AO27" s="59">
        <f t="shared" si="36"/>
        <v>213.14969914288025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21.612857142857145</v>
      </c>
      <c r="BD27" s="12">
        <f>IF('Données projet'!$A$88&gt;35,BD26+BC27-BL26,IF(A27&lt;'Données projet'!$A$88,$BA$205^A27,IF(A27='Données projet'!$A$88,'Données projet'!$B$88,BD26+BC27-BL26)))</f>
        <v>195.40857142857141</v>
      </c>
      <c r="BE27" s="13">
        <f>BD27*VLOOKUP('Données projet'!$B$11,Paramètres!$A$1:$I$89,3,0)*VLOOKUP('Données projet'!$B$11,Paramètres!$A$1:$I$89,5,0)</f>
        <v>109.23339142857141</v>
      </c>
      <c r="BF27" s="13">
        <f t="shared" si="37"/>
        <v>29.150292163037918</v>
      </c>
      <c r="BG27" s="20">
        <f t="shared" si="7"/>
        <v>241.01824892205289</v>
      </c>
      <c r="BH27" s="59">
        <f t="shared" si="8"/>
        <v>744.37824892205288</v>
      </c>
      <c r="BI27" s="59">
        <f ca="1">AVERAGE(OFFSET($BH$3,0,0,'Données projet'!$E$11+1,1))-AVERAGE(OFFSET($H$3,0,0,'Données projet'!$E$11+1,1))</f>
        <v>357.2406649189378</v>
      </c>
      <c r="BJ27" s="59">
        <f t="shared" si="38"/>
        <v>353.47109765343811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2.4819802620135136</v>
      </c>
      <c r="BQ27" s="21">
        <f>EXP(-LN(2)/25)*BQ26+(1-EXP(-LN(2)/25))/(LN(2)/25)*Calculateur!BL27*Calculateur!BN27*VLOOKUP('Données projet'!$B$11,Paramètres!$A$1:$I$89,3,0)*0.475*44/12</f>
        <v>19.313186034825147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21.795166296838662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14.080000000000002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10.868000000000007</v>
      </c>
      <c r="D28" s="11">
        <f t="shared" si="32"/>
        <v>3.7939698710293417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86.016889910038856</v>
      </c>
      <c r="H28" s="67">
        <f t="shared" si="1"/>
        <v>477.26959752537613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14.166666666666666</v>
      </c>
      <c r="N28" s="13">
        <f>IF('Données projet'!$A$36&gt;35,N27+M28-V27,IF(A28&lt;'Données projet'!$A$36,$K$205^A28,IF(A28='Données projet'!$A$36,'Données projet'!$B$36,N27+M28-V27)))</f>
        <v>153.16666666666666</v>
      </c>
      <c r="O28" s="13">
        <f>N28*VLOOKUP('Données projet'!$B$9,Paramètres!$A$1:$I$89,3,0)*VLOOKUP('Données projet'!$B$9,Paramètres!$A$1:$I$89,5,0)</f>
        <v>95.575999999999993</v>
      </c>
      <c r="P28" s="13">
        <f t="shared" si="33"/>
        <v>25.905281107545633</v>
      </c>
      <c r="Q28" s="20">
        <f t="shared" si="2"/>
        <v>211.57989792897527</v>
      </c>
      <c r="R28" s="59">
        <f t="shared" si="0"/>
        <v>717.09100904008642</v>
      </c>
      <c r="S28" s="59">
        <f ca="1">AVERAGE(OFFSET($R$3,0,0,'Données projet'!$E$9+1,1))-AVERAGE(OFFSET($H$3,0,0,'Données projet'!$E$9+1,1))</f>
        <v>216.99952889049467</v>
      </c>
      <c r="T28" s="59">
        <f t="shared" si="34"/>
        <v>340.62742489103783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33.615291702429985</v>
      </c>
      <c r="AB28" s="21">
        <f>EXP(-LN(2)/2)*AB27+(1-EXP(-LN(2)/2))/(LN(2)/2)*V28*Y28*VLOOKUP('Données projet'!$B$9,Paramètres!$A$1:$I$89,3,0)*0.475*44/12</f>
        <v>0</v>
      </c>
      <c r="AC28" s="22">
        <f t="shared" si="3"/>
        <v>33.615291702429985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AF28" s="12">
        <f>VLOOKUP(A28,'Données projet'!$A$61:$I$81,2,0)</f>
        <v>118.6</v>
      </c>
      <c r="AG28" s="12">
        <f>VLOOKUP(A28,'Données projet'!$A$61:$I$81,9,0)</f>
        <v>4.7439999999999998</v>
      </c>
      <c r="AH28" s="12">
        <f t="array" ref="AH28">INDEX(AG:AG,MIN(IF(ISNUMBER(AG28:AG224),ROW(AG28:AG224),"")))</f>
        <v>4.7439999999999998</v>
      </c>
      <c r="AI28" s="13">
        <f>IF('Données projet'!$A$62&gt;35,AI27+AH28-AQ27,IF(A28&lt;'Données projet'!$A$62,$AF$205^A28,IF(A28='Données projet'!$A$62,'Données projet'!$B$62,AI27+AH28-AQ27)))</f>
        <v>118.6</v>
      </c>
      <c r="AJ28" s="13">
        <f>AI28*VLOOKUP('Données projet'!$B$10,Paramètres!$A$1:$I$89,3,0)*VLOOKUP('Données projet'!$B$10,Paramètres!$A$1:$I$89,5,0)</f>
        <v>70.922799999999995</v>
      </c>
      <c r="AK28" s="13">
        <f t="shared" si="35"/>
        <v>19.902446367396117</v>
      </c>
      <c r="AL28" s="20">
        <f t="shared" si="4"/>
        <v>158.18730408988156</v>
      </c>
      <c r="AM28" s="59">
        <f t="shared" si="5"/>
        <v>663.69841520099271</v>
      </c>
      <c r="AN28" s="59">
        <f ca="1">AVERAGE(OFFSET($AM$3,0,0,'Données projet'!$E$10+1,1))-AVERAGE(OFFSET($H$3,0,0,'Données projet'!$E$10+1,1))</f>
        <v>243.63945673917135</v>
      </c>
      <c r="AO28" s="59">
        <f t="shared" si="36"/>
        <v>213.14969914288025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50.02</v>
      </c>
      <c r="AR28" s="16">
        <f>IF(ISNA(VLOOKUP(A28,'Données projet'!$A$61:$I$81,5,0)),0%,VLOOKUP(A28,'Données projet'!$A$61:$I$81,5,0)*VLOOKUP('Données projet'!$B$10,Paramètres!$A$1:$I$89,7,0))</f>
        <v>4.5000000000000005E-2</v>
      </c>
      <c r="AS28" s="16">
        <f>IF(ISNA(VLOOKUP(A28,'Données projet'!$A$61:$I$81,6,0)),0%,VLOOKUP(A28,'Données projet'!$A$61:$I$81,6,0)*VLOOKUP('Données projet'!$B$10,Paramètres!$A$1:$I$89,7,0))</f>
        <v>0.36000000000000004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1.7856064317838189</v>
      </c>
      <c r="AV28" s="21">
        <f>EXP(-LN(2)/25)*AV27+(1-EXP(-LN(2)/25))/(LN(2)/25)*Calculateur!AQ28*Calculateur!AS28*VLOOKUP('Données projet'!$B$10,Paramètres!$A$1:$I$89,3,0)*0.475*44/12</f>
        <v>14.228606551139967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16.014212982923787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21.612857142857145</v>
      </c>
      <c r="BD28" s="12">
        <f>IF('Données projet'!$A$88&gt;35,BD27+BC28-BL27,IF(A28&lt;'Données projet'!$A$88,$BA$205^A28,IF(A28='Données projet'!$A$88,'Données projet'!$B$88,BD27+BC28-BL27)))</f>
        <v>217.02142857142854</v>
      </c>
      <c r="BE28" s="13">
        <f>BD28*VLOOKUP('Données projet'!$B$11,Paramètres!$A$1:$I$89,3,0)*VLOOKUP('Données projet'!$B$11,Paramètres!$A$1:$I$89,5,0)</f>
        <v>121.31497857142855</v>
      </c>
      <c r="BF28" s="13">
        <f t="shared" si="37"/>
        <v>31.981501643962311</v>
      </c>
      <c r="BG28" s="20">
        <f t="shared" si="7"/>
        <v>266.9913697084724</v>
      </c>
      <c r="BH28" s="59">
        <f t="shared" si="8"/>
        <v>772.50248081958352</v>
      </c>
      <c r="BI28" s="59">
        <f ca="1">AVERAGE(OFFSET($BH$3,0,0,'Données projet'!$E$11+1,1))-AVERAGE(OFFSET($H$3,0,0,'Données projet'!$E$11+1,1))</f>
        <v>357.2406649189378</v>
      </c>
      <c r="BJ28" s="59">
        <f t="shared" si="38"/>
        <v>353.47109765343811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2.4333101429339075</v>
      </c>
      <c r="BQ28" s="21">
        <f>EXP(-LN(2)/25)*BQ27+(1-EXP(-LN(2)/25))/(LN(2)/25)*Calculateur!BL28*Calculateur!BN28*VLOOKUP('Données projet'!$B$11,Paramètres!$A$1:$I$89,3,0)*0.475*44/12</f>
        <v>18.785065947066542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21.218376090000451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123.2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14.666666666666666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11.302720000000008</v>
      </c>
      <c r="D29" s="11">
        <f t="shared" si="32"/>
        <v>3.927756321965024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89.352127755528201</v>
      </c>
      <c r="H29" s="67">
        <f t="shared" si="1"/>
        <v>478.25974626075578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14.166666666666666</v>
      </c>
      <c r="N29" s="13">
        <f>IF('Données projet'!$A$36&gt;35,N28+M29-V28,IF(A29&lt;'Données projet'!$A$36,$K$205^A29,IF(A29='Données projet'!$A$36,'Données projet'!$B$36,N28+M29-V28)))</f>
        <v>167.33333333333331</v>
      </c>
      <c r="O29" s="13">
        <f>N29*VLOOKUP('Données projet'!$B$9,Paramètres!$A$1:$I$89,3,0)*VLOOKUP('Données projet'!$B$9,Paramètres!$A$1:$I$89,5,0)</f>
        <v>104.416</v>
      </c>
      <c r="P29" s="13">
        <f t="shared" si="33"/>
        <v>28.01138818767625</v>
      </c>
      <c r="Q29" s="20">
        <f t="shared" si="2"/>
        <v>230.64436776020281</v>
      </c>
      <c r="R29" s="59">
        <f t="shared" si="0"/>
        <v>738.30658998242507</v>
      </c>
      <c r="S29" s="59">
        <f ca="1">AVERAGE(OFFSET($R$3,0,0,'Données projet'!$E$9+1,1))-AVERAGE(OFFSET($H$3,0,0,'Données projet'!$E$9+1,1))</f>
        <v>216.99952889049467</v>
      </c>
      <c r="T29" s="59">
        <f t="shared" si="34"/>
        <v>340.62742489103783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32.696079783075675</v>
      </c>
      <c r="AB29" s="21">
        <f>EXP(-LN(2)/2)*AB28+(1-EXP(-LN(2)/2))/(LN(2)/2)*V29*Y29*VLOOKUP('Données projet'!$B$9,Paramètres!$A$1:$I$89,3,0)*0.475*44/12</f>
        <v>0</v>
      </c>
      <c r="AC29" s="22">
        <f t="shared" si="3"/>
        <v>32.696079783075675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13.225714285714288</v>
      </c>
      <c r="AI29" s="13">
        <f>IF('Données projet'!$A$62&gt;35,AI28+AH29-AQ28,IF(A29&lt;'Données projet'!$A$62,$AF$205^A29,IF(A29='Données projet'!$A$62,'Données projet'!$B$62,AI28+AH29-AQ28)))</f>
        <v>81.805714285714259</v>
      </c>
      <c r="AJ29" s="13">
        <f>AI29*VLOOKUP('Données projet'!$B$10,Paramètres!$A$1:$I$89,3,0)*VLOOKUP('Données projet'!$B$10,Paramètres!$A$1:$I$89,5,0)</f>
        <v>48.919817142857127</v>
      </c>
      <c r="AK29" s="13">
        <f t="shared" si="35"/>
        <v>14.334444129673157</v>
      </c>
      <c r="AL29" s="20">
        <f t="shared" si="4"/>
        <v>110.16783838299024</v>
      </c>
      <c r="AM29" s="59">
        <f t="shared" si="5"/>
        <v>617.83006060521257</v>
      </c>
      <c r="AN29" s="59">
        <f ca="1">AVERAGE(OFFSET($AM$3,0,0,'Données projet'!$E$10+1,1))-AVERAGE(OFFSET($H$3,0,0,'Données projet'!$E$10+1,1))</f>
        <v>243.63945673917135</v>
      </c>
      <c r="AO29" s="59">
        <f t="shared" si="36"/>
        <v>213.14969914288025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1.7505917787689207</v>
      </c>
      <c r="AV29" s="21">
        <f>EXP(-LN(2)/25)*AV28+(1-EXP(-LN(2)/25))/(LN(2)/25)*Calculateur!AQ29*Calculateur!AS29*VLOOKUP('Données projet'!$B$10,Paramètres!$A$1:$I$89,3,0)*0.475*44/12</f>
        <v>13.839524556749145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15.590116335518067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21.612857142857145</v>
      </c>
      <c r="BD29" s="12">
        <f>IF('Données projet'!$A$88&gt;35,BD28+BC29-BL28,IF(A29&lt;'Données projet'!$A$88,$BA$205^A29,IF(A29='Données projet'!$A$88,'Données projet'!$B$88,BD28+BC29-BL28)))</f>
        <v>238.63428571428568</v>
      </c>
      <c r="BE29" s="13">
        <f>BD29*VLOOKUP('Données projet'!$B$11,Paramètres!$A$1:$I$89,3,0)*VLOOKUP('Données projet'!$B$11,Paramètres!$A$1:$I$89,5,0)</f>
        <v>133.39656571428571</v>
      </c>
      <c r="BF29" s="13">
        <f t="shared" si="37"/>
        <v>34.780023938654864</v>
      </c>
      <c r="BG29" s="20">
        <f t="shared" si="7"/>
        <v>292.90756031220479</v>
      </c>
      <c r="BH29" s="59">
        <f t="shared" si="8"/>
        <v>800.56978253442708</v>
      </c>
      <c r="BI29" s="59">
        <f ca="1">AVERAGE(OFFSET($BH$3,0,0,'Données projet'!$E$11+1,1))-AVERAGE(OFFSET($H$3,0,0,'Données projet'!$E$11+1,1))</f>
        <v>357.2406649189378</v>
      </c>
      <c r="BJ29" s="59">
        <f t="shared" si="38"/>
        <v>353.47109765343811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2.3855944152036108</v>
      </c>
      <c r="BQ29" s="21">
        <f>EXP(-LN(2)/25)*BQ28+(1-EXP(-LN(2)/25))/(LN(2)/25)*Calculateur!BL29*Calculateur!BN29*VLOOKUP('Données projet'!$B$11,Paramètres!$A$1:$I$89,3,0)*0.475*44/12</f>
        <v>18.271387330880323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20.656981746083932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123.2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15.253333333333332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11.737440000000008</v>
      </c>
      <c r="D30" s="11">
        <f t="shared" si="32"/>
        <v>4.060945004319537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92.683858692008002</v>
      </c>
      <c r="H30" s="67">
        <f t="shared" si="1"/>
        <v>479.24885388252324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14.166666666666666</v>
      </c>
      <c r="N30" s="13">
        <f>IF('Données projet'!$A$36&gt;35,N29+M30-V29,IF(A30&lt;'Données projet'!$A$36,$K$205^A30,IF(A30='Données projet'!$A$36,'Données projet'!$B$36,N29+M30-V29)))</f>
        <v>181.49999999999997</v>
      </c>
      <c r="O30" s="13">
        <f>N30*VLOOKUP('Données projet'!$B$9,Paramètres!$A$1:$I$89,3,0)*VLOOKUP('Données projet'!$B$9,Paramètres!$A$1:$I$89,5,0)</f>
        <v>113.25599999999997</v>
      </c>
      <c r="P30" s="13">
        <f t="shared" si="33"/>
        <v>30.096816336106439</v>
      </c>
      <c r="Q30" s="20">
        <f t="shared" si="2"/>
        <v>249.67282178538531</v>
      </c>
      <c r="R30" s="59">
        <f t="shared" si="0"/>
        <v>759.48615511871856</v>
      </c>
      <c r="S30" s="59">
        <f ca="1">AVERAGE(OFFSET($R$3,0,0,'Données projet'!$E$9+1,1))-AVERAGE(OFFSET($H$3,0,0,'Données projet'!$E$9+1,1))</f>
        <v>216.99952889049467</v>
      </c>
      <c r="T30" s="59">
        <f t="shared" si="34"/>
        <v>340.62742489103783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31.802003761995362</v>
      </c>
      <c r="AB30" s="21">
        <f>EXP(-LN(2)/2)*AB29+(1-EXP(-LN(2)/2))/(LN(2)/2)*V30*Y30*VLOOKUP('Données projet'!$B$9,Paramètres!$A$1:$I$89,3,0)*0.475*44/12</f>
        <v>0</v>
      </c>
      <c r="AC30" s="22">
        <f t="shared" si="3"/>
        <v>31.802003761995362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13.225714285714288</v>
      </c>
      <c r="AI30" s="13">
        <f>IF('Données projet'!$A$62&gt;35,AI29+AH30-AQ29,IF(A30&lt;'Données projet'!$A$62,$AF$205^A30,IF(A30='Données projet'!$A$62,'Données projet'!$B$62,AI29+AH30-AQ29)))</f>
        <v>95.031428571428549</v>
      </c>
      <c r="AJ30" s="13">
        <f>AI30*VLOOKUP('Données projet'!$B$10,Paramètres!$A$1:$I$89,3,0)*VLOOKUP('Données projet'!$B$10,Paramètres!$A$1:$I$89,5,0)</f>
        <v>56.828794285714281</v>
      </c>
      <c r="AK30" s="13">
        <f t="shared" si="35"/>
        <v>16.363972467387253</v>
      </c>
      <c r="AL30" s="20">
        <f t="shared" si="4"/>
        <v>127.47740209498517</v>
      </c>
      <c r="AM30" s="59">
        <f t="shared" si="5"/>
        <v>637.29073542831838</v>
      </c>
      <c r="AN30" s="59">
        <f ca="1">AVERAGE(OFFSET($AM$3,0,0,'Données projet'!$E$10+1,1))-AVERAGE(OFFSET($H$3,0,0,'Données projet'!$E$10+1,1))</f>
        <v>243.63945673917135</v>
      </c>
      <c r="AO30" s="59">
        <f t="shared" si="36"/>
        <v>213.14969914288025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1.716263741742815</v>
      </c>
      <c r="AV30" s="21">
        <f>EXP(-LN(2)/25)*AV29+(1-EXP(-LN(2)/25))/(LN(2)/25)*Calculateur!AQ30*Calculateur!AS30*VLOOKUP('Données projet'!$B$10,Paramètres!$A$1:$I$89,3,0)*0.475*44/12</f>
        <v>13.461082029955874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15.177345771698688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21.612857142857145</v>
      </c>
      <c r="BD30" s="12">
        <f>IF('Données projet'!$A$88&gt;35,BD29+BC30-BL29,IF(A30&lt;'Données projet'!$A$88,$BA$205^A30,IF(A30='Données projet'!$A$88,'Données projet'!$B$88,BD29+BC30-BL29)))</f>
        <v>260.24714285714282</v>
      </c>
      <c r="BE30" s="13">
        <f>BD30*VLOOKUP('Données projet'!$B$11,Paramètres!$A$1:$I$89,3,0)*VLOOKUP('Données projet'!$B$11,Paramètres!$A$1:$I$89,5,0)</f>
        <v>145.47815285714285</v>
      </c>
      <c r="BF30" s="13">
        <f t="shared" si="37"/>
        <v>37.54915616665005</v>
      </c>
      <c r="BG30" s="20">
        <f t="shared" si="7"/>
        <v>318.77256321643927</v>
      </c>
      <c r="BH30" s="59">
        <f t="shared" si="8"/>
        <v>828.58589654977254</v>
      </c>
      <c r="BI30" s="59">
        <f ca="1">AVERAGE(OFFSET($BH$3,0,0,'Données projet'!$E$11+1,1))-AVERAGE(OFFSET($H$3,0,0,'Données projet'!$E$11+1,1))</f>
        <v>357.2406649189378</v>
      </c>
      <c r="BJ30" s="59">
        <f t="shared" si="38"/>
        <v>353.47109765343811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2.3388143637903851</v>
      </c>
      <c r="BQ30" s="21">
        <f>EXP(-LN(2)/25)*BQ29+(1-EXP(-LN(2)/25))/(LN(2)/25)*Calculateur!BL30*Calculateur!BN30*VLOOKUP('Données projet'!$B$11,Paramètres!$A$1:$I$89,3,0)*0.475*44/12</f>
        <v>17.771755283466902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20.110569647257286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123.2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15.840000000000002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12.172160000000009</v>
      </c>
      <c r="D31" s="11">
        <f t="shared" si="32"/>
        <v>4.1935605929943254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96.012227478900115</v>
      </c>
      <c r="H31" s="67">
        <f t="shared" si="1"/>
        <v>480.23696336613182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14.166666666666666</v>
      </c>
      <c r="N31" s="13">
        <f>IF('Données projet'!$A$36&gt;35,N30+M31-V30,IF(A31&lt;'Données projet'!$A$36,$K$205^A31,IF(A31='Données projet'!$A$36,'Données projet'!$B$36,N30+M31-V30)))</f>
        <v>195.66666666666663</v>
      </c>
      <c r="O31" s="13">
        <f>N31*VLOOKUP('Données projet'!$B$9,Paramètres!$A$1:$I$89,3,0)*VLOOKUP('Données projet'!$B$9,Paramètres!$A$1:$I$89,5,0)</f>
        <v>122.09599999999998</v>
      </c>
      <c r="P31" s="13">
        <f t="shared" si="33"/>
        <v>32.163363121463028</v>
      </c>
      <c r="Q31" s="20">
        <f t="shared" si="2"/>
        <v>268.6683907698814</v>
      </c>
      <c r="R31" s="59">
        <f t="shared" si="0"/>
        <v>780.63283521432595</v>
      </c>
      <c r="S31" s="59">
        <f ca="1">AVERAGE(OFFSET($R$3,0,0,'Données projet'!$E$9+1,1))-AVERAGE(OFFSET($H$3,0,0,'Données projet'!$E$9+1,1))</f>
        <v>216.99952889049467</v>
      </c>
      <c r="T31" s="59">
        <f t="shared" si="34"/>
        <v>340.62742489103783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30.932376296728904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30.932376296728904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13.225714285714288</v>
      </c>
      <c r="AI31" s="13">
        <f>IF('Données projet'!$A$62&gt;35,AI30+AH31-AQ30,IF(A31&lt;'Données projet'!$A$62,$AF$205^A31,IF(A31='Données projet'!$A$62,'Données projet'!$B$62,AI30+AH31-AQ30)))</f>
        <v>108.25714285714284</v>
      </c>
      <c r="AJ31" s="13">
        <f>AI31*VLOOKUP('Données projet'!$B$10,Paramètres!$A$1:$I$89,3,0)*VLOOKUP('Données projet'!$B$10,Paramètres!$A$1:$I$89,5,0)</f>
        <v>64.737771428571421</v>
      </c>
      <c r="AK31" s="13">
        <f t="shared" si="35"/>
        <v>18.360776676259963</v>
      </c>
      <c r="AL31" s="20">
        <f t="shared" si="4"/>
        <v>144.72997128258132</v>
      </c>
      <c r="AM31" s="59">
        <f t="shared" si="5"/>
        <v>656.69441572702578</v>
      </c>
      <c r="AN31" s="59">
        <f ca="1">AVERAGE(OFFSET($AM$3,0,0,'Données projet'!$E$10+1,1))-AVERAGE(OFFSET($H$3,0,0,'Données projet'!$E$10+1,1))</f>
        <v>243.63945673917135</v>
      </c>
      <c r="AO31" s="59">
        <f t="shared" si="36"/>
        <v>213.14969914288025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1.6826088565847563</v>
      </c>
      <c r="AV31" s="21">
        <f>EXP(-LN(2)/25)*AV30+(1-EXP(-LN(2)/25))/(LN(2)/25)*Calculateur!AQ31*Calculateur!AS31*VLOOKUP('Données projet'!$B$10,Paramètres!$A$1:$I$89,3,0)*0.475*44/12</f>
        <v>13.092988033959191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14.775596890543948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BA31" s="12">
        <f>VLOOKUP(A31,'Données projet'!$A$87:$I$107,2,0)</f>
        <v>281.86</v>
      </c>
      <c r="BB31" s="12">
        <f>VLOOKUP(A31,'Données projet'!$A$87:$I$107,9,0)</f>
        <v>21.612857142857145</v>
      </c>
      <c r="BC31" s="12">
        <f t="array" ref="BC31">INDEX(BB:BB,MIN(IF(ISNUMBER(BB31:BB227),ROW(BB31:BB227),"")))</f>
        <v>21.612857142857145</v>
      </c>
      <c r="BD31" s="12">
        <f>IF('Données projet'!$A$88&gt;35,BD30+BC31-BL30,IF(A31&lt;'Données projet'!$A$88,$BA$205^A31,IF(A31='Données projet'!$A$88,'Données projet'!$B$88,BD30+BC31-BL30)))</f>
        <v>281.85999999999996</v>
      </c>
      <c r="BE31" s="13">
        <f>BD31*VLOOKUP('Données projet'!$B$11,Paramètres!$A$1:$I$89,3,0)*VLOOKUP('Données projet'!$B$11,Paramètres!$A$1:$I$89,5,0)</f>
        <v>157.55973999999998</v>
      </c>
      <c r="BF31" s="13">
        <f t="shared" si="37"/>
        <v>40.291616590408985</v>
      </c>
      <c r="BG31" s="20">
        <f t="shared" si="7"/>
        <v>344.59111272829563</v>
      </c>
      <c r="BH31" s="59">
        <f t="shared" si="8"/>
        <v>856.55555717274012</v>
      </c>
      <c r="BI31" s="59">
        <f ca="1">AVERAGE(OFFSET($BH$3,0,0,'Données projet'!$E$11+1,1))-AVERAGE(OFFSET($H$3,0,0,'Données projet'!$E$11+1,1))</f>
        <v>357.2406649189378</v>
      </c>
      <c r="BJ31" s="59">
        <f t="shared" si="38"/>
        <v>353.47109765343811</v>
      </c>
      <c r="BK31" s="15">
        <f>IF(ISNA(VLOOKUP(A31,'Données projet'!$A$87:$I$107,3,0)),0,VLOOKUP(A31,'Données projet'!$A$87:$I$107,3,0))</f>
        <v>2</v>
      </c>
      <c r="BL31" s="15">
        <f>IF(ISNA(VLOOKUP(A31,'Données projet'!$A$87:$I$107,4,0)),0,VLOOKUP(A31,'Données projet'!$A$87:$I$107,4,0))</f>
        <v>67.61</v>
      </c>
      <c r="BM31" s="16">
        <f>IF(ISNA(VLOOKUP(A31,'Données projet'!$A$87:$I$107,5,0)),0%,VLOOKUP(A31,'Données projet'!$A$87:$I$107,5,0)*VLOOKUP('Données projet'!$B$11,Paramètres!$A$1:$I$89,7,0))</f>
        <v>5.5000000000000007E-2</v>
      </c>
      <c r="BN31" s="16">
        <f>IF(ISNA(VLOOKUP(A31,'Données projet'!$A$87:$I$107,6,0)),0%,VLOOKUP(A31,'Données projet'!$A$87:$I$107,6,0)*VLOOKUP('Données projet'!$B$11,Paramètres!$A$1:$I$89,7,0))</f>
        <v>0.44000000000000006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5.0504406476304169</v>
      </c>
      <c r="BQ31" s="21">
        <f>EXP(-LN(2)/25)*BQ30+(1-EXP(-LN(2)/25))/(LN(2)/25)*Calculateur!BL31*Calculateur!BN31*VLOOKUP('Données projet'!$B$11,Paramètres!$A$1:$I$89,3,0)*0.475*44/12</f>
        <v>39.258839477239725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44.309280124870142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123.2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16.426666666666666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12.606880000000009</v>
      </c>
      <c r="D32" s="11">
        <f t="shared" si="32"/>
        <v>4.3256259004851589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99.337367949512995</v>
      </c>
      <c r="H32" s="67">
        <f t="shared" si="1"/>
        <v>481.224114443345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14.166666666666666</v>
      </c>
      <c r="N32" s="13">
        <f>IF('Données projet'!$A$36&gt;35,N31+M32-V31,IF(A32&lt;'Données projet'!$A$36,$K$205^A32,IF(A32='Données projet'!$A$36,'Données projet'!$B$36,N31+M32-V31)))</f>
        <v>209.83333333333329</v>
      </c>
      <c r="O32" s="13">
        <f>N32*VLOOKUP('Données projet'!$B$9,Paramètres!$A$1:$I$89,3,0)*VLOOKUP('Données projet'!$B$9,Paramètres!$A$1:$I$89,5,0)</f>
        <v>130.93599999999998</v>
      </c>
      <c r="P32" s="13">
        <f t="shared" si="33"/>
        <v>34.21255106176632</v>
      </c>
      <c r="Q32" s="20">
        <f t="shared" si="2"/>
        <v>287.63372643257628</v>
      </c>
      <c r="R32" s="59">
        <f t="shared" si="0"/>
        <v>801.74928198813188</v>
      </c>
      <c r="S32" s="59">
        <f ca="1">AVERAGE(OFFSET($R$3,0,0,'Données projet'!$E$9+1,1))-AVERAGE(OFFSET($H$3,0,0,'Données projet'!$E$9+1,1))</f>
        <v>216.99952889049467</v>
      </c>
      <c r="T32" s="59">
        <f t="shared" si="34"/>
        <v>340.62742489103783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30.086528840231878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30.086528840231878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13.225714285714288</v>
      </c>
      <c r="AI32" s="13">
        <f>IF('Données projet'!$A$62&gt;35,AI31+AH32-AQ31,IF(A32&lt;'Données projet'!$A$62,$AF$205^A32,IF(A32='Données projet'!$A$62,'Données projet'!$B$62,AI31+AH32-AQ31)))</f>
        <v>121.48285714285713</v>
      </c>
      <c r="AJ32" s="13">
        <f>AI32*VLOOKUP('Données projet'!$B$10,Paramètres!$A$1:$I$89,3,0)*VLOOKUP('Données projet'!$B$10,Paramètres!$A$1:$I$89,5,0)</f>
        <v>72.64674857142856</v>
      </c>
      <c r="AK32" s="13">
        <f t="shared" si="35"/>
        <v>20.3293120778808</v>
      </c>
      <c r="AL32" s="20">
        <f t="shared" si="4"/>
        <v>161.93330563088048</v>
      </c>
      <c r="AM32" s="59">
        <f t="shared" si="5"/>
        <v>676.04886118643606</v>
      </c>
      <c r="AN32" s="59">
        <f ca="1">AVERAGE(OFFSET($AM$3,0,0,'Données projet'!$E$10+1,1))-AVERAGE(OFFSET($H$3,0,0,'Données projet'!$E$10+1,1))</f>
        <v>243.63945673917135</v>
      </c>
      <c r="AO32" s="59">
        <f t="shared" si="36"/>
        <v>213.14969914288025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1.649613923197194</v>
      </c>
      <c r="AV32" s="21">
        <f>EXP(-LN(2)/25)*AV31+(1-EXP(-LN(2)/25))/(LN(2)/25)*Calculateur!AQ32*Calculateur!AS32*VLOOKUP('Données projet'!$B$10,Paramètres!$A$1:$I$89,3,0)*0.475*44/12</f>
        <v>12.73495958764026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14.384573510837454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23.267142857142858</v>
      </c>
      <c r="BD32" s="12">
        <f>IF('Données projet'!$A$88&gt;35,BD31+BC32-BL31,IF(A32&lt;'Données projet'!$A$88,$BA$205^A32,IF(A32='Données projet'!$A$88,'Données projet'!$B$88,BD31+BC32-BL31)))</f>
        <v>237.5171428571428</v>
      </c>
      <c r="BE32" s="13">
        <f>BD32*VLOOKUP('Données projet'!$B$11,Paramètres!$A$1:$I$89,3,0)*VLOOKUP('Données projet'!$B$11,Paramètres!$A$1:$I$89,5,0)</f>
        <v>132.77208285714283</v>
      </c>
      <c r="BF32" s="13">
        <f t="shared" si="37"/>
        <v>34.636117583630416</v>
      </c>
      <c r="BG32" s="20">
        <f t="shared" si="7"/>
        <v>291.56928243434669</v>
      </c>
      <c r="BH32" s="59">
        <f t="shared" si="8"/>
        <v>805.68483798990223</v>
      </c>
      <c r="BI32" s="59">
        <f ca="1">AVERAGE(OFFSET($BH$3,0,0,'Données projet'!$E$11+1,1))-AVERAGE(OFFSET($H$3,0,0,'Données projet'!$E$11+1,1))</f>
        <v>357.2406649189378</v>
      </c>
      <c r="BJ32" s="59">
        <f t="shared" si="38"/>
        <v>353.47109765343811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4.9514045869950092</v>
      </c>
      <c r="BQ32" s="21">
        <f>EXP(-LN(2)/25)*BQ31+(1-EXP(-LN(2)/25))/(LN(2)/25)*Calculateur!BL32*Calculateur!BN32*VLOOKUP('Données projet'!$B$11,Paramètres!$A$1:$I$89,3,0)*0.475*44/12</f>
        <v>38.185304447201965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43.136709034196976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123.2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17.013333333333332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13.04160000000001</v>
      </c>
      <c r="D33" s="11">
        <f t="shared" si="32"/>
        <v>4.4571620767812288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102.65940418378328</v>
      </c>
      <c r="H33" s="67">
        <f t="shared" si="1"/>
        <v>482.21034395039402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K33" s="12">
        <f>VLOOKUP(A33,'Données projet'!$A$35:$I$55,2,0)</f>
        <v>224</v>
      </c>
      <c r="L33" s="12">
        <f>VLOOKUP(A33,'Données projet'!$A$35:$I$55,9,0)</f>
        <v>14.166666666666666</v>
      </c>
      <c r="M33" s="12">
        <f t="array" ref="M33">INDEX(L:L,MIN(IF(ISNUMBER(L33:L229),ROW(L33:L229),"")))</f>
        <v>14.166666666666666</v>
      </c>
      <c r="N33" s="13">
        <f>IF('Données projet'!$A$36&gt;35,N32+M33-V32,IF(A33&lt;'Données projet'!$A$36,$K$205^A33,IF(A33='Données projet'!$A$36,'Données projet'!$B$36,N32+M33-V32)))</f>
        <v>223.99999999999994</v>
      </c>
      <c r="O33" s="13">
        <f>N33*VLOOKUP('Données projet'!$B$9,Paramètres!$A$1:$I$89,3,0)*VLOOKUP('Données projet'!$B$9,Paramètres!$A$1:$I$89,5,0)</f>
        <v>139.77599999999995</v>
      </c>
      <c r="P33" s="13">
        <f t="shared" si="33"/>
        <v>36.245685459195258</v>
      </c>
      <c r="Q33" s="20">
        <f t="shared" si="2"/>
        <v>306.57110217476503</v>
      </c>
      <c r="R33" s="59">
        <f t="shared" si="0"/>
        <v>822.83776884143185</v>
      </c>
      <c r="S33" s="59">
        <f ca="1">AVERAGE(OFFSET($R$3,0,0,'Données projet'!$E$9+1,1))-AVERAGE(OFFSET($H$3,0,0,'Données projet'!$E$9+1,1))</f>
        <v>216.99952889049467</v>
      </c>
      <c r="T33" s="59">
        <f t="shared" si="34"/>
        <v>340.62742489103783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0.6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55.483450130805195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55.483450130805195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13.225714285714288</v>
      </c>
      <c r="AI33" s="13">
        <f>IF('Données projet'!$A$62&gt;35,AI32+AH33-AQ32,IF(A33&lt;'Données projet'!$A$62,$AF$205^A33,IF(A33='Données projet'!$A$62,'Données projet'!$B$62,AI32+AH33-AQ32)))</f>
        <v>134.70857142857142</v>
      </c>
      <c r="AJ33" s="13">
        <f>AI33*VLOOKUP('Données projet'!$B$10,Paramètres!$A$1:$I$89,3,0)*VLOOKUP('Données projet'!$B$10,Paramètres!$A$1:$I$89,5,0)</f>
        <v>80.555725714285714</v>
      </c>
      <c r="AK33" s="13">
        <f t="shared" si="35"/>
        <v>22.273007162235366</v>
      </c>
      <c r="AL33" s="20">
        <f t="shared" si="4"/>
        <v>179.09337642660753</v>
      </c>
      <c r="AM33" s="59">
        <f t="shared" si="5"/>
        <v>695.36004309327427</v>
      </c>
      <c r="AN33" s="59">
        <f ca="1">AVERAGE(OFFSET($AM$3,0,0,'Données projet'!$E$10+1,1))-AVERAGE(OFFSET($H$3,0,0,'Données projet'!$E$10+1,1))</f>
        <v>243.63945673917135</v>
      </c>
      <c r="AO33" s="59">
        <f t="shared" si="36"/>
        <v>213.14969914288025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1.6172660003284396</v>
      </c>
      <c r="AV33" s="21">
        <f>EXP(-LN(2)/25)*AV32+(1-EXP(-LN(2)/25))/(LN(2)/25)*Calculateur!AQ33*Calculateur!AS33*VLOOKUP('Données projet'!$B$10,Paramètres!$A$1:$I$89,3,0)*0.475*44/12</f>
        <v>12.386721448013818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14.003987448342258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23.267142857142858</v>
      </c>
      <c r="BD33" s="12">
        <f>IF('Données projet'!$A$88&gt;35,BD32+BC33-BL32,IF(A33&lt;'Données projet'!$A$88,$BA$205^A33,IF(A33='Données projet'!$A$88,'Données projet'!$B$88,BD32+BC33-BL32)))</f>
        <v>260.78428571428566</v>
      </c>
      <c r="BE33" s="13">
        <f>BD33*VLOOKUP('Données projet'!$B$11,Paramètres!$A$1:$I$89,3,0)*VLOOKUP('Données projet'!$B$11,Paramètres!$A$1:$I$89,5,0)</f>
        <v>145.7784157142857</v>
      </c>
      <c r="BF33" s="13">
        <f t="shared" si="37"/>
        <v>37.617627311837914</v>
      </c>
      <c r="BG33" s="20">
        <f t="shared" si="7"/>
        <v>319.4147749371653</v>
      </c>
      <c r="BH33" s="59">
        <f t="shared" si="8"/>
        <v>835.68144160383213</v>
      </c>
      <c r="BI33" s="59">
        <f ca="1">AVERAGE(OFFSET($BH$3,0,0,'Données projet'!$E$11+1,1))-AVERAGE(OFFSET($H$3,0,0,'Données projet'!$E$11+1,1))</f>
        <v>357.2406649189378</v>
      </c>
      <c r="BJ33" s="59">
        <f t="shared" si="38"/>
        <v>353.47109765343811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4.8543105631026293</v>
      </c>
      <c r="BQ33" s="21">
        <f>EXP(-LN(2)/25)*BQ32+(1-EXP(-LN(2)/25))/(LN(2)/25)*Calculateur!BL33*Calculateur!BN33*VLOOKUP('Données projet'!$B$11,Paramètres!$A$1:$I$89,3,0)*0.475*44/12</f>
        <v>37.141125289015342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41.995435852117971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123.2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17.600000000000001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13.47632000000001</v>
      </c>
      <c r="D34" s="11">
        <f t="shared" si="32"/>
        <v>4.5881887818623115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105.97845152025896</v>
      </c>
      <c r="H34" s="67">
        <f t="shared" si="1"/>
        <v>483.19568612841022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12.833333333333334</v>
      </c>
      <c r="N34" s="13">
        <f>IF('Données projet'!$A$36&gt;35,N33+M34-V33,IF(A34&lt;'Données projet'!$A$36,$K$205^A34,IF(A34='Données projet'!$A$36,'Données projet'!$B$36,N33+M34-V33)))</f>
        <v>183.83333333333329</v>
      </c>
      <c r="O34" s="13">
        <f>N34*VLOOKUP('Données projet'!$B$9,Paramètres!$A$1:$I$89,3,0)*VLOOKUP('Données projet'!$B$9,Paramètres!$A$1:$I$89,5,0)</f>
        <v>114.71199999999997</v>
      </c>
      <c r="P34" s="13">
        <f t="shared" si="33"/>
        <v>30.438443898016164</v>
      </c>
      <c r="Q34" s="20">
        <f t="shared" si="2"/>
        <v>252.80368978904474</v>
      </c>
      <c r="R34" s="59">
        <f t="shared" si="0"/>
        <v>741.20368978904469</v>
      </c>
      <c r="S34" s="59">
        <f ca="1">AVERAGE(OFFSET($R$3,0,0,'Données projet'!$E$9+1,1))-AVERAGE(OFFSET($H$3,0,0,'Données projet'!$E$9+1,1))</f>
        <v>216.99952889049467</v>
      </c>
      <c r="T34" s="59">
        <f t="shared" si="34"/>
        <v>340.62742489103783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53.966252269230495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53.966252269230495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13.225714285714288</v>
      </c>
      <c r="AI34" s="13">
        <f>IF('Données projet'!$A$62&gt;35,AI33+AH34-AQ33,IF(A34&lt;'Données projet'!$A$62,$AF$205^A34,IF(A34='Données projet'!$A$62,'Données projet'!$B$62,AI33+AH34-AQ33)))</f>
        <v>147.93428571428569</v>
      </c>
      <c r="AJ34" s="13">
        <f>AI34*VLOOKUP('Données projet'!$B$10,Paramètres!$A$1:$I$89,3,0)*VLOOKUP('Données projet'!$B$10,Paramètres!$A$1:$I$89,5,0)</f>
        <v>88.464702857142854</v>
      </c>
      <c r="AK34" s="13">
        <f t="shared" si="35"/>
        <v>24.1945783177779</v>
      </c>
      <c r="AL34" s="20">
        <f t="shared" si="4"/>
        <v>196.214914712987</v>
      </c>
      <c r="AM34" s="59">
        <f t="shared" si="5"/>
        <v>684.61491471298689</v>
      </c>
      <c r="AN34" s="59">
        <f ca="1">AVERAGE(OFFSET($AM$3,0,0,'Données projet'!$E$10+1,1))-AVERAGE(OFFSET($H$3,0,0,'Données projet'!$E$10+1,1))</f>
        <v>243.63945673917135</v>
      </c>
      <c r="AO34" s="59">
        <f t="shared" si="36"/>
        <v>213.14969914288025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1.5855524004968566</v>
      </c>
      <c r="AV34" s="21">
        <f>EXP(-LN(2)/25)*AV33+(1-EXP(-LN(2)/25))/(LN(2)/25)*Calculateur!AQ34*Calculateur!AS34*VLOOKUP('Données projet'!$B$10,Paramètres!$A$1:$I$89,3,0)*0.475*44/12</f>
        <v>12.048005898628508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13.633558299125365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23.267142857142858</v>
      </c>
      <c r="BD34" s="12">
        <f>IF('Données projet'!$A$88&gt;35,BD33+BC34-BL33,IF(A34&lt;'Données projet'!$A$88,$BA$205^A34,IF(A34='Données projet'!$A$88,'Données projet'!$B$88,BD33+BC34-BL33)))</f>
        <v>284.05142857142852</v>
      </c>
      <c r="BE34" s="13">
        <f>BD34*VLOOKUP('Données projet'!$B$11,Paramètres!$A$1:$I$89,3,0)*VLOOKUP('Données projet'!$B$11,Paramètres!$A$1:$I$89,5,0)</f>
        <v>158.78474857142854</v>
      </c>
      <c r="BF34" s="13">
        <f t="shared" si="37"/>
        <v>40.568290544193985</v>
      </c>
      <c r="BG34" s="20">
        <f t="shared" si="7"/>
        <v>347.20654312637589</v>
      </c>
      <c r="BH34" s="59">
        <f t="shared" si="8"/>
        <v>835.60654312637575</v>
      </c>
      <c r="BI34" s="59">
        <f ca="1">AVERAGE(OFFSET($BH$3,0,0,'Données projet'!$E$11+1,1))-AVERAGE(OFFSET($H$3,0,0,'Données projet'!$E$11+1,1))</f>
        <v>357.2406649189378</v>
      </c>
      <c r="BJ34" s="59">
        <f t="shared" si="38"/>
        <v>353.47109765343811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4.7591204937972718</v>
      </c>
      <c r="BQ34" s="21">
        <f>EXP(-LN(2)/25)*BQ33+(1-EXP(-LN(2)/25))/(LN(2)/25)*Calculateur!BL34*Calculateur!BN34*VLOOKUP('Données projet'!$B$11,Paramètres!$A$1:$I$89,3,0)*0.475*44/12</f>
        <v>36.125499264820327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40.884619758617596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123.2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13.911040000000011</v>
      </c>
      <c r="D35" s="11">
        <f t="shared" si="32"/>
        <v>4.7187243353129835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109.29461743383622</v>
      </c>
      <c r="H35" s="67">
        <f t="shared" si="1"/>
        <v>484.18017288400347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12.833333333333334</v>
      </c>
      <c r="N35" s="13">
        <f>IF('Données projet'!$A$36&gt;35,N34+M35-V34,IF(A35&lt;'Données projet'!$A$36,$K$205^A35,IF(A35='Données projet'!$A$36,'Données projet'!$B$36,N34+M35-V34)))</f>
        <v>196.66666666666663</v>
      </c>
      <c r="O35" s="13">
        <f>N35*VLOOKUP('Données projet'!$B$9,Paramètres!$A$1:$I$89,3,0)*VLOOKUP('Données projet'!$B$9,Paramètres!$A$1:$I$89,5,0)</f>
        <v>122.71999999999997</v>
      </c>
      <c r="P35" s="13">
        <f t="shared" si="33"/>
        <v>32.308564708068729</v>
      </c>
      <c r="Q35" s="20">
        <f t="shared" ref="Q35:Q66" si="53">(O35+P35)*0.475*44/12</f>
        <v>270.00808353321963</v>
      </c>
      <c r="R35" s="59">
        <f t="shared" si="0"/>
        <v>758.4080835332195</v>
      </c>
      <c r="S35" s="59">
        <f ca="1">AVERAGE(OFFSET($R$3,0,0,'Données projet'!$E$9+1,1))-AVERAGE(OFFSET($H$3,0,0,'Données projet'!$E$9+1,1))</f>
        <v>216.99952889049467</v>
      </c>
      <c r="T35" s="59">
        <f t="shared" si="34"/>
        <v>340.62742489103783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52.490542262966521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52.490542262966521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161.16</v>
      </c>
      <c r="AG35" s="12">
        <f>VLOOKUP(A35,'Données projet'!$A$61:$I$81,9,0)</f>
        <v>13.225714285714288</v>
      </c>
      <c r="AH35" s="12">
        <f t="array" ref="AH35">INDEX(AG:AG,MIN(IF(ISNUMBER(AG35:AG231),ROW(AG35:AG231),"")))</f>
        <v>13.225714285714288</v>
      </c>
      <c r="AI35" s="13">
        <f>IF('Données projet'!$A$62&gt;35,AI34+AH35-AQ34,IF(A35&lt;'Données projet'!$A$62,$AF$205^A35,IF(A35='Données projet'!$A$62,'Données projet'!$B$62,AI34+AH35-AQ34)))</f>
        <v>161.15999999999997</v>
      </c>
      <c r="AJ35" s="13">
        <f>AI35*VLOOKUP('Données projet'!$B$10,Paramètres!$A$1:$I$89,3,0)*VLOOKUP('Données projet'!$B$10,Paramètres!$A$1:$I$89,5,0)</f>
        <v>96.373679999999993</v>
      </c>
      <c r="AK35" s="13">
        <f t="shared" si="35"/>
        <v>26.09622840532715</v>
      </c>
      <c r="AL35" s="20">
        <f t="shared" si="4"/>
        <v>213.30175713927812</v>
      </c>
      <c r="AM35" s="59">
        <f t="shared" si="5"/>
        <v>701.70175713927802</v>
      </c>
      <c r="AN35" s="59">
        <f ca="1">AVERAGE(OFFSET($AM$3,0,0,'Données projet'!$E$10+1,1))-AVERAGE(OFFSET($H$3,0,0,'Données projet'!$E$10+1,1))</f>
        <v>243.63945673917135</v>
      </c>
      <c r="AO35" s="59">
        <f t="shared" si="36"/>
        <v>213.14969914288025</v>
      </c>
      <c r="AP35" s="15">
        <f>IF(ISNA(VLOOKUP(A35,'Données projet'!$A$61:$I$81,3,0)),0,VLOOKUP(A35,'Données projet'!$A$61:$I$81,3,0))</f>
        <v>2</v>
      </c>
      <c r="AQ35" s="15">
        <f>IF(ISNA(VLOOKUP(A35,'Données projet'!$A$61:$I$81,4,0)),0,VLOOKUP(A35,'Données projet'!$A$61:$I$81,4,0))</f>
        <v>45.68</v>
      </c>
      <c r="AR35" s="16">
        <f>IF(ISNA(VLOOKUP(A35,'Données projet'!$A$61:$I$81,5,0)),0%,VLOOKUP(A35,'Données projet'!$A$61:$I$81,5,0)*VLOOKUP('Données projet'!$B$10,Paramètres!$A$1:$I$89,7,0))</f>
        <v>0.13500000000000001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6.4464939799297101</v>
      </c>
      <c r="AV35" s="21">
        <f>EXP(-LN(2)/25)*AV34+(1-EXP(-LN(2)/25))/(LN(2)/25)*Calculateur!AQ35*Calculateur!AS35*VLOOKUP('Données projet'!$B$10,Paramètres!$A$1:$I$89,3,0)*0.475*44/12</f>
        <v>19.839838370123793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26.286332350053502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23.267142857142858</v>
      </c>
      <c r="BD35" s="12">
        <f>IF('Données projet'!$A$88&gt;35,BD34+BC35-BL34,IF(A35&lt;'Données projet'!$A$88,$BA$205^A35,IF(A35='Données projet'!$A$88,'Données projet'!$B$88,BD34+BC35-BL34)))</f>
        <v>307.31857142857137</v>
      </c>
      <c r="BE35" s="13">
        <f>BD35*VLOOKUP('Données projet'!$B$11,Paramètres!$A$1:$I$89,3,0)*VLOOKUP('Données projet'!$B$11,Paramètres!$A$1:$I$89,5,0)</f>
        <v>171.79108142857137</v>
      </c>
      <c r="BF35" s="13">
        <f t="shared" si="37"/>
        <v>43.49092122942389</v>
      </c>
      <c r="BG35" s="20">
        <f t="shared" si="7"/>
        <v>374.94948796267505</v>
      </c>
      <c r="BH35" s="59">
        <f t="shared" si="8"/>
        <v>863.34948796267497</v>
      </c>
      <c r="BI35" s="59">
        <f ca="1">AVERAGE(OFFSET($BH$3,0,0,'Données projet'!$E$11+1,1))-AVERAGE(OFFSET($H$3,0,0,'Données projet'!$E$11+1,1))</f>
        <v>357.2406649189378</v>
      </c>
      <c r="BJ35" s="59">
        <f t="shared" si="38"/>
        <v>353.47109765343811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4.665797043690783</v>
      </c>
      <c r="BQ35" s="21">
        <f>EXP(-LN(2)/25)*BQ34+(1-EXP(-LN(2)/25))/(LN(2)/25)*Calculateur!BL35*Calculateur!BN35*VLOOKUP('Données projet'!$B$11,Paramètres!$A$1:$I$89,3,0)*0.475*44/12</f>
        <v>35.137645587666377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39.803442631357157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123.2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14.345760000000011</v>
      </c>
      <c r="D36" s="11">
        <f t="shared" si="32"/>
        <v>4.848785846709684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112.6080023006969</v>
      </c>
      <c r="H36" s="67">
        <f t="shared" si="1"/>
        <v>485.16383401635272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12.833333333333334</v>
      </c>
      <c r="N36" s="13">
        <f>IF('Données projet'!$A$36&gt;35,N35+M36-V35,IF(A36&lt;'Données projet'!$A$36,$K$205^A36,IF(A36='Données projet'!$A$36,'Données projet'!$B$36,N35+M36-V35)))</f>
        <v>209.49999999999997</v>
      </c>
      <c r="O36" s="13">
        <f>N36*VLOOKUP('Données projet'!$B$9,Paramètres!$A$1:$I$89,3,0)*VLOOKUP('Données projet'!$B$9,Paramètres!$A$1:$I$89,5,0)</f>
        <v>130.72799999999998</v>
      </c>
      <c r="P36" s="13">
        <f t="shared" si="33"/>
        <v>34.164524045585857</v>
      </c>
      <c r="Q36" s="20">
        <f t="shared" si="53"/>
        <v>287.18781271272866</v>
      </c>
      <c r="R36" s="59">
        <f t="shared" si="0"/>
        <v>775.58781271272858</v>
      </c>
      <c r="S36" s="59">
        <f ca="1">AVERAGE(OFFSET($R$3,0,0,'Données projet'!$E$9+1,1))-AVERAGE(OFFSET($H$3,0,0,'Données projet'!$E$9+1,1))</f>
        <v>216.99952889049467</v>
      </c>
      <c r="T36" s="59">
        <f t="shared" si="34"/>
        <v>340.62742489103783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51.055185624428056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51.055185624428056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13.7775</v>
      </c>
      <c r="AI36" s="13">
        <f>IF('Données projet'!$A$62&gt;35,AI35+AH36-AQ35,IF(A36&lt;'Données projet'!$A$62,$AF$205^A36,IF(A36='Données projet'!$A$62,'Données projet'!$B$62,AI35+AH36-AQ35)))</f>
        <v>129.25749999999996</v>
      </c>
      <c r="AJ36" s="13">
        <f>AI36*VLOOKUP('Données projet'!$B$10,Paramètres!$A$1:$I$89,3,0)*VLOOKUP('Données projet'!$B$10,Paramètres!$A$1:$I$89,5,0)</f>
        <v>77.295984999999988</v>
      </c>
      <c r="AK36" s="13">
        <f t="shared" si="35"/>
        <v>21.474721159279436</v>
      </c>
      <c r="AL36" s="20">
        <f t="shared" si="4"/>
        <v>172.025646560745</v>
      </c>
      <c r="AM36" s="59">
        <f t="shared" si="5"/>
        <v>660.42564656074489</v>
      </c>
      <c r="AN36" s="59">
        <f ca="1">AVERAGE(OFFSET($AM$3,0,0,'Données projet'!$E$10+1,1))-AVERAGE(OFFSET($H$3,0,0,'Données projet'!$E$10+1,1))</f>
        <v>243.63945673917135</v>
      </c>
      <c r="AO36" s="59">
        <f t="shared" si="36"/>
        <v>213.14969914288025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6.3200821649563661</v>
      </c>
      <c r="AV36" s="21">
        <f>EXP(-LN(2)/25)*AV35+(1-EXP(-LN(2)/25))/(LN(2)/25)*Calculateur!AQ36*Calculateur!AS36*VLOOKUP('Données projet'!$B$10,Paramètres!$A$1:$I$89,3,0)*0.475*44/12</f>
        <v>19.297316946561004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25.617399111517372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23.267142857142858</v>
      </c>
      <c r="BD36" s="12">
        <f>IF('Données projet'!$A$88&gt;35,BD35+BC36-BL35,IF(A36&lt;'Données projet'!$A$88,$BA$205^A36,IF(A36='Données projet'!$A$88,'Données projet'!$B$88,BD35+BC36-BL35)))</f>
        <v>330.58571428571423</v>
      </c>
      <c r="BE36" s="13">
        <f>BD36*VLOOKUP('Données projet'!$B$11,Paramètres!$A$1:$I$89,3,0)*VLOOKUP('Données projet'!$B$11,Paramètres!$A$1:$I$89,5,0)</f>
        <v>184.79741428571427</v>
      </c>
      <c r="BF36" s="13">
        <f t="shared" si="37"/>
        <v>46.387883037381307</v>
      </c>
      <c r="BG36" s="20">
        <f t="shared" si="7"/>
        <v>402.64772617105808</v>
      </c>
      <c r="BH36" s="59">
        <f t="shared" si="8"/>
        <v>891.047726171058</v>
      </c>
      <c r="BI36" s="59">
        <f ca="1">AVERAGE(OFFSET($BH$3,0,0,'Données projet'!$E$11+1,1))-AVERAGE(OFFSET($H$3,0,0,'Données projet'!$E$11+1,1))</f>
        <v>357.2406649189378</v>
      </c>
      <c r="BJ36" s="59">
        <f t="shared" si="38"/>
        <v>353.47109765343811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4.5743036095191982</v>
      </c>
      <c r="BQ36" s="21">
        <f>EXP(-LN(2)/25)*BQ35+(1-EXP(-LN(2)/25))/(LN(2)/25)*Calculateur!BL36*Calculateur!BN36*VLOOKUP('Données projet'!$B$11,Paramètres!$A$1:$I$89,3,0)*0.475*44/12</f>
        <v>34.176804821263168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38.751108430782367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123.2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14.780480000000011</v>
      </c>
      <c r="D37" s="11">
        <f t="shared" si="32"/>
        <v>4.9783893297592599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115.91870006792107</v>
      </c>
      <c r="H37" s="67">
        <f t="shared" si="1"/>
        <v>486.14669741599744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12.833333333333334</v>
      </c>
      <c r="N37" s="13">
        <f>IF('Données projet'!$A$36&gt;35,N36+M37-V36,IF(A37&lt;'Données projet'!$A$36,$K$205^A37,IF(A37='Données projet'!$A$36,'Données projet'!$B$36,N36+M37-V36)))</f>
        <v>222.33333333333331</v>
      </c>
      <c r="O37" s="13">
        <f>N37*VLOOKUP('Données projet'!$B$9,Paramètres!$A$1:$I$89,3,0)*VLOOKUP('Données projet'!$B$9,Paramètres!$A$1:$I$89,5,0)</f>
        <v>138.73599999999999</v>
      </c>
      <c r="P37" s="13">
        <f t="shared" si="33"/>
        <v>36.007288175538044</v>
      </c>
      <c r="Q37" s="20">
        <f t="shared" si="53"/>
        <v>304.34456023906205</v>
      </c>
      <c r="R37" s="59">
        <f t="shared" si="0"/>
        <v>792.74456023906191</v>
      </c>
      <c r="S37" s="59">
        <f ca="1">AVERAGE(OFFSET($R$3,0,0,'Données projet'!$E$9+1,1))-AVERAGE(OFFSET($H$3,0,0,'Données projet'!$E$9+1,1))</f>
        <v>216.99952889049467</v>
      </c>
      <c r="T37" s="59">
        <f t="shared" si="34"/>
        <v>340.62742489103783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49.659078888652544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49.659078888652544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13.7775</v>
      </c>
      <c r="AI37" s="13">
        <f>IF('Données projet'!$A$62&gt;35,AI36+AH37-AQ36,IF(A37&lt;'Données projet'!$A$62,$AF$205^A37,IF(A37='Données projet'!$A$62,'Données projet'!$B$62,AI36+AH37-AQ36)))</f>
        <v>143.03499999999997</v>
      </c>
      <c r="AJ37" s="13">
        <f>AI37*VLOOKUP('Données projet'!$B$10,Paramètres!$A$1:$I$89,3,0)*VLOOKUP('Données projet'!$B$10,Paramètres!$A$1:$I$89,5,0)</f>
        <v>85.534929999999974</v>
      </c>
      <c r="AK37" s="13">
        <f t="shared" si="35"/>
        <v>23.485189308025213</v>
      </c>
      <c r="AL37" s="20">
        <f t="shared" si="4"/>
        <v>189.87670779481053</v>
      </c>
      <c r="AM37" s="59">
        <f t="shared" si="5"/>
        <v>678.27670779481048</v>
      </c>
      <c r="AN37" s="59">
        <f ca="1">AVERAGE(OFFSET($AM$3,0,0,'Données projet'!$E$10+1,1))-AVERAGE(OFFSET($H$3,0,0,'Données projet'!$E$10+1,1))</f>
        <v>243.63945673917135</v>
      </c>
      <c r="AO37" s="59">
        <f t="shared" si="36"/>
        <v>213.14969914288025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6.1961492085710557</v>
      </c>
      <c r="AV37" s="21">
        <f>EXP(-LN(2)/25)*AV36+(1-EXP(-LN(2)/25))/(LN(2)/25)*Calculateur!AQ37*Calculateur!AS37*VLOOKUP('Données projet'!$B$10,Paramètres!$A$1:$I$89,3,0)*0.475*44/12</f>
        <v>18.769630799855499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24.965780008426556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23.267142857142858</v>
      </c>
      <c r="BD37" s="12">
        <f>IF('Données projet'!$A$88&gt;35,BD36+BC37-BL36,IF(A37&lt;'Données projet'!$A$88,$BA$205^A37,IF(A37='Données projet'!$A$88,'Données projet'!$B$88,BD36+BC37-BL36)))</f>
        <v>353.85285714285709</v>
      </c>
      <c r="BE37" s="13">
        <f>BD37*VLOOKUP('Données projet'!$B$11,Paramètres!$A$1:$I$89,3,0)*VLOOKUP('Données projet'!$B$11,Paramètres!$A$1:$I$89,5,0)</f>
        <v>197.80374714285711</v>
      </c>
      <c r="BF37" s="13">
        <f t="shared" si="37"/>
        <v>49.26118807441209</v>
      </c>
      <c r="BG37" s="20">
        <f t="shared" si="7"/>
        <v>430.30476217007714</v>
      </c>
      <c r="BH37" s="59">
        <f t="shared" si="8"/>
        <v>918.70476217007706</v>
      </c>
      <c r="BI37" s="59">
        <f ca="1">AVERAGE(OFFSET($BH$3,0,0,'Données projet'!$E$11+1,1))-AVERAGE(OFFSET($H$3,0,0,'Données projet'!$E$11+1,1))</f>
        <v>357.2406649189378</v>
      </c>
      <c r="BJ37" s="59">
        <f t="shared" si="38"/>
        <v>353.47109765343811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4.4846043057862337</v>
      </c>
      <c r="BQ37" s="21">
        <f>EXP(-LN(2)/25)*BQ36+(1-EXP(-LN(2)/25))/(LN(2)/25)*Calculateur!BL37*Calculateur!BN37*VLOOKUP('Données projet'!$B$11,Paramètres!$A$1:$I$89,3,0)*0.475*44/12</f>
        <v>33.242238296145672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37.726842601931907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123.2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15.215200000000012</v>
      </c>
      <c r="D38" s="11">
        <f t="shared" si="32"/>
        <v>5.1075498026320831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119.22679884210832</v>
      </c>
      <c r="H38" s="67">
        <f t="shared" si="1"/>
        <v>487.12878923958425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235.16666666666666</v>
      </c>
      <c r="O38" s="13">
        <f>N38*VLOOKUP('Données projet'!$B$9,Paramètres!$A$1:$I$89,3,0)*VLOOKUP('Données projet'!$B$9,Paramètres!$A$1:$I$89,5,0)</f>
        <v>146.744</v>
      </c>
      <c r="P38" s="13">
        <f t="shared" si="33"/>
        <v>37.837705514258651</v>
      </c>
      <c r="Q38" s="20">
        <f t="shared" si="53"/>
        <v>321.47980377066716</v>
      </c>
      <c r="R38" s="59">
        <f t="shared" si="0"/>
        <v>809.87980377066708</v>
      </c>
      <c r="S38" s="59">
        <f ca="1">AVERAGE(OFFSET($R$3,0,0,'Données projet'!$E$9+1,1))-AVERAGE(OFFSET($H$3,0,0,'Données projet'!$E$9+1,1))</f>
        <v>216.99952889049467</v>
      </c>
      <c r="T38" s="59">
        <f t="shared" si="34"/>
        <v>340.62742489103783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48.30114876498488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48.30114876498488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13.7775</v>
      </c>
      <c r="AI38" s="13">
        <f>IF('Données projet'!$A$62&gt;35,AI37+AH38-AQ37,IF(A38&lt;'Données projet'!$A$62,$AF$205^A38,IF(A38='Données projet'!$A$62,'Données projet'!$B$62,AI37+AH38-AQ37)))</f>
        <v>156.81249999999997</v>
      </c>
      <c r="AJ38" s="13">
        <f>AI38*VLOOKUP('Données projet'!$B$10,Paramètres!$A$1:$I$89,3,0)*VLOOKUP('Données projet'!$B$10,Paramètres!$A$1:$I$89,5,0)</f>
        <v>93.77387499999999</v>
      </c>
      <c r="AK38" s="13">
        <f t="shared" si="35"/>
        <v>25.473205471017128</v>
      </c>
      <c r="AL38" s="20">
        <f t="shared" si="4"/>
        <v>207.68866515368813</v>
      </c>
      <c r="AM38" s="59">
        <f t="shared" si="5"/>
        <v>696.088665153688</v>
      </c>
      <c r="AN38" s="59">
        <f ca="1">AVERAGE(OFFSET($AM$3,0,0,'Données projet'!$E$10+1,1))-AVERAGE(OFFSET($H$3,0,0,'Données projet'!$E$10+1,1))</f>
        <v>243.63945673917135</v>
      </c>
      <c r="AO38" s="59">
        <f t="shared" si="36"/>
        <v>213.14969914288025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6.0746465018688216</v>
      </c>
      <c r="AV38" s="21">
        <f>EXP(-LN(2)/25)*AV37+(1-EXP(-LN(2)/25))/(LN(2)/25)*Calculateur!AQ38*Calculateur!AS38*VLOOKUP('Données projet'!$B$10,Paramètres!$A$1:$I$89,3,0)*0.475*44/12</f>
        <v>18.256374258581463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24.331020760450286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377.12</v>
      </c>
      <c r="BB38" s="12">
        <f>VLOOKUP(A38,'Données projet'!$A$87:$I$107,9,0)</f>
        <v>23.267142857142858</v>
      </c>
      <c r="BC38" s="12">
        <f t="array" ref="BC38">INDEX(BB:BB,MIN(IF(ISNUMBER(BB38:BB234),ROW(BB38:BB234),"")))</f>
        <v>23.267142857142858</v>
      </c>
      <c r="BD38" s="12">
        <f>IF('Données projet'!$A$88&gt;35,BD37+BC38-BL37,IF(A38&lt;'Données projet'!$A$88,$BA$205^A38,IF(A38='Données projet'!$A$88,'Données projet'!$B$88,BD37+BC38-BL37)))</f>
        <v>377.11999999999995</v>
      </c>
      <c r="BE38" s="13">
        <f>BD38*VLOOKUP('Données projet'!$B$11,Paramètres!$A$1:$I$89,3,0)*VLOOKUP('Données projet'!$B$11,Paramètres!$A$1:$I$89,5,0)</f>
        <v>210.81007999999997</v>
      </c>
      <c r="BF38" s="13">
        <f t="shared" si="37"/>
        <v>52.112568873523912</v>
      </c>
      <c r="BG38" s="20">
        <f t="shared" si="7"/>
        <v>457.92361345472074</v>
      </c>
      <c r="BH38" s="59">
        <f t="shared" si="8"/>
        <v>946.32361345472066</v>
      </c>
      <c r="BI38" s="59">
        <f ca="1">AVERAGE(OFFSET($BH$3,0,0,'Données projet'!$E$11+1,1))-AVERAGE(OFFSET($H$3,0,0,'Données projet'!$E$11+1,1))</f>
        <v>357.2406649189378</v>
      </c>
      <c r="BJ38" s="59">
        <f t="shared" si="38"/>
        <v>353.47109765343811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86.68</v>
      </c>
      <c r="BM38" s="16">
        <f>IF(ISNA(VLOOKUP(A38,'Données projet'!$A$87:$I$107,5,0)),0%,VLOOKUP(A38,'Données projet'!$A$87:$I$107,5,0)*VLOOKUP('Données projet'!$B$11,Paramètres!$A$1:$I$89,7,0))</f>
        <v>0.16500000000000001</v>
      </c>
      <c r="BN38" s="16">
        <f>IF(ISNA(VLOOKUP(A38,'Données projet'!$A$87:$I$107,6,0)),0%,VLOOKUP(A38,'Données projet'!$A$87:$I$107,6,0)*VLOOKUP('Données projet'!$B$11,Paramètres!$A$1:$I$89,7,0))</f>
        <v>0.27500000000000002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15.002453647102655</v>
      </c>
      <c r="BQ38" s="21">
        <f>EXP(-LN(2)/25)*BQ37+(1-EXP(-LN(2)/25))/(LN(2)/25)*Calculateur!BL38*Calculateur!BN38*VLOOKUP('Données projet'!$B$11,Paramètres!$A$1:$I$89,3,0)*0.475*44/12</f>
        <v>49.93994531056569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64.942398957668345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123.2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15.649920000000012</v>
      </c>
      <c r="D39" s="11">
        <f t="shared" si="32"/>
        <v>5.2362813765062519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122.53238140883677</v>
      </c>
      <c r="H39" s="67">
        <f t="shared" si="1"/>
        <v>488.11013406408176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248</v>
      </c>
      <c r="L39" s="12">
        <f>VLOOKUP(A39,'Données projet'!$A$35:$I$55,9,0)</f>
        <v>12.833333333333334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248</v>
      </c>
      <c r="O39" s="13">
        <f>N39*VLOOKUP('Données projet'!$B$9,Paramètres!$A$1:$I$89,3,0)*VLOOKUP('Données projet'!$B$9,Paramètres!$A$1:$I$89,5,0)</f>
        <v>154.75199999999998</v>
      </c>
      <c r="P39" s="13">
        <f t="shared" si="33"/>
        <v>39.656526650076415</v>
      </c>
      <c r="Q39" s="20">
        <f t="shared" si="53"/>
        <v>338.5948505822164</v>
      </c>
      <c r="R39" s="59">
        <f t="shared" si="0"/>
        <v>826.99485058221626</v>
      </c>
      <c r="S39" s="59">
        <f ca="1">AVERAGE(OFFSET($R$3,0,0,'Données projet'!$E$9+1,1))-AVERAGE(OFFSET($H$3,0,0,'Données projet'!$E$9+1,1))</f>
        <v>216.99952889049467</v>
      </c>
      <c r="T39" s="59">
        <f t="shared" si="34"/>
        <v>340.62742489103783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62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0.6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77.652381844813249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77.652381844813249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13.7775</v>
      </c>
      <c r="AI39" s="13">
        <f>IF('Données projet'!$A$62&gt;35,AI38+AH39-AQ38,IF(A39&lt;'Données projet'!$A$62,$AF$205^A39,IF(A39='Données projet'!$A$62,'Données projet'!$B$62,AI38+AH39-AQ38)))</f>
        <v>170.58999999999997</v>
      </c>
      <c r="AJ39" s="13">
        <f>AI39*VLOOKUP('Données projet'!$B$10,Paramètres!$A$1:$I$89,3,0)*VLOOKUP('Données projet'!$B$10,Paramètres!$A$1:$I$89,5,0)</f>
        <v>102.01281999999999</v>
      </c>
      <c r="AK39" s="13">
        <f t="shared" si="35"/>
        <v>27.440966573843383</v>
      </c>
      <c r="AL39" s="20">
        <f t="shared" si="4"/>
        <v>225.4653449494439</v>
      </c>
      <c r="AM39" s="59">
        <f t="shared" si="5"/>
        <v>713.86534494944385</v>
      </c>
      <c r="AN39" s="59">
        <f ca="1">AVERAGE(OFFSET($AM$3,0,0,'Données projet'!$E$10+1,1))-AVERAGE(OFFSET($H$3,0,0,'Données projet'!$E$10+1,1))</f>
        <v>243.63945673917135</v>
      </c>
      <c r="AO39" s="59">
        <f t="shared" si="36"/>
        <v>213.14969914288025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5.9555263891356853</v>
      </c>
      <c r="AV39" s="21">
        <f>EXP(-LN(2)/25)*AV38+(1-EXP(-LN(2)/25))/(LN(2)/25)*Calculateur!AQ39*Calculateur!AS39*VLOOKUP('Données projet'!$B$10,Paramètres!$A$1:$I$89,3,0)*0.475*44/12</f>
        <v>17.757152744419557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23.712679133555241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22.82714285714286</v>
      </c>
      <c r="BD39" s="12">
        <f>IF('Données projet'!$A$88&gt;35,BD38+BC39-BL38,IF(A39&lt;'Données projet'!$A$88,$BA$205^A39,IF(A39='Données projet'!$A$88,'Données projet'!$B$88,BD38+BC39-BL38)))</f>
        <v>313.2671428571428</v>
      </c>
      <c r="BE39" s="13">
        <f>BD39*VLOOKUP('Données projet'!$B$11,Paramètres!$A$1:$I$89,3,0)*VLOOKUP('Données projet'!$B$11,Paramètres!$A$1:$I$89,5,0)</f>
        <v>175.11633285714285</v>
      </c>
      <c r="BF39" s="13">
        <f t="shared" si="37"/>
        <v>44.233926946721667</v>
      </c>
      <c r="BG39" s="20">
        <f t="shared" si="7"/>
        <v>382.03503582506397</v>
      </c>
      <c r="BH39" s="59">
        <f t="shared" si="8"/>
        <v>870.43503582506389</v>
      </c>
      <c r="BI39" s="59">
        <f ca="1">AVERAGE(OFFSET($BH$3,0,0,'Données projet'!$E$11+1,1))-AVERAGE(OFFSET($H$3,0,0,'Données projet'!$E$11+1,1))</f>
        <v>357.2406649189378</v>
      </c>
      <c r="BJ39" s="59">
        <f t="shared" si="38"/>
        <v>353.47109765343811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14.70826468167615</v>
      </c>
      <c r="BQ39" s="21">
        <f>EXP(-LN(2)/25)*BQ38+(1-EXP(-LN(2)/25))/(LN(2)/25)*Calculateur!BL39*Calculateur!BN39*VLOOKUP('Données projet'!$B$11,Paramètres!$A$1:$I$89,3,0)*0.475*44/12</f>
        <v>48.57433487982069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63.282599561496838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123.2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16.084640000000011</v>
      </c>
      <c r="D40" s="11">
        <f t="shared" si="32"/>
        <v>5.3645973339969508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125.83552569278216</v>
      </c>
      <c r="H40" s="67">
        <f t="shared" si="1"/>
        <v>489.09075502337805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11.5</v>
      </c>
      <c r="N40" s="13">
        <f>IF('Données projet'!$A$36&gt;35,N39+M40-V39,IF(A40&lt;'Données projet'!$A$36,$K$205^A40,IF(A40='Données projet'!$A$36,'Données projet'!$B$36,N39+M40-V39)))</f>
        <v>197.5</v>
      </c>
      <c r="O40" s="13">
        <f>N40*VLOOKUP('Données projet'!$B$9,Paramètres!$A$1:$I$89,3,0)*VLOOKUP('Données projet'!$B$9,Paramètres!$A$1:$I$89,5,0)</f>
        <v>123.24</v>
      </c>
      <c r="P40" s="13">
        <f t="shared" si="33"/>
        <v>32.429500380369056</v>
      </c>
      <c r="Q40" s="20">
        <f t="shared" si="53"/>
        <v>271.12437982914275</v>
      </c>
      <c r="R40" s="59">
        <f t="shared" si="0"/>
        <v>759.52437982914262</v>
      </c>
      <c r="S40" s="59">
        <f ca="1">AVERAGE(OFFSET($R$3,0,0,'Données projet'!$E$9+1,1))-AVERAGE(OFFSET($H$3,0,0,'Données projet'!$E$9+1,1))</f>
        <v>216.99952889049467</v>
      </c>
      <c r="T40" s="59">
        <f t="shared" si="34"/>
        <v>340.62742489103783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75.528973379705548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75.528973379705548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13.7775</v>
      </c>
      <c r="AI40" s="13">
        <f>IF('Données projet'!$A$62&gt;35,AI39+AH40-AQ39,IF(A40&lt;'Données projet'!$A$62,$AF$205^A40,IF(A40='Données projet'!$A$62,'Données projet'!$B$62,AI39+AH40-AQ39)))</f>
        <v>184.36749999999998</v>
      </c>
      <c r="AJ40" s="13">
        <f>AI40*VLOOKUP('Données projet'!$B$10,Paramètres!$A$1:$I$89,3,0)*VLOOKUP('Données projet'!$B$10,Paramètres!$A$1:$I$89,5,0)</f>
        <v>110.25176500000001</v>
      </c>
      <c r="AK40" s="13">
        <f t="shared" si="35"/>
        <v>29.390294475454798</v>
      </c>
      <c r="AL40" s="20">
        <f t="shared" si="4"/>
        <v>243.20992025308374</v>
      </c>
      <c r="AM40" s="59">
        <f t="shared" si="5"/>
        <v>731.6099202530836</v>
      </c>
      <c r="AN40" s="59">
        <f ca="1">AVERAGE(OFFSET($AM$3,0,0,'Données projet'!$E$10+1,1))-AVERAGE(OFFSET($H$3,0,0,'Données projet'!$E$10+1,1))</f>
        <v>243.63945673917135</v>
      </c>
      <c r="AO40" s="59">
        <f t="shared" si="36"/>
        <v>213.14969914288025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5.8387421491571514</v>
      </c>
      <c r="AV40" s="21">
        <f>EXP(-LN(2)/25)*AV39+(1-EXP(-LN(2)/25))/(LN(2)/25)*Calculateur!AQ40*Calculateur!AS40*VLOOKUP('Données projet'!$B$10,Paramètres!$A$1:$I$89,3,0)*0.475*44/12</f>
        <v>17.271582468815325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23.110324617972477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22.82714285714286</v>
      </c>
      <c r="BD40" s="12">
        <f>IF('Données projet'!$A$88&gt;35,BD39+BC40-BL39,IF(A40&lt;'Données projet'!$A$88,$BA$205^A40,IF(A40='Données projet'!$A$88,'Données projet'!$B$88,BD39+BC40-BL39)))</f>
        <v>336.09428571428566</v>
      </c>
      <c r="BE40" s="13">
        <f>BD40*VLOOKUP('Données projet'!$B$11,Paramètres!$A$1:$I$89,3,0)*VLOOKUP('Données projet'!$B$11,Paramètres!$A$1:$I$89,5,0)</f>
        <v>187.87670571428569</v>
      </c>
      <c r="BF40" s="13">
        <f t="shared" si="37"/>
        <v>47.070216037627873</v>
      </c>
      <c r="BG40" s="20">
        <f t="shared" si="7"/>
        <v>409.19922205124948</v>
      </c>
      <c r="BH40" s="59">
        <f t="shared" si="8"/>
        <v>897.5992220512494</v>
      </c>
      <c r="BI40" s="59">
        <f ca="1">AVERAGE(OFFSET($BH$3,0,0,'Données projet'!$E$11+1,1))-AVERAGE(OFFSET($H$3,0,0,'Données projet'!$E$11+1,1))</f>
        <v>357.2406649189378</v>
      </c>
      <c r="BJ40" s="59">
        <f t="shared" si="38"/>
        <v>353.47109765343811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14.419844582424108</v>
      </c>
      <c r="BQ40" s="21">
        <f>EXP(-LN(2)/25)*BQ39+(1-EXP(-LN(2)/25))/(LN(2)/25)*Calculateur!BL40*Calculateur!BN40*VLOOKUP('Données projet'!$B$11,Paramètres!$A$1:$I$89,3,0)*0.475*44/12</f>
        <v>47.24606713811874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61.665911720542852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123.2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16.51936000000001</v>
      </c>
      <c r="D41" s="11">
        <f t="shared" si="32"/>
        <v>5.4925101988685174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129.13630516669539</v>
      </c>
      <c r="H41" s="67">
        <f t="shared" si="1"/>
        <v>490.07067392969606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11.5</v>
      </c>
      <c r="N41" s="13">
        <f>IF('Données projet'!$A$36&gt;35,N40+M41-V40,IF(A41&lt;'Données projet'!$A$36,$K$205^A41,IF(A41='Données projet'!$A$36,'Données projet'!$B$36,N40+M41-V40)))</f>
        <v>209</v>
      </c>
      <c r="O41" s="13">
        <f>N41*VLOOKUP('Données projet'!$B$9,Paramètres!$A$1:$I$89,3,0)*VLOOKUP('Données projet'!$B$9,Paramètres!$A$1:$I$89,5,0)</f>
        <v>130.416</v>
      </c>
      <c r="P41" s="13">
        <f t="shared" si="33"/>
        <v>34.092466837179941</v>
      </c>
      <c r="Q41" s="20">
        <f t="shared" si="53"/>
        <v>286.51891307475506</v>
      </c>
      <c r="R41" s="59">
        <f t="shared" si="0"/>
        <v>774.91891307475498</v>
      </c>
      <c r="S41" s="59">
        <f ca="1">AVERAGE(OFFSET($R$3,0,0,'Données projet'!$E$9+1,1))-AVERAGE(OFFSET($H$3,0,0,'Données projet'!$E$9+1,1))</f>
        <v>216.99952889049467</v>
      </c>
      <c r="T41" s="59">
        <f t="shared" si="34"/>
        <v>340.62742489103783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73.463629630741409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73.463629630741409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13.7775</v>
      </c>
      <c r="AI41" s="13">
        <f>IF('Données projet'!$A$62&gt;35,AI40+AH41-AQ40,IF(A41&lt;'Données projet'!$A$62,$AF$205^A41,IF(A41='Données projet'!$A$62,'Données projet'!$B$62,AI40+AH41-AQ40)))</f>
        <v>198.14499999999998</v>
      </c>
      <c r="AJ41" s="13">
        <f>AI41*VLOOKUP('Données projet'!$B$10,Paramètres!$A$1:$I$89,3,0)*VLOOKUP('Données projet'!$B$10,Paramètres!$A$1:$I$89,5,0)</f>
        <v>118.49070999999999</v>
      </c>
      <c r="AK41" s="13">
        <f t="shared" si="35"/>
        <v>31.322723294319729</v>
      </c>
      <c r="AL41" s="20">
        <f t="shared" si="4"/>
        <v>260.92506298760685</v>
      </c>
      <c r="AM41" s="59">
        <f t="shared" si="5"/>
        <v>749.32506298760677</v>
      </c>
      <c r="AN41" s="59">
        <f ca="1">AVERAGE(OFFSET($AM$3,0,0,'Données projet'!$E$10+1,1))-AVERAGE(OFFSET($H$3,0,0,'Données projet'!$E$10+1,1))</f>
        <v>243.63945673917135</v>
      </c>
      <c r="AO41" s="59">
        <f t="shared" si="36"/>
        <v>213.14969914288025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5.7242479768932437</v>
      </c>
      <c r="AV41" s="21">
        <f>EXP(-LN(2)/25)*AV40+(1-EXP(-LN(2)/25))/(LN(2)/25)*Calculateur!AQ41*Calculateur!AS41*VLOOKUP('Données projet'!$B$10,Paramètres!$A$1:$I$89,3,0)*0.475*44/12</f>
        <v>16.799290137932523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22.523538114825769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22.82714285714286</v>
      </c>
      <c r="BD41" s="12">
        <f>IF('Données projet'!$A$88&gt;35,BD40+BC41-BL40,IF(A41&lt;'Données projet'!$A$88,$BA$205^A41,IF(A41='Données projet'!$A$88,'Données projet'!$B$88,BD40+BC41-BL40)))</f>
        <v>358.92142857142852</v>
      </c>
      <c r="BE41" s="13">
        <f>BD41*VLOOKUP('Données projet'!$B$11,Paramètres!$A$1:$I$89,3,0)*VLOOKUP('Données projet'!$B$11,Paramètres!$A$1:$I$89,5,0)</f>
        <v>200.63707857142853</v>
      </c>
      <c r="BF41" s="13">
        <f t="shared" si="37"/>
        <v>49.884152387105956</v>
      </c>
      <c r="BG41" s="20">
        <f t="shared" si="7"/>
        <v>436.32447725278092</v>
      </c>
      <c r="BH41" s="59">
        <f t="shared" si="8"/>
        <v>924.72447725278084</v>
      </c>
      <c r="BI41" s="59">
        <f ca="1">AVERAGE(OFFSET($BH$3,0,0,'Données projet'!$E$11+1,1))-AVERAGE(OFFSET($H$3,0,0,'Données projet'!$E$11+1,1))</f>
        <v>357.2406649189378</v>
      </c>
      <c r="BJ41" s="59">
        <f t="shared" si="38"/>
        <v>353.47109765343811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14.13708022539951</v>
      </c>
      <c r="BQ41" s="21">
        <f>EXP(-LN(2)/25)*BQ40+(1-EXP(-LN(2)/25))/(LN(2)/25)*Calculateur!BL41*Calculateur!BN41*VLOOKUP('Données projet'!$B$11,Paramètres!$A$1:$I$89,3,0)*0.475*44/12</f>
        <v>45.954120947664194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60.091201173063702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123.2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16.954080000000008</v>
      </c>
      <c r="D42" s="11">
        <f t="shared" si="32"/>
        <v>5.6200317982020005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132.43478921611845</v>
      </c>
      <c r="H42" s="67">
        <f t="shared" si="1"/>
        <v>491.04991138186853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11.5</v>
      </c>
      <c r="N42" s="13">
        <f>IF('Données projet'!$A$36&gt;35,N41+M42-V41,IF(A42&lt;'Données projet'!$A$36,$K$205^A42,IF(A42='Données projet'!$A$36,'Données projet'!$B$36,N41+M42-V41)))</f>
        <v>220.5</v>
      </c>
      <c r="O42" s="13">
        <f>N42*VLOOKUP('Données projet'!$B$9,Paramètres!$A$1:$I$89,3,0)*VLOOKUP('Données projet'!$B$9,Paramètres!$A$1:$I$89,5,0)</f>
        <v>137.59199999999998</v>
      </c>
      <c r="P42" s="13">
        <f t="shared" si="33"/>
        <v>35.744810729505772</v>
      </c>
      <c r="Q42" s="20">
        <f t="shared" si="53"/>
        <v>301.89494535388923</v>
      </c>
      <c r="R42" s="59">
        <f t="shared" si="0"/>
        <v>790.29494535388915</v>
      </c>
      <c r="S42" s="59">
        <f ca="1">AVERAGE(OFFSET($R$3,0,0,'Données projet'!$E$9+1,1))-AVERAGE(OFFSET($H$3,0,0,'Données projet'!$E$9+1,1))</f>
        <v>216.99952889049467</v>
      </c>
      <c r="T42" s="59">
        <f t="shared" si="34"/>
        <v>340.62742489103783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71.454762815204404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71.454762815204404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13.7775</v>
      </c>
      <c r="AI42" s="13">
        <f>IF('Données projet'!$A$62&gt;35,AI41+AH42-AQ41,IF(A42&lt;'Données projet'!$A$62,$AF$205^A42,IF(A42='Données projet'!$A$62,'Données projet'!$B$62,AI41+AH42-AQ41)))</f>
        <v>211.92249999999999</v>
      </c>
      <c r="AJ42" s="13">
        <f>AI42*VLOOKUP('Données projet'!$B$10,Paramètres!$A$1:$I$89,3,0)*VLOOKUP('Données projet'!$B$10,Paramètres!$A$1:$I$89,5,0)</f>
        <v>126.72965499999999</v>
      </c>
      <c r="AK42" s="13">
        <f t="shared" si="35"/>
        <v>33.239561726451363</v>
      </c>
      <c r="AL42" s="20">
        <f t="shared" si="4"/>
        <v>278.61305246523608</v>
      </c>
      <c r="AM42" s="59">
        <f t="shared" si="5"/>
        <v>767.013052465236</v>
      </c>
      <c r="AN42" s="59">
        <f ca="1">AVERAGE(OFFSET($AM$3,0,0,'Données projet'!$E$10+1,1))-AVERAGE(OFFSET($H$3,0,0,'Données projet'!$E$10+1,1))</f>
        <v>243.63945673917135</v>
      </c>
      <c r="AO42" s="59">
        <f t="shared" si="36"/>
        <v>213.14969914288025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5.611998965512881</v>
      </c>
      <c r="AV42" s="21">
        <f>EXP(-LN(2)/25)*AV41+(1-EXP(-LN(2)/25))/(LN(2)/25)*Calculateur!AQ42*Calculateur!AS42*VLOOKUP('Données projet'!$B$10,Paramètres!$A$1:$I$89,3,0)*0.475*44/12</f>
        <v>16.339912665674486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21.951911631187368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22.82714285714286</v>
      </c>
      <c r="BD42" s="12">
        <f>IF('Données projet'!$A$88&gt;35,BD41+BC42-BL41,IF(A42&lt;'Données projet'!$A$88,$BA$205^A42,IF(A42='Données projet'!$A$88,'Données projet'!$B$88,BD41+BC42-BL41)))</f>
        <v>381.74857142857138</v>
      </c>
      <c r="BE42" s="13">
        <f>BD42*VLOOKUP('Données projet'!$B$11,Paramètres!$A$1:$I$89,3,0)*VLOOKUP('Données projet'!$B$11,Paramètres!$A$1:$I$89,5,0)</f>
        <v>213.3974514285714</v>
      </c>
      <c r="BF42" s="13">
        <f t="shared" si="37"/>
        <v>52.67731943158536</v>
      </c>
      <c r="BG42" s="20">
        <f t="shared" si="7"/>
        <v>463.41355924810637</v>
      </c>
      <c r="BH42" s="59">
        <f t="shared" si="8"/>
        <v>951.81355924810623</v>
      </c>
      <c r="BI42" s="59">
        <f ca="1">AVERAGE(OFFSET($BH$3,0,0,'Données projet'!$E$11+1,1))-AVERAGE(OFFSET($H$3,0,0,'Données projet'!$E$11+1,1))</f>
        <v>357.2406649189378</v>
      </c>
      <c r="BJ42" s="59">
        <f t="shared" si="38"/>
        <v>353.47109765343811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13.859860704946936</v>
      </c>
      <c r="BQ42" s="21">
        <f>EXP(-LN(2)/25)*BQ41+(1-EXP(-LN(2)/25))/(LN(2)/25)*Calculateur!BL42*Calculateur!BN42*VLOOKUP('Données projet'!$B$11,Paramètres!$A$1:$I$89,3,0)*0.475*44/12</f>
        <v>44.697503093728123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58.557363798675055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123.2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17.388800000000007</v>
      </c>
      <c r="D43" s="11">
        <f t="shared" si="32"/>
        <v>5.747173318007099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135.7310434656417</v>
      </c>
      <c r="H43" s="67">
        <f t="shared" si="1"/>
        <v>492.02848686219573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11.5</v>
      </c>
      <c r="N43" s="13">
        <f>IF('Données projet'!$A$36&gt;35,N42+M43-V42,IF(A43&lt;'Données projet'!$A$36,$K$205^A43,IF(A43='Données projet'!$A$36,'Données projet'!$B$36,N42+M43-V42)))</f>
        <v>232</v>
      </c>
      <c r="O43" s="13">
        <f>N43*VLOOKUP('Données projet'!$B$9,Paramètres!$A$1:$I$89,3,0)*VLOOKUP('Données projet'!$B$9,Paramètres!$A$1:$I$89,5,0)</f>
        <v>144.768</v>
      </c>
      <c r="P43" s="13">
        <f t="shared" si="33"/>
        <v>37.387149255707826</v>
      </c>
      <c r="Q43" s="20">
        <f t="shared" si="53"/>
        <v>317.25355162035777</v>
      </c>
      <c r="R43" s="59">
        <f t="shared" si="0"/>
        <v>805.65355162035769</v>
      </c>
      <c r="S43" s="59">
        <f ca="1">AVERAGE(OFFSET($R$3,0,0,'Données projet'!$E$9+1,1))-AVERAGE(OFFSET($H$3,0,0,'Données projet'!$E$9+1,1))</f>
        <v>216.99952889049467</v>
      </c>
      <c r="T43" s="59">
        <f t="shared" si="34"/>
        <v>340.62742489103783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69.500828568379973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69.500828568379973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225.7</v>
      </c>
      <c r="AG43" s="12">
        <f>VLOOKUP(A43,'Données projet'!$A$61:$I$81,9,0)</f>
        <v>13.7775</v>
      </c>
      <c r="AH43" s="12">
        <f t="array" ref="AH43">INDEX(AG:AG,MIN(IF(ISNUMBER(AG43:AG239),ROW(AG43:AG239),"")))</f>
        <v>13.7775</v>
      </c>
      <c r="AI43" s="13">
        <f>IF('Données projet'!$A$62&gt;35,AI42+AH43-AQ42,IF(A43&lt;'Données projet'!$A$62,$AF$205^A43,IF(A43='Données projet'!$A$62,'Données projet'!$B$62,AI42+AH43-AQ42)))</f>
        <v>225.7</v>
      </c>
      <c r="AJ43" s="13">
        <f>AI43*VLOOKUP('Données projet'!$B$10,Paramètres!$A$1:$I$89,3,0)*VLOOKUP('Données projet'!$B$10,Paramètres!$A$1:$I$89,5,0)</f>
        <v>134.96860000000001</v>
      </c>
      <c r="AK43" s="13">
        <f t="shared" si="35"/>
        <v>35.141938683339475</v>
      </c>
      <c r="AL43" s="20">
        <f t="shared" si="4"/>
        <v>296.2758548734829</v>
      </c>
      <c r="AM43" s="59">
        <f t="shared" si="5"/>
        <v>784.67585487348288</v>
      </c>
      <c r="AN43" s="59">
        <f ca="1">AVERAGE(OFFSET($AM$3,0,0,'Données projet'!$E$10+1,1))-AVERAGE(OFFSET($H$3,0,0,'Données projet'!$E$10+1,1))</f>
        <v>243.63945673917135</v>
      </c>
      <c r="AO43" s="59">
        <f t="shared" si="36"/>
        <v>213.14969914288025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57.27</v>
      </c>
      <c r="AR43" s="16">
        <f>IF(ISNA(VLOOKUP(A43,'Données projet'!$A$61:$I$81,5,0)),0%,VLOOKUP(A43,'Données projet'!$A$61:$I$81,5,0)*VLOOKUP('Données projet'!$B$10,Paramètres!$A$1:$I$89,7,0))</f>
        <v>0.13500000000000001</v>
      </c>
      <c r="AS43" s="16">
        <f>IF(ISNA(VLOOKUP(A43,'Données projet'!$A$61:$I$81,6,0)),0%,VLOOKUP(A43,'Données projet'!$A$61:$I$81,6,0)*VLOOKUP('Données projet'!$B$10,Paramètres!$A$1:$I$89,7,0))</f>
        <v>0.22500000000000001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11.635198610667356</v>
      </c>
      <c r="AV43" s="21">
        <f>EXP(-LN(2)/25)*AV42+(1-EXP(-LN(2)/25))/(LN(2)/25)*Calculateur!AQ43*Calculateur!AS43*VLOOKUP('Données projet'!$B$10,Paramètres!$A$1:$I$89,3,0)*0.475*44/12</f>
        <v>26.074927876957318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37.710126487624677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22.82714285714286</v>
      </c>
      <c r="BD43" s="12">
        <f>IF('Données projet'!$A$88&gt;35,BD42+BC43-BL42,IF(A43&lt;'Données projet'!$A$88,$BA$205^A43,IF(A43='Données projet'!$A$88,'Données projet'!$B$88,BD42+BC43-BL42)))</f>
        <v>404.57571428571424</v>
      </c>
      <c r="BE43" s="13">
        <f>BD43*VLOOKUP('Données projet'!$B$11,Paramètres!$A$1:$I$89,3,0)*VLOOKUP('Données projet'!$B$11,Paramètres!$A$1:$I$89,5,0)</f>
        <v>226.15782428571427</v>
      </c>
      <c r="BF43" s="13">
        <f t="shared" si="37"/>
        <v>55.451100541643569</v>
      </c>
      <c r="BG43" s="20">
        <f t="shared" si="7"/>
        <v>490.46887740764822</v>
      </c>
      <c r="BH43" s="59">
        <f t="shared" si="8"/>
        <v>978.86887740764814</v>
      </c>
      <c r="BI43" s="59">
        <f ca="1">AVERAGE(OFFSET($BH$3,0,0,'Données projet'!$E$11+1,1))-AVERAGE(OFFSET($H$3,0,0,'Données projet'!$E$11+1,1))</f>
        <v>357.2406649189378</v>
      </c>
      <c r="BJ43" s="59">
        <f t="shared" si="38"/>
        <v>353.47109765343811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13.588077290203225</v>
      </c>
      <c r="BQ43" s="21">
        <f>EXP(-LN(2)/25)*BQ42+(1-EXP(-LN(2)/25))/(LN(2)/25)*Calculateur!BL43*Calculateur!BN43*VLOOKUP('Données projet'!$B$11,Paramètres!$A$1:$I$89,3,0)*0.475*44/12</f>
        <v>43.475247521090594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57.063324811293818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123.2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17.823520000000006</v>
      </c>
      <c r="D44" s="11">
        <f t="shared" si="32"/>
        <v>5.8739453531163983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139.02513007161625</v>
      </c>
      <c r="H44" s="67">
        <f t="shared" si="1"/>
        <v>493.0064188233444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243.5</v>
      </c>
      <c r="O44" s="13">
        <f>N44*VLOOKUP('Données projet'!$B$9,Paramètres!$A$1:$I$89,3,0)*VLOOKUP('Données projet'!$B$9,Paramètres!$A$1:$I$89,5,0)</f>
        <v>151.94399999999999</v>
      </c>
      <c r="P44" s="13">
        <f t="shared" si="33"/>
        <v>39.02003496976517</v>
      </c>
      <c r="Q44" s="20">
        <f t="shared" si="53"/>
        <v>332.59569423900763</v>
      </c>
      <c r="R44" s="59">
        <f t="shared" si="0"/>
        <v>820.99569423900755</v>
      </c>
      <c r="S44" s="59">
        <f ca="1">AVERAGE(OFFSET($R$3,0,0,'Données projet'!$E$9+1,1))-AVERAGE(OFFSET($H$3,0,0,'Données projet'!$E$9+1,1))</f>
        <v>216.99952889049467</v>
      </c>
      <c r="T44" s="59">
        <f t="shared" si="34"/>
        <v>340.62742489103783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67.60032475628789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67.60032475628789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13.263000000000002</v>
      </c>
      <c r="AI44" s="13">
        <f>IF('Données projet'!$A$62&gt;35,AI43+AH44-AQ43,IF(A44&lt;'Données projet'!$A$62,$AF$205^A44,IF(A44='Données projet'!$A$62,'Données projet'!$B$62,AI43+AH44-AQ43)))</f>
        <v>181.69299999999998</v>
      </c>
      <c r="AJ44" s="13">
        <f>AI44*VLOOKUP('Données projet'!$B$10,Paramètres!$A$1:$I$89,3,0)*VLOOKUP('Données projet'!$B$10,Paramètres!$A$1:$I$89,5,0)</f>
        <v>108.65241399999999</v>
      </c>
      <c r="AK44" s="13">
        <f t="shared" si="35"/>
        <v>29.013255384062703</v>
      </c>
      <c r="AL44" s="20">
        <f t="shared" si="4"/>
        <v>239.76770751057586</v>
      </c>
      <c r="AM44" s="59">
        <f t="shared" si="5"/>
        <v>728.16770751057584</v>
      </c>
      <c r="AN44" s="59">
        <f ca="1">AVERAGE(OFFSET($AM$3,0,0,'Données projet'!$E$10+1,1))-AVERAGE(OFFSET($H$3,0,0,'Données projet'!$E$10+1,1))</f>
        <v>243.63945673917135</v>
      </c>
      <c r="AO44" s="59">
        <f t="shared" si="36"/>
        <v>213.14969914288025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11.407039462682574</v>
      </c>
      <c r="AV44" s="21">
        <f>EXP(-LN(2)/25)*AV43+(1-EXP(-LN(2)/25))/(LN(2)/25)*Calculateur!AQ44*Calculateur!AS44*VLOOKUP('Données projet'!$B$10,Paramètres!$A$1:$I$89,3,0)*0.475*44/12</f>
        <v>25.361907602941059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36.768947065623635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22.82714285714286</v>
      </c>
      <c r="BD44" s="12">
        <f>IF('Données projet'!$A$88&gt;35,BD43+BC44-BL43,IF(A44&lt;'Données projet'!$A$88,$BA$205^A44,IF(A44='Données projet'!$A$88,'Données projet'!$B$88,BD43+BC44-BL43)))</f>
        <v>427.4028571428571</v>
      </c>
      <c r="BE44" s="13">
        <f>BD44*VLOOKUP('Données projet'!$B$11,Paramètres!$A$1:$I$89,3,0)*VLOOKUP('Données projet'!$B$11,Paramètres!$A$1:$I$89,5,0)</f>
        <v>238.91819714285711</v>
      </c>
      <c r="BF44" s="13">
        <f t="shared" si="37"/>
        <v>58.206714164613295</v>
      </c>
      <c r="BG44" s="20">
        <f t="shared" si="7"/>
        <v>517.49255386051107</v>
      </c>
      <c r="BH44" s="59">
        <f t="shared" si="8"/>
        <v>1005.892553860511</v>
      </c>
      <c r="BI44" s="59">
        <f ca="1">AVERAGE(OFFSET($BH$3,0,0,'Données projet'!$E$11+1,1))-AVERAGE(OFFSET($H$3,0,0,'Données projet'!$E$11+1,1))</f>
        <v>357.2406649189378</v>
      </c>
      <c r="BJ44" s="59">
        <f t="shared" si="38"/>
        <v>353.47109765343811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13.321623382451124</v>
      </c>
      <c r="BQ44" s="21">
        <f>EXP(-LN(2)/25)*BQ43+(1-EXP(-LN(2)/25))/(LN(2)/25)*Calculateur!BL44*Calculateur!BN44*VLOOKUP('Données projet'!$B$11,Paramètres!$A$1:$I$89,3,0)*0.475*44/12</f>
        <v>42.286414591362465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55.608037973813587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123.2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18.258240000000004</v>
      </c>
      <c r="D45" s="11">
        <f t="shared" si="32"/>
        <v>6.000357952074812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142.3171079855056</v>
      </c>
      <c r="H45" s="67">
        <f t="shared" si="1"/>
        <v>493.98372476653032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255</v>
      </c>
      <c r="L45" s="12">
        <f>VLOOKUP(A45,'Données projet'!$A$35:$I$55,9,0)</f>
        <v>11.5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255</v>
      </c>
      <c r="O45" s="13">
        <f>N45*VLOOKUP('Données projet'!$B$9,Paramètres!$A$1:$I$89,3,0)*VLOOKUP('Données projet'!$B$9,Paramètres!$A$1:$I$89,5,0)</f>
        <v>159.12</v>
      </c>
      <c r="P45" s="13">
        <f t="shared" si="33"/>
        <v>40.643965284387697</v>
      </c>
      <c r="Q45" s="20">
        <f t="shared" si="53"/>
        <v>347.92223953697521</v>
      </c>
      <c r="R45" s="59">
        <f t="shared" si="0"/>
        <v>836.32223953697508</v>
      </c>
      <c r="S45" s="59">
        <f ca="1">AVERAGE(OFFSET($R$3,0,0,'Données projet'!$E$9+1,1))-AVERAGE(OFFSET($H$3,0,0,'Données projet'!$E$9+1,1))</f>
        <v>216.99952889049467</v>
      </c>
      <c r="T45" s="59">
        <f t="shared" si="34"/>
        <v>340.62742489103783</v>
      </c>
      <c r="U45" s="15">
        <f>IF(ISNA(VLOOKUP(A45,'Données projet'!$A$35:$I$55,3,0)),0,VLOOKUP(A45,'Données projet'!$A$35:$I$55,3,0))</f>
        <v>6</v>
      </c>
      <c r="V45" s="15">
        <f>IF(ISNA(VLOOKUP(A45,'Données projet'!$A$35:$I$55,4,0)),0,VLOOKUP(A45,'Données projet'!$A$35:$I$55,4,0))</f>
        <v>67</v>
      </c>
      <c r="W45" s="16">
        <f>IF(ISNA(VLOOKUP(A45,'Données projet'!$A$35:$I$55,5,0)),0%,VLOOKUP(A45,'Données projet'!$A$35:$I$55,5,0)*VLOOKUP('Données projet'!$B$9,Paramètres!$A$1:$I$89,7,0))</f>
        <v>0.3</v>
      </c>
      <c r="X45" s="16">
        <f>IF(ISNA(VLOOKUP(A45,'Données projet'!$A$35:$I$55,6,0)),0%,VLOOKUP(A45,'Données projet'!$A$35:$I$55,6,0)*VLOOKUP('Données projet'!$B$9,Paramètres!$A$1:$I$89,7,0))</f>
        <v>0.3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16.638302025904888</v>
      </c>
      <c r="AA45" s="21">
        <f>EXP(-LN(2)/25)*AA44+(1-EXP(-LN(2)/25))/(LN(2)/25)*Calculateur!V45*Calculateur!X45*VLOOKUP('Données projet'!$B$9,Paramètres!$A$1:$I$89,3,0)*0.475*44/12</f>
        <v>82.324581012019422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98.962883037924314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13.263000000000002</v>
      </c>
      <c r="AI45" s="13">
        <f>IF('Données projet'!$A$62&gt;35,AI44+AH45-AQ44,IF(A45&lt;'Données projet'!$A$62,$AF$205^A45,IF(A45='Données projet'!$A$62,'Données projet'!$B$62,AI44+AH45-AQ44)))</f>
        <v>194.95599999999999</v>
      </c>
      <c r="AJ45" s="13">
        <f>AI45*VLOOKUP('Données projet'!$B$10,Paramètres!$A$1:$I$89,3,0)*VLOOKUP('Données projet'!$B$10,Paramètres!$A$1:$I$89,5,0)</f>
        <v>116.58368800000001</v>
      </c>
      <c r="AK45" s="13">
        <f t="shared" si="35"/>
        <v>30.876866196156154</v>
      </c>
      <c r="AL45" s="20">
        <f t="shared" si="4"/>
        <v>256.8271318916386</v>
      </c>
      <c r="AM45" s="59">
        <f t="shared" si="5"/>
        <v>745.22713189163846</v>
      </c>
      <c r="AN45" s="59">
        <f ca="1">AVERAGE(OFFSET($AM$3,0,0,'Données projet'!$E$10+1,1))-AVERAGE(OFFSET($H$3,0,0,'Données projet'!$E$10+1,1))</f>
        <v>243.63945673917135</v>
      </c>
      <c r="AO45" s="59">
        <f t="shared" si="36"/>
        <v>213.14969914288025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11.183354376426434</v>
      </c>
      <c r="AV45" s="21">
        <f>EXP(-LN(2)/25)*AV44+(1-EXP(-LN(2)/25))/(LN(2)/25)*Calculateur!AQ45*Calculateur!AS45*VLOOKUP('Données projet'!$B$10,Paramètres!$A$1:$I$89,3,0)*0.475*44/12</f>
        <v>24.66838490581388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35.851739282240317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450.23</v>
      </c>
      <c r="BB45" s="12">
        <f>VLOOKUP(A45,'Données projet'!$A$87:$I$107,9,0)</f>
        <v>22.82714285714286</v>
      </c>
      <c r="BC45" s="12">
        <f t="array" ref="BC45">INDEX(BB:BB,MIN(IF(ISNUMBER(BB45:BB241),ROW(BB45:BB241),"")))</f>
        <v>22.82714285714286</v>
      </c>
      <c r="BD45" s="12">
        <f>IF('Données projet'!$A$88&gt;35,BD44+BC45-BL44,IF(A45&lt;'Données projet'!$A$88,$BA$205^A45,IF(A45='Données projet'!$A$88,'Données projet'!$B$88,BD44+BC45-BL44)))</f>
        <v>450.22999999999996</v>
      </c>
      <c r="BE45" s="13">
        <f>BD45*VLOOKUP('Données projet'!$B$11,Paramètres!$A$1:$I$89,3,0)*VLOOKUP('Données projet'!$B$11,Paramètres!$A$1:$I$89,5,0)</f>
        <v>251.67856999999998</v>
      </c>
      <c r="BF45" s="13">
        <f t="shared" si="37"/>
        <v>60.945241245024086</v>
      </c>
      <c r="BG45" s="20">
        <f t="shared" si="7"/>
        <v>544.48647125175023</v>
      </c>
      <c r="BH45" s="59">
        <f t="shared" si="8"/>
        <v>1032.8864712517502</v>
      </c>
      <c r="BI45" s="59">
        <f ca="1">AVERAGE(OFFSET($BH$3,0,0,'Données projet'!$E$11+1,1))-AVERAGE(OFFSET($H$3,0,0,'Données projet'!$E$11+1,1))</f>
        <v>357.2406649189378</v>
      </c>
      <c r="BJ45" s="59">
        <f t="shared" si="38"/>
        <v>353.47109765343811</v>
      </c>
      <c r="BK45" s="15">
        <f>IF(ISNA(VLOOKUP(A45,'Données projet'!$A$87:$I$107,3,0)),0,VLOOKUP(A45,'Données projet'!$A$87:$I$107,3,0))</f>
        <v>4</v>
      </c>
      <c r="BL45" s="15">
        <f>IF(ISNA(VLOOKUP(A45,'Données projet'!$A$87:$I$107,4,0)),0,VLOOKUP(A45,'Données projet'!$A$87:$I$107,4,0))</f>
        <v>99.98</v>
      </c>
      <c r="BM45" s="16">
        <f>IF(ISNA(VLOOKUP(A45,'Données projet'!$A$87:$I$107,5,0)),0%,VLOOKUP(A45,'Données projet'!$A$87:$I$107,5,0)*VLOOKUP('Données projet'!$B$11,Paramètres!$A$1:$I$89,7,0))</f>
        <v>0.16500000000000001</v>
      </c>
      <c r="BN45" s="16">
        <f>IF(ISNA(VLOOKUP(A45,'Données projet'!$A$87:$I$107,6,0)),0%,VLOOKUP(A45,'Données projet'!$A$87:$I$107,6,0)*VLOOKUP('Données projet'!$B$11,Paramètres!$A$1:$I$89,7,0))</f>
        <v>0.27500000000000002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25.293514614604856</v>
      </c>
      <c r="BQ45" s="21">
        <f>EXP(-LN(2)/25)*BQ44+(1-EXP(-LN(2)/25))/(LN(2)/25)*Calculateur!BL45*Calculateur!BN45*VLOOKUP('Données projet'!$B$11,Paramètres!$A$1:$I$89,3,0)*0.475*44/12</f>
        <v>61.438346504141037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86.731861118745897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123.2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18.692960000000003</v>
      </c>
      <c r="D46" s="11">
        <f t="shared" si="32"/>
        <v>6.1264206576334104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145.60703319144935</v>
      </c>
      <c r="H46" s="67">
        <f t="shared" si="1"/>
        <v>494.9604213120449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10.666666666666666</v>
      </c>
      <c r="N46" s="13">
        <f>IF('Données projet'!$A$36&gt;35,N45+M46-V45,IF(A46&lt;'Données projet'!$A$36,$K$205^A46,IF(A46='Données projet'!$A$36,'Données projet'!$B$36,N45+M46-V45)))</f>
        <v>198.66666666666669</v>
      </c>
      <c r="O46" s="13">
        <f>N46*VLOOKUP('Données projet'!$B$9,Paramètres!$A$1:$I$89,3,0)*VLOOKUP('Données projet'!$B$9,Paramètres!$A$1:$I$89,5,0)</f>
        <v>123.968</v>
      </c>
      <c r="P46" s="13">
        <f t="shared" si="33"/>
        <v>32.598710622532096</v>
      </c>
      <c r="Q46" s="20">
        <f t="shared" si="53"/>
        <v>272.68702100091008</v>
      </c>
      <c r="R46" s="59">
        <f t="shared" si="0"/>
        <v>761.08702100091</v>
      </c>
      <c r="S46" s="59">
        <f ca="1">AVERAGE(OFFSET($R$3,0,0,'Données projet'!$E$9+1,1))-AVERAGE(OFFSET($H$3,0,0,'Données projet'!$E$9+1,1))</f>
        <v>216.99952889049467</v>
      </c>
      <c r="T46" s="59">
        <f t="shared" si="34"/>
        <v>340.62742489103783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16.312035071539061</v>
      </c>
      <c r="AA46" s="21">
        <f>EXP(-LN(2)/25)*AA45+(1-EXP(-LN(2)/25))/(LN(2)/25)*Calculateur!V46*Calculateur!X46*VLOOKUP('Données projet'!$B$9,Paramètres!$A$1:$I$89,3,0)*0.475*44/12</f>
        <v>80.073411014984188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96.385446086523245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13.263000000000002</v>
      </c>
      <c r="AI46" s="13">
        <f>IF('Données projet'!$A$62&gt;35,AI45+AH46-AQ45,IF(A46&lt;'Données projet'!$A$62,$AF$205^A46,IF(A46='Données projet'!$A$62,'Données projet'!$B$62,AI45+AH46-AQ45)))</f>
        <v>208.21899999999999</v>
      </c>
      <c r="AJ46" s="13">
        <f>AI46*VLOOKUP('Données projet'!$B$10,Paramètres!$A$1:$I$89,3,0)*VLOOKUP('Données projet'!$B$10,Paramètres!$A$1:$I$89,5,0)</f>
        <v>124.514962</v>
      </c>
      <c r="AK46" s="13">
        <f t="shared" si="35"/>
        <v>32.725765791483454</v>
      </c>
      <c r="AL46" s="20">
        <f t="shared" si="4"/>
        <v>273.86093423683366</v>
      </c>
      <c r="AM46" s="59">
        <f t="shared" si="5"/>
        <v>762.26093423683358</v>
      </c>
      <c r="AN46" s="59">
        <f ca="1">AVERAGE(OFFSET($AM$3,0,0,'Données projet'!$E$10+1,1))-AVERAGE(OFFSET($H$3,0,0,'Données projet'!$E$10+1,1))</f>
        <v>243.63945673917135</v>
      </c>
      <c r="AO46" s="59">
        <f t="shared" si="36"/>
        <v>213.14969914288025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10.964055618277348</v>
      </c>
      <c r="AV46" s="21">
        <f>EXP(-LN(2)/25)*AV45+(1-EXP(-LN(2)/25))/(LN(2)/25)*Calculateur!AQ46*Calculateur!AS46*VLOOKUP('Données projet'!$B$10,Paramètres!$A$1:$I$89,3,0)*0.475*44/12</f>
        <v>23.993826623310419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34.957882241587768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21.939999999999998</v>
      </c>
      <c r="BD46" s="12">
        <f>IF('Données projet'!$A$88&gt;35,BD45+BC46-BL45,IF(A46&lt;'Données projet'!$A$88,$BA$205^A46,IF(A46='Données projet'!$A$88,'Données projet'!$B$88,BD45+BC46-BL45)))</f>
        <v>372.18999999999994</v>
      </c>
      <c r="BE46" s="13">
        <f>BD46*VLOOKUP('Données projet'!$B$11,Paramètres!$A$1:$I$89,3,0)*VLOOKUP('Données projet'!$B$11,Paramètres!$A$1:$I$89,5,0)</f>
        <v>208.05420999999996</v>
      </c>
      <c r="BF46" s="13">
        <f t="shared" si="37"/>
        <v>51.510151537098693</v>
      </c>
      <c r="BG46" s="20">
        <f t="shared" si="7"/>
        <v>452.07459634378012</v>
      </c>
      <c r="BH46" s="59">
        <f t="shared" si="8"/>
        <v>940.47459634378004</v>
      </c>
      <c r="BI46" s="59">
        <f ca="1">AVERAGE(OFFSET($BH$3,0,0,'Données projet'!$E$11+1,1))-AVERAGE(OFFSET($H$3,0,0,'Données projet'!$E$11+1,1))</f>
        <v>357.2406649189378</v>
      </c>
      <c r="BJ46" s="59">
        <f t="shared" si="38"/>
        <v>353.47109765343811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24.797524220533028</v>
      </c>
      <c r="BQ46" s="21">
        <f>EXP(-LN(2)/25)*BQ45+(1-EXP(-LN(2)/25))/(LN(2)/25)*Calculateur!BL46*Calculateur!BN46*VLOOKUP('Données projet'!$B$11,Paramètres!$A$1:$I$89,3,0)*0.475*44/12</f>
        <v>59.758311688083076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84.555835908616103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123.2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19.127680000000002</v>
      </c>
      <c r="D47" s="11">
        <f t="shared" si="32"/>
        <v>6.2521425433702325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148.8949589211054</v>
      </c>
      <c r="H47" s="67">
        <f t="shared" si="1"/>
        <v>495.93652426303652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10.666666666666666</v>
      </c>
      <c r="N47" s="13">
        <f>IF('Données projet'!$A$36&gt;35,N46+M47-V46,IF(A47&lt;'Données projet'!$A$36,$K$205^A47,IF(A47='Données projet'!$A$36,'Données projet'!$B$36,N46+M47-V46)))</f>
        <v>209.33333333333334</v>
      </c>
      <c r="O47" s="13">
        <f>N47*VLOOKUP('Données projet'!$B$9,Paramètres!$A$1:$I$89,3,0)*VLOOKUP('Données projet'!$B$9,Paramètres!$A$1:$I$89,5,0)</f>
        <v>130.62400000000002</v>
      </c>
      <c r="P47" s="13">
        <f t="shared" si="33"/>
        <v>34.140507202645395</v>
      </c>
      <c r="Q47" s="20">
        <f t="shared" si="53"/>
        <v>286.96485004460743</v>
      </c>
      <c r="R47" s="59">
        <f t="shared" si="0"/>
        <v>775.36485004460735</v>
      </c>
      <c r="S47" s="59">
        <f ca="1">AVERAGE(OFFSET($R$3,0,0,'Données projet'!$E$9+1,1))-AVERAGE(OFFSET($H$3,0,0,'Données projet'!$E$9+1,1))</f>
        <v>216.99952889049467</v>
      </c>
      <c r="T47" s="59">
        <f t="shared" si="34"/>
        <v>340.62742489103783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15.992166013145155</v>
      </c>
      <c r="AA47" s="21">
        <f>EXP(-LN(2)/25)*AA46+(1-EXP(-LN(2)/25))/(LN(2)/25)*Calculateur!V47*Calculateur!X47*VLOOKUP('Données projet'!$B$9,Paramètres!$A$1:$I$89,3,0)*0.475*44/12</f>
        <v>77.883799379901774</v>
      </c>
      <c r="AB47" s="21">
        <f>EXP(-LN(2)/2)*AB46+(1-EXP(-LN(2)/2))/(LN(2)/2)*V47*Y47*VLOOKUP('Données projet'!$B$9,Paramètres!$A$1:$I$89,3,0)*0.475*44/12</f>
        <v>0</v>
      </c>
      <c r="AC47" s="22">
        <f t="shared" si="3"/>
        <v>93.875965393046926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13.263000000000002</v>
      </c>
      <c r="AI47" s="13">
        <f>IF('Données projet'!$A$62&gt;35,AI46+AH47-AQ46,IF(A47&lt;'Données projet'!$A$62,$AF$205^A47,IF(A47='Données projet'!$A$62,'Données projet'!$B$62,AI46+AH47-AQ46)))</f>
        <v>221.482</v>
      </c>
      <c r="AJ47" s="13">
        <f>AI47*VLOOKUP('Données projet'!$B$10,Paramètres!$A$1:$I$89,3,0)*VLOOKUP('Données projet'!$B$10,Paramètres!$A$1:$I$89,5,0)</f>
        <v>132.446236</v>
      </c>
      <c r="AK47" s="13">
        <f t="shared" si="35"/>
        <v>34.56099789748054</v>
      </c>
      <c r="AL47" s="20">
        <f t="shared" si="4"/>
        <v>290.87093237144524</v>
      </c>
      <c r="AM47" s="59">
        <f t="shared" si="5"/>
        <v>779.27093237144516</v>
      </c>
      <c r="AN47" s="59">
        <f ca="1">AVERAGE(OFFSET($AM$3,0,0,'Données projet'!$E$10+1,1))-AVERAGE(OFFSET($H$3,0,0,'Données projet'!$E$10+1,1))</f>
        <v>243.63945673917135</v>
      </c>
      <c r="AO47" s="59">
        <f t="shared" si="36"/>
        <v>213.14969914288025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10.749057175016528</v>
      </c>
      <c r="AV47" s="21">
        <f>EXP(-LN(2)/25)*AV46+(1-EXP(-LN(2)/25))/(LN(2)/25)*Calculateur!AQ47*Calculateur!AS47*VLOOKUP('Données projet'!$B$10,Paramètres!$A$1:$I$89,3,0)*0.475*44/12</f>
        <v>23.337714172515494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34.086771347532022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21.939999999999998</v>
      </c>
      <c r="BD47" s="12">
        <f>IF('Données projet'!$A$88&gt;35,BD46+BC47-BL46,IF(A47&lt;'Données projet'!$A$88,$BA$205^A47,IF(A47='Données projet'!$A$88,'Données projet'!$B$88,BD46+BC47-BL46)))</f>
        <v>394.12999999999994</v>
      </c>
      <c r="BE47" s="13">
        <f>BD47*VLOOKUP('Données projet'!$B$11,Paramètres!$A$1:$I$89,3,0)*VLOOKUP('Données projet'!$B$11,Paramètres!$A$1:$I$89,5,0)</f>
        <v>220.31866999999997</v>
      </c>
      <c r="BF47" s="13">
        <f t="shared" si="37"/>
        <v>54.184141234835565</v>
      </c>
      <c r="BG47" s="20">
        <f t="shared" si="7"/>
        <v>478.09239623400521</v>
      </c>
      <c r="BH47" s="59">
        <f t="shared" si="8"/>
        <v>966.49239623400513</v>
      </c>
      <c r="BI47" s="59">
        <f ca="1">AVERAGE(OFFSET($BH$3,0,0,'Données projet'!$E$11+1,1))-AVERAGE(OFFSET($H$3,0,0,'Données projet'!$E$11+1,1))</f>
        <v>357.2406649189378</v>
      </c>
      <c r="BJ47" s="59">
        <f t="shared" si="38"/>
        <v>353.47109765343811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24.311259895564682</v>
      </c>
      <c r="BQ47" s="21">
        <f>EXP(-LN(2)/25)*BQ46+(1-EXP(-LN(2)/25))/(LN(2)/25)*Calculateur!BL47*Calculateur!BN47*VLOOKUP('Données projet'!$B$11,Paramètres!$A$1:$I$89,3,0)*0.475*44/12</f>
        <v>58.124217512419413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82.435477407984095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123.2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48" s="11">
        <f t="shared" si="32"/>
        <v>6.3775322468881095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152.18093584841026</v>
      </c>
      <c r="H48" s="67">
        <f t="shared" si="1"/>
        <v>496.91204866333015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10.666666666666666</v>
      </c>
      <c r="N48" s="13">
        <f>IF('Données projet'!$A$36&gt;35,N47+M48-V47,IF(A48&lt;'Données projet'!$A$36,$K$205^A48,IF(A48='Données projet'!$A$36,'Données projet'!$B$36,N47+M48-V47)))</f>
        <v>220</v>
      </c>
      <c r="O48" s="13">
        <f>N48*VLOOKUP('Données projet'!$B$9,Paramètres!$A$1:$I$89,3,0)*VLOOKUP('Données projet'!$B$9,Paramètres!$A$1:$I$89,5,0)</f>
        <v>137.28</v>
      </c>
      <c r="P48" s="13">
        <f t="shared" si="33"/>
        <v>35.673181961873446</v>
      </c>
      <c r="Q48" s="20">
        <f t="shared" si="53"/>
        <v>301.22679191692959</v>
      </c>
      <c r="R48" s="59">
        <f t="shared" si="0"/>
        <v>789.62679191692951</v>
      </c>
      <c r="S48" s="59">
        <f ca="1">AVERAGE(OFFSET($R$3,0,0,'Données projet'!$E$9+1,1))-AVERAGE(OFFSET($H$3,0,0,'Données projet'!$E$9+1,1))</f>
        <v>216.99952889049467</v>
      </c>
      <c r="T48" s="59">
        <f t="shared" si="34"/>
        <v>340.62742489103783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15.678569391885494</v>
      </c>
      <c r="AA48" s="21">
        <f>EXP(-LN(2)/25)*AA47+(1-EXP(-LN(2)/25))/(LN(2)/25)*Calculateur!V48*Calculateur!X48*VLOOKUP('Données projet'!$B$9,Paramètres!$A$1:$I$89,3,0)*0.475*44/12</f>
        <v>75.75406279012735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91.432632182012838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13.263000000000002</v>
      </c>
      <c r="AI48" s="13">
        <f>IF('Données projet'!$A$62&gt;35,AI47+AH48-AQ47,IF(A48&lt;'Données projet'!$A$62,$AF$205^A48,IF(A48='Données projet'!$A$62,'Données projet'!$B$62,AI47+AH48-AQ47)))</f>
        <v>234.745</v>
      </c>
      <c r="AJ48" s="13">
        <f>AI48*VLOOKUP('Données projet'!$B$10,Paramètres!$A$1:$I$89,3,0)*VLOOKUP('Données projet'!$B$10,Paramètres!$A$1:$I$89,5,0)</f>
        <v>140.37751000000003</v>
      </c>
      <c r="AK48" s="13">
        <f t="shared" si="35"/>
        <v>36.383474176235346</v>
      </c>
      <c r="AL48" s="20">
        <f t="shared" si="4"/>
        <v>307.8587141069433</v>
      </c>
      <c r="AM48" s="59">
        <f t="shared" si="5"/>
        <v>796.25871410694322</v>
      </c>
      <c r="AN48" s="59">
        <f ca="1">AVERAGE(OFFSET($AM$3,0,0,'Données projet'!$E$10+1,1))-AVERAGE(OFFSET($H$3,0,0,'Données projet'!$E$10+1,1))</f>
        <v>243.63945673917135</v>
      </c>
      <c r="AO48" s="59">
        <f t="shared" si="36"/>
        <v>213.14969914288025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10.538274720091952</v>
      </c>
      <c r="AV48" s="21">
        <f>EXP(-LN(2)/25)*AV47+(1-EXP(-LN(2)/25))/(LN(2)/25)*Calculateur!AQ48*Calculateur!AS48*VLOOKUP('Données projet'!$B$10,Paramètres!$A$1:$I$89,3,0)*0.475*44/12</f>
        <v>22.699543151191008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33.237817871282957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21.939999999999998</v>
      </c>
      <c r="BD48" s="12">
        <f>IF('Données projet'!$A$88&gt;35,BD47+BC48-BL47,IF(A48&lt;'Données projet'!$A$88,$BA$205^A48,IF(A48='Données projet'!$A$88,'Données projet'!$B$88,BD47+BC48-BL47)))</f>
        <v>416.06999999999994</v>
      </c>
      <c r="BE48" s="13">
        <f>BD48*VLOOKUP('Données projet'!$B$11,Paramètres!$A$1:$I$89,3,0)*VLOOKUP('Données projet'!$B$11,Paramètres!$A$1:$I$89,5,0)</f>
        <v>232.58312999999998</v>
      </c>
      <c r="BF48" s="13">
        <f t="shared" si="37"/>
        <v>56.840851065639789</v>
      </c>
      <c r="BG48" s="20">
        <f t="shared" si="7"/>
        <v>504.08010035598926</v>
      </c>
      <c r="BH48" s="59">
        <f t="shared" si="8"/>
        <v>992.48010035598918</v>
      </c>
      <c r="BI48" s="59">
        <f ca="1">AVERAGE(OFFSET($BH$3,0,0,'Données projet'!$E$11+1,1))-AVERAGE(OFFSET($H$3,0,0,'Données projet'!$E$11+1,1))</f>
        <v>357.2406649189378</v>
      </c>
      <c r="BJ48" s="59">
        <f t="shared" si="38"/>
        <v>353.47109765343811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23.834530917417013</v>
      </c>
      <c r="BQ48" s="21">
        <f>EXP(-LN(2)/25)*BQ47+(1-EXP(-LN(2)/25))/(LN(2)/25)*Calculateur!BL48*Calculateur!BN48*VLOOKUP('Données projet'!$B$11,Paramètres!$A$1:$I$89,3,0)*0.475*44/12</f>
        <v>56.534807727922548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80.369338645339553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123.2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19.997119999999999</v>
      </c>
      <c r="D49" s="11">
        <f t="shared" si="32"/>
        <v>6.5025979999783541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155.46501226653967</v>
      </c>
      <c r="H49" s="67">
        <f t="shared" si="1"/>
        <v>497.88700884996229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10.666666666666666</v>
      </c>
      <c r="N49" s="13">
        <f>IF('Données projet'!$A$36&gt;35,N48+M49-V48,IF(A49&lt;'Données projet'!$A$36,$K$205^A49,IF(A49='Données projet'!$A$36,'Données projet'!$B$36,N48+M49-V48)))</f>
        <v>230.66666666666666</v>
      </c>
      <c r="O49" s="13">
        <f>N49*VLOOKUP('Données projet'!$B$9,Paramètres!$A$1:$I$89,3,0)*VLOOKUP('Données projet'!$B$9,Paramètres!$A$1:$I$89,5,0)</f>
        <v>143.93599999999998</v>
      </c>
      <c r="P49" s="13">
        <f t="shared" si="33"/>
        <v>37.197227655019397</v>
      </c>
      <c r="Q49" s="20">
        <f t="shared" si="53"/>
        <v>315.47370483249205</v>
      </c>
      <c r="R49" s="59">
        <f t="shared" si="0"/>
        <v>803.87370483249197</v>
      </c>
      <c r="S49" s="59">
        <f ca="1">AVERAGE(OFFSET($R$3,0,0,'Données projet'!$E$9+1,1))-AVERAGE(OFFSET($H$3,0,0,'Données projet'!$E$9+1,1))</f>
        <v>216.99952889049467</v>
      </c>
      <c r="T49" s="59">
        <f t="shared" si="34"/>
        <v>340.62742489103783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15.371122209093683</v>
      </c>
      <c r="AA49" s="21">
        <f>EXP(-LN(2)/25)*AA48+(1-EXP(-LN(2)/25))/(LN(2)/25)*Calculateur!V49*Calculateur!X49*VLOOKUP('Données projet'!$B$9,Paramètres!$A$1:$I$89,3,0)*0.475*44/12</f>
        <v>73.682563959398294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89.053686168491978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13.263000000000002</v>
      </c>
      <c r="AI49" s="13">
        <f>IF('Données projet'!$A$62&gt;35,AI48+AH49-AQ48,IF(A49&lt;'Données projet'!$A$62,$AF$205^A49,IF(A49='Données projet'!$A$62,'Données projet'!$B$62,AI48+AH49-AQ48)))</f>
        <v>248.00800000000001</v>
      </c>
      <c r="AJ49" s="13">
        <f>AI49*VLOOKUP('Données projet'!$B$10,Paramètres!$A$1:$I$89,3,0)*VLOOKUP('Données projet'!$B$10,Paramètres!$A$1:$I$89,5,0)</f>
        <v>148.30878400000003</v>
      </c>
      <c r="AK49" s="13">
        <f t="shared" si="35"/>
        <v>38.193997454232679</v>
      </c>
      <c r="AL49" s="20">
        <f t="shared" si="4"/>
        <v>324.8256776994553</v>
      </c>
      <c r="AM49" s="59">
        <f t="shared" si="5"/>
        <v>813.22567769945522</v>
      </c>
      <c r="AN49" s="59">
        <f ca="1">AVERAGE(OFFSET($AM$3,0,0,'Données projet'!$E$10+1,1))-AVERAGE(OFFSET($H$3,0,0,'Données projet'!$E$10+1,1))</f>
        <v>243.63945673917135</v>
      </c>
      <c r="AO49" s="59">
        <f t="shared" si="36"/>
        <v>213.14969914288025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10.331625580543843</v>
      </c>
      <c r="AV49" s="21">
        <f>EXP(-LN(2)/25)*AV48+(1-EXP(-LN(2)/25))/(LN(2)/25)*Calculateur!AQ49*Calculateur!AS49*VLOOKUP('Données projet'!$B$10,Paramètres!$A$1:$I$89,3,0)*0.475*44/12</f>
        <v>22.078822950004596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32.410448530548436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21.939999999999998</v>
      </c>
      <c r="BD49" s="12">
        <f>IF('Données projet'!$A$88&gt;35,BD48+BC49-BL48,IF(A49&lt;'Données projet'!$A$88,$BA$205^A49,IF(A49='Données projet'!$A$88,'Données projet'!$B$88,BD48+BC49-BL48)))</f>
        <v>438.00999999999993</v>
      </c>
      <c r="BE49" s="13">
        <f>BD49*VLOOKUP('Données projet'!$B$11,Paramètres!$A$1:$I$89,3,0)*VLOOKUP('Données projet'!$B$11,Paramètres!$A$1:$I$89,5,0)</f>
        <v>244.84758999999997</v>
      </c>
      <c r="BF49" s="13">
        <f t="shared" si="37"/>
        <v>59.481296135283444</v>
      </c>
      <c r="BG49" s="20">
        <f t="shared" si="7"/>
        <v>530.03947668561864</v>
      </c>
      <c r="BH49" s="59">
        <f t="shared" si="8"/>
        <v>1018.4394766856185</v>
      </c>
      <c r="BI49" s="59">
        <f ca="1">AVERAGE(OFFSET($BH$3,0,0,'Données projet'!$E$11+1,1))-AVERAGE(OFFSET($H$3,0,0,'Données projet'!$E$11+1,1))</f>
        <v>357.2406649189378</v>
      </c>
      <c r="BJ49" s="59">
        <f t="shared" si="38"/>
        <v>353.47109765343811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23.367150303754855</v>
      </c>
      <c r="BQ49" s="21">
        <f>EXP(-LN(2)/25)*BQ48+(1-EXP(-LN(2)/25))/(LN(2)/25)*Calculateur!BL49*Calculateur!BN49*VLOOKUP('Données projet'!$B$11,Paramètres!$A$1:$I$89,3,0)*0.475*44/12</f>
        <v>54.988860437566181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78.356010741321029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123.2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20.431839999999998</v>
      </c>
      <c r="D50" s="11">
        <f t="shared" si="32"/>
        <v>6.6273476560875313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158.74723424904687</v>
      </c>
      <c r="H50" s="67">
        <f t="shared" si="1"/>
        <v>498.8614185010191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10.666666666666666</v>
      </c>
      <c r="N50" s="13">
        <f>IF('Données projet'!$A$36&gt;35,N49+M50-V49,IF(A50&lt;'Données projet'!$A$36,$K$205^A50,IF(A50='Données projet'!$A$36,'Données projet'!$B$36,N49+M50-V49)))</f>
        <v>241.33333333333331</v>
      </c>
      <c r="O50" s="13">
        <f>N50*VLOOKUP('Données projet'!$B$9,Paramètres!$A$1:$I$89,3,0)*VLOOKUP('Données projet'!$B$9,Paramètres!$A$1:$I$89,5,0)</f>
        <v>150.59199999999998</v>
      </c>
      <c r="P50" s="13">
        <f t="shared" si="33"/>
        <v>38.713088888505631</v>
      </c>
      <c r="Q50" s="20">
        <f t="shared" si="53"/>
        <v>329.70636314748066</v>
      </c>
      <c r="R50" s="59">
        <f t="shared" si="0"/>
        <v>818.10636314748058</v>
      </c>
      <c r="S50" s="59">
        <f ca="1">AVERAGE(OFFSET($R$3,0,0,'Données projet'!$E$9+1,1))-AVERAGE(OFFSET($H$3,0,0,'Données projet'!$E$9+1,1))</f>
        <v>216.99952889049467</v>
      </c>
      <c r="T50" s="59">
        <f t="shared" si="34"/>
        <v>340.62742489103783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15.069703878032154</v>
      </c>
      <c r="AA50" s="21">
        <f>EXP(-LN(2)/25)*AA49+(1-EXP(-LN(2)/25))/(LN(2)/25)*Calculateur!V50*Calculateur!X50*VLOOKUP('Données projet'!$B$9,Paramètres!$A$1:$I$89,3,0)*0.475*44/12</f>
        <v>71.667710373130916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86.737414251163074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13.263000000000002</v>
      </c>
      <c r="AI50" s="13">
        <f>IF('Données projet'!$A$62&gt;35,AI49+AH50-AQ49,IF(A50&lt;'Données projet'!$A$62,$AF$205^A50,IF(A50='Données projet'!$A$62,'Données projet'!$B$62,AI49+AH50-AQ49)))</f>
        <v>261.27100000000002</v>
      </c>
      <c r="AJ50" s="13">
        <f>AI50*VLOOKUP('Données projet'!$B$10,Paramètres!$A$1:$I$89,3,0)*VLOOKUP('Données projet'!$B$10,Paramètres!$A$1:$I$89,5,0)</f>
        <v>156.240058</v>
      </c>
      <c r="AK50" s="13">
        <f t="shared" si="35"/>
        <v>39.993279841016957</v>
      </c>
      <c r="AL50" s="20">
        <f t="shared" si="4"/>
        <v>341.77306340643787</v>
      </c>
      <c r="AM50" s="59">
        <f t="shared" si="5"/>
        <v>830.17306340643779</v>
      </c>
      <c r="AN50" s="59">
        <f ca="1">AVERAGE(OFFSET($AM$3,0,0,'Données projet'!$E$10+1,1))-AVERAGE(OFFSET($H$3,0,0,'Données projet'!$E$10+1,1))</f>
        <v>243.63945673917135</v>
      </c>
      <c r="AO50" s="59">
        <f t="shared" si="36"/>
        <v>213.14969914288025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10.129028704578744</v>
      </c>
      <c r="AV50" s="21">
        <f>EXP(-LN(2)/25)*AV49+(1-EXP(-LN(2)/25))/(LN(2)/25)*Calculateur!AQ50*Calculateur!AS50*VLOOKUP('Données projet'!$B$10,Paramètres!$A$1:$I$89,3,0)*0.475*44/12</f>
        <v>21.475076375361883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31.604105079940627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21.939999999999998</v>
      </c>
      <c r="BD50" s="12">
        <f>IF('Données projet'!$A$88&gt;35,BD49+BC50-BL49,IF(A50&lt;'Données projet'!$A$88,$BA$205^A50,IF(A50='Données projet'!$A$88,'Données projet'!$B$88,BD49+BC50-BL49)))</f>
        <v>459.94999999999993</v>
      </c>
      <c r="BE50" s="13">
        <f>BD50*VLOOKUP('Données projet'!$B$11,Paramètres!$A$1:$I$89,3,0)*VLOOKUP('Données projet'!$B$11,Paramètres!$A$1:$I$89,5,0)</f>
        <v>257.11205000000001</v>
      </c>
      <c r="BF50" s="13">
        <f t="shared" si="37"/>
        <v>62.106384111300585</v>
      </c>
      <c r="BG50" s="20">
        <f t="shared" si="7"/>
        <v>555.97210607718182</v>
      </c>
      <c r="BH50" s="59">
        <f t="shared" si="8"/>
        <v>1044.3721060771818</v>
      </c>
      <c r="BI50" s="59">
        <f ca="1">AVERAGE(OFFSET($BH$3,0,0,'Données projet'!$E$11+1,1))-AVERAGE(OFFSET($H$3,0,0,'Données projet'!$E$11+1,1))</f>
        <v>357.2406649189378</v>
      </c>
      <c r="BJ50" s="59">
        <f t="shared" si="38"/>
        <v>353.47109765343811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22.908934738852583</v>
      </c>
      <c r="BQ50" s="21">
        <f>EXP(-LN(2)/25)*BQ49+(1-EXP(-LN(2)/25))/(LN(2)/25)*Calculateur!BL50*Calculateur!BN50*VLOOKUP('Données projet'!$B$11,Paramètres!$A$1:$I$89,3,0)*0.475*44/12</f>
        <v>53.485187157162443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76.394121896015022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123.2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20.866559999999996</v>
      </c>
      <c r="D51" s="11">
        <f t="shared" si="32"/>
        <v>6.7517887153806759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162.02764579689995</v>
      </c>
      <c r="H51" s="67">
        <f t="shared" si="1"/>
        <v>499.83529067928805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</v>
      </c>
      <c r="L51" s="12">
        <f>VLOOKUP(A51,'Données projet'!$A$35:$I$55,9,0)</f>
        <v>10.666666666666666</v>
      </c>
      <c r="M51" s="12">
        <f t="array" ref="M51">INDEX(L:L,MIN(IF(ISNUMBER(L51:L247),ROW(L51:L247),"")))</f>
        <v>10.666666666666666</v>
      </c>
      <c r="N51" s="13">
        <f>IF('Données projet'!$A$36&gt;35,N50+M51-V50,IF(A51&lt;'Données projet'!$A$36,$K$205^A51,IF(A51='Données projet'!$A$36,'Données projet'!$B$36,N50+M51-V50)))</f>
        <v>251.99999999999997</v>
      </c>
      <c r="O51" s="13">
        <f>N51*VLOOKUP('Données projet'!$B$9,Paramètres!$A$1:$I$89,3,0)*VLOOKUP('Données projet'!$B$9,Paramètres!$A$1:$I$89,5,0)</f>
        <v>157.24799999999999</v>
      </c>
      <c r="P51" s="13">
        <f t="shared" si="33"/>
        <v>40.22116874434861</v>
      </c>
      <c r="Q51" s="20">
        <f t="shared" si="53"/>
        <v>343.92546889640715</v>
      </c>
      <c r="R51" s="59">
        <f t="shared" si="0"/>
        <v>832.32546889640707</v>
      </c>
      <c r="S51" s="59">
        <f ca="1">AVERAGE(OFFSET($R$3,0,0,'Données projet'!$E$9+1,1))-AVERAGE(OFFSET($H$3,0,0,'Données projet'!$E$9+1,1))</f>
        <v>216.99952889049467</v>
      </c>
      <c r="T51" s="59">
        <f t="shared" si="34"/>
        <v>340.62742489103783</v>
      </c>
      <c r="U51" s="15">
        <f>IF(ISNA(VLOOKUP(A51,'Données projet'!$A$35:$I$55,3,0)),0,VLOOKUP(A51,'Données projet'!$A$35:$I$55,3,0))</f>
        <v>7</v>
      </c>
      <c r="V51" s="15">
        <f>IF(ISNA(VLOOKUP(A51,'Données projet'!$A$35:$I$55,4,0)),0,VLOOKUP(A51,'Données projet'!$A$35:$I$55,4,0))</f>
        <v>65</v>
      </c>
      <c r="W51" s="16">
        <f>IF(ISNA(VLOOKUP(A51,'Données projet'!$A$35:$I$55,5,0)),0%,VLOOKUP(A51,'Données projet'!$A$35:$I$55,5,0)*VLOOKUP('Données projet'!$B$9,Paramètres!$A$1:$I$89,7,0))</f>
        <v>0.3</v>
      </c>
      <c r="X51" s="16">
        <f>IF(ISNA(VLOOKUP(A51,'Données projet'!$A$35:$I$55,6,0)),0%,VLOOKUP(A51,'Données projet'!$A$35:$I$55,6,0)*VLOOKUP('Données projet'!$B$9,Paramètres!$A$1:$I$89,7,0))</f>
        <v>0.3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30.915832470384036</v>
      </c>
      <c r="AA51" s="21">
        <f>EXP(-LN(2)/25)*AA50+(1-EXP(-LN(2)/25))/(LN(2)/25)*Calculateur!V51*Calculateur!X51*VLOOKUP('Données projet'!$B$9,Paramètres!$A$1:$I$89,3,0)*0.475*44/12</f>
        <v>85.786033585390626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116.70186605577466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13.263000000000002</v>
      </c>
      <c r="AI51" s="13">
        <f>IF('Données projet'!$A$62&gt;35,AI50+AH51-AQ50,IF(A51&lt;'Données projet'!$A$62,$AF$205^A51,IF(A51='Données projet'!$A$62,'Données projet'!$B$62,AI50+AH51-AQ50)))</f>
        <v>274.53399999999999</v>
      </c>
      <c r="AJ51" s="13">
        <f>AI51*VLOOKUP('Données projet'!$B$10,Paramètres!$A$1:$I$89,3,0)*VLOOKUP('Données projet'!$B$10,Paramètres!$A$1:$I$89,5,0)</f>
        <v>164.17133200000001</v>
      </c>
      <c r="AK51" s="13">
        <f t="shared" si="35"/>
        <v>41.781957064132989</v>
      </c>
      <c r="AL51" s="20">
        <f t="shared" si="4"/>
        <v>358.70197845336497</v>
      </c>
      <c r="AM51" s="59">
        <f t="shared" si="5"/>
        <v>847.10197845336484</v>
      </c>
      <c r="AN51" s="59">
        <f ca="1">AVERAGE(OFFSET($AM$3,0,0,'Données projet'!$E$10+1,1))-AVERAGE(OFFSET($H$3,0,0,'Données projet'!$E$10+1,1))</f>
        <v>243.63945673917135</v>
      </c>
      <c r="AO51" s="59">
        <f t="shared" si="36"/>
        <v>213.14969914288025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9.9304046297794279</v>
      </c>
      <c r="AV51" s="21">
        <f>EXP(-LN(2)/25)*AV50+(1-EXP(-LN(2)/25))/(LN(2)/25)*Calculateur!AQ51*Calculateur!AS51*VLOOKUP('Données projet'!$B$10,Paramètres!$A$1:$I$89,3,0)*0.475*44/12</f>
        <v>20.887839282552427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30.818243912331855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21.939999999999998</v>
      </c>
      <c r="BD51" s="12">
        <f>IF('Données projet'!$A$88&gt;35,BD50+BC51-BL50,IF(A51&lt;'Données projet'!$A$88,$BA$205^A51,IF(A51='Données projet'!$A$88,'Données projet'!$B$88,BD50+BC51-BL50)))</f>
        <v>481.88999999999993</v>
      </c>
      <c r="BE51" s="13">
        <f>BD51*VLOOKUP('Données projet'!$B$11,Paramètres!$A$1:$I$89,3,0)*VLOOKUP('Données projet'!$B$11,Paramètres!$A$1:$I$89,5,0)</f>
        <v>269.37650999999994</v>
      </c>
      <c r="BF51" s="13">
        <f t="shared" si="37"/>
        <v>64.716931175288423</v>
      </c>
      <c r="BG51" s="20">
        <f t="shared" si="7"/>
        <v>581.87941004696052</v>
      </c>
      <c r="BH51" s="59">
        <f t="shared" si="8"/>
        <v>1070.2794100469605</v>
      </c>
      <c r="BI51" s="59">
        <f ca="1">AVERAGE(OFFSET($BH$3,0,0,'Données projet'!$E$11+1,1))-AVERAGE(OFFSET($H$3,0,0,'Données projet'!$E$11+1,1))</f>
        <v>357.2406649189378</v>
      </c>
      <c r="BJ51" s="59">
        <f t="shared" si="38"/>
        <v>353.47109765343811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22.459704501694148</v>
      </c>
      <c r="BQ51" s="21">
        <f>EXP(-LN(2)/25)*BQ50+(1-EXP(-LN(2)/25))/(LN(2)/25)*Calculateur!BL51*Calculateur!BN51*VLOOKUP('Données projet'!$B$11,Paramètres!$A$1:$I$89,3,0)*0.475*44/12</f>
        <v>52.022631901686083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74.482336403380231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21.301279999999995</v>
      </c>
      <c r="D52" s="11">
        <f t="shared" si="32"/>
        <v>6.875928347656945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165.30628897292073</v>
      </c>
      <c r="H52" s="67">
        <f t="shared" si="1"/>
        <v>500.80863787216919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9.75</v>
      </c>
      <c r="N52" s="13">
        <f>IF('Données projet'!$A$36&gt;35,N51+M52-V51,IF(A52&lt;'Données projet'!$A$36,$K$205^A52,IF(A52='Données projet'!$A$36,'Données projet'!$B$36,N51+M52-V51)))</f>
        <v>196.75</v>
      </c>
      <c r="O52" s="13">
        <f>N52*VLOOKUP('Données projet'!$B$9,Paramètres!$A$1:$I$89,3,0)*VLOOKUP('Données projet'!$B$9,Paramètres!$A$1:$I$89,5,0)</f>
        <v>122.77200000000001</v>
      </c>
      <c r="P52" s="13">
        <f t="shared" si="33"/>
        <v>32.320660955470466</v>
      </c>
      <c r="Q52" s="20">
        <f t="shared" si="53"/>
        <v>270.11971783077774</v>
      </c>
      <c r="R52" s="59">
        <f t="shared" si="0"/>
        <v>758.51971783077761</v>
      </c>
      <c r="S52" s="59">
        <f ca="1">AVERAGE(OFFSET($R$3,0,0,'Données projet'!$E$9+1,1))-AVERAGE(OFFSET($H$3,0,0,'Données projet'!$E$9+1,1))</f>
        <v>216.99952889049467</v>
      </c>
      <c r="T52" s="59">
        <f t="shared" si="34"/>
        <v>340.62742489103783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30.309591852435659</v>
      </c>
      <c r="AA52" s="21">
        <f>EXP(-LN(2)/25)*AA51+(1-EXP(-LN(2)/25))/(LN(2)/25)*Calculateur!V52*Calculateur!X52*VLOOKUP('Données projet'!$B$9,Paramètres!$A$1:$I$89,3,0)*0.475*44/12</f>
        <v>83.440209985706673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113.74980183814233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13.263000000000002</v>
      </c>
      <c r="AI52" s="13">
        <f>IF('Données projet'!$A$62&gt;35,AI51+AH52-AQ51,IF(A52&lt;'Données projet'!$A$62,$AF$205^A52,IF(A52='Données projet'!$A$62,'Données projet'!$B$62,AI51+AH52-AQ51)))</f>
        <v>287.79699999999997</v>
      </c>
      <c r="AJ52" s="13">
        <f>AI52*VLOOKUP('Données projet'!$B$10,Paramètres!$A$1:$I$89,3,0)*VLOOKUP('Données projet'!$B$10,Paramètres!$A$1:$I$89,5,0)</f>
        <v>172.10260600000001</v>
      </c>
      <c r="AK52" s="13">
        <f t="shared" si="35"/>
        <v>43.560599955376176</v>
      </c>
      <c r="AL52" s="20">
        <f t="shared" si="4"/>
        <v>375.61341703894681</v>
      </c>
      <c r="AM52" s="59">
        <f t="shared" si="5"/>
        <v>864.01341703894673</v>
      </c>
      <c r="AN52" s="59">
        <f ca="1">AVERAGE(OFFSET($AM$3,0,0,'Données projet'!$E$10+1,1))-AVERAGE(OFFSET($H$3,0,0,'Données projet'!$E$10+1,1))</f>
        <v>243.63945673917135</v>
      </c>
      <c r="AO52" s="59">
        <f t="shared" si="36"/>
        <v>213.14969914288025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9.7356754519382029</v>
      </c>
      <c r="AV52" s="21">
        <f>EXP(-LN(2)/25)*AV51+(1-EXP(-LN(2)/25))/(LN(2)/25)*Calculateur!AQ52*Calculateur!AS52*VLOOKUP('Données projet'!$B$10,Paramètres!$A$1:$I$89,3,0)*0.475*44/12</f>
        <v>20.316660218927304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30.052335670865507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503.83</v>
      </c>
      <c r="BB52" s="12">
        <f>VLOOKUP(A52,'Données projet'!$A$87:$I$107,9,0)</f>
        <v>21.939999999999998</v>
      </c>
      <c r="BC52" s="12">
        <f t="array" ref="BC52">INDEX(BB:BB,MIN(IF(ISNUMBER(BB52:BB248),ROW(BB52:BB248),"")))</f>
        <v>21.939999999999998</v>
      </c>
      <c r="BD52" s="12">
        <f>IF('Données projet'!$A$88&gt;35,BD51+BC52-BL51,IF(A52&lt;'Données projet'!$A$88,$BA$205^A52,IF(A52='Données projet'!$A$88,'Données projet'!$B$88,BD51+BC52-BL51)))</f>
        <v>503.82999999999993</v>
      </c>
      <c r="BE52" s="13">
        <f>BD52*VLOOKUP('Données projet'!$B$11,Paramètres!$A$1:$I$89,3,0)*VLOOKUP('Données projet'!$B$11,Paramètres!$A$1:$I$89,5,0)</f>
        <v>281.64096999999998</v>
      </c>
      <c r="BF52" s="13">
        <f t="shared" si="37"/>
        <v>67.313674987907362</v>
      </c>
      <c r="BG52" s="20">
        <f t="shared" si="7"/>
        <v>607.76267335393857</v>
      </c>
      <c r="BH52" s="59">
        <f t="shared" si="8"/>
        <v>1096.1626733539385</v>
      </c>
      <c r="BI52" s="59">
        <f ca="1">AVERAGE(OFFSET($BH$3,0,0,'Données projet'!$E$11+1,1))-AVERAGE(OFFSET($H$3,0,0,'Données projet'!$E$11+1,1))</f>
        <v>357.2406649189378</v>
      </c>
      <c r="BJ52" s="59">
        <f t="shared" si="38"/>
        <v>353.47109765343811</v>
      </c>
      <c r="BK52" s="15">
        <f>IF(ISNA(VLOOKUP(A52,'Données projet'!$A$87:$I$107,3,0)),0,VLOOKUP(A52,'Données projet'!$A$87:$I$107,3,0))</f>
        <v>5</v>
      </c>
      <c r="BL52" s="15">
        <f>IF(ISNA(VLOOKUP(A52,'Données projet'!$A$87:$I$107,4,0)),0,VLOOKUP(A52,'Données projet'!$A$87:$I$107,4,0))</f>
        <v>112.61</v>
      </c>
      <c r="BM52" s="16">
        <f>IF(ISNA(VLOOKUP(A52,'Données projet'!$A$87:$I$107,5,0)),0%,VLOOKUP(A52,'Données projet'!$A$87:$I$107,5,0)*VLOOKUP('Données projet'!$B$11,Paramètres!$A$1:$I$89,7,0))</f>
        <v>0.16500000000000001</v>
      </c>
      <c r="BN52" s="16">
        <f>IF(ISNA(VLOOKUP(A52,'Données projet'!$A$87:$I$107,6,0)),0%,VLOOKUP(A52,'Données projet'!$A$87:$I$107,6,0)*VLOOKUP('Données projet'!$B$11,Paramètres!$A$1:$I$89,7,0))</f>
        <v>0.27500000000000002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35.797755681053147</v>
      </c>
      <c r="BQ52" s="21">
        <f>EXP(-LN(2)/25)*BQ51+(1-EXP(-LN(2)/25))/(LN(2)/25)*Calculateur!BL52*Calculateur!BN52*VLOOKUP('Données projet'!$B$11,Paramètres!$A$1:$I$89,3,0)*0.475*44/12</f>
        <v>73.47377228020369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109.27152796125684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123.2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53" s="11">
        <f t="shared" si="32"/>
        <v>6.9997734133417886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168.58320402493845</v>
      </c>
      <c r="H53" s="67">
        <f t="shared" si="1"/>
        <v>501.78147202823698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9.75</v>
      </c>
      <c r="N53" s="13">
        <f>IF('Données projet'!$A$36&gt;35,N52+M53-V52,IF(A53&lt;'Données projet'!$A$36,$K$205^A53,IF(A53='Données projet'!$A$36,'Données projet'!$B$36,N52+M53-V52)))</f>
        <v>206.5</v>
      </c>
      <c r="O53" s="13">
        <f>N53*VLOOKUP('Données projet'!$B$9,Paramètres!$A$1:$I$89,3,0)*VLOOKUP('Données projet'!$B$9,Paramètres!$A$1:$I$89,5,0)</f>
        <v>128.85599999999999</v>
      </c>
      <c r="P53" s="13">
        <f t="shared" si="33"/>
        <v>33.731878688740906</v>
      </c>
      <c r="Q53" s="20">
        <f t="shared" si="53"/>
        <v>283.1738887162237</v>
      </c>
      <c r="R53" s="59">
        <f t="shared" si="0"/>
        <v>771.57388871622356</v>
      </c>
      <c r="S53" s="59">
        <f ca="1">AVERAGE(OFFSET($R$3,0,0,'Données projet'!$E$9+1,1))-AVERAGE(OFFSET($H$3,0,0,'Données projet'!$E$9+1,1))</f>
        <v>216.99952889049467</v>
      </c>
      <c r="T53" s="59">
        <f t="shared" si="34"/>
        <v>340.62742489103783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29.715239243234983</v>
      </c>
      <c r="AA53" s="21">
        <f>EXP(-LN(2)/25)*AA52+(1-EXP(-LN(2)/25))/(LN(2)/25)*Calculateur!V53*Calculateur!X53*VLOOKUP('Données projet'!$B$9,Paramètres!$A$1:$I$89,3,0)*0.475*44/12</f>
        <v>81.158533055717584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110.87377229895256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301.06</v>
      </c>
      <c r="AG53" s="12">
        <f>VLOOKUP(A53,'Données projet'!$A$61:$I$81,9,0)</f>
        <v>13.263000000000002</v>
      </c>
      <c r="AH53" s="12">
        <f t="array" ref="AH53">INDEX(AG:AG,MIN(IF(ISNUMBER(AG53:AG249),ROW(AG53:AG249),"")))</f>
        <v>13.263000000000002</v>
      </c>
      <c r="AI53" s="13">
        <f>IF('Données projet'!$A$62&gt;35,AI52+AH53-AQ52,IF(A53&lt;'Données projet'!$A$62,$AF$205^A53,IF(A53='Données projet'!$A$62,'Données projet'!$B$62,AI52+AH53-AQ52)))</f>
        <v>301.05999999999995</v>
      </c>
      <c r="AJ53" s="13">
        <f>AI53*VLOOKUP('Données projet'!$B$10,Paramètres!$A$1:$I$89,3,0)*VLOOKUP('Données projet'!$B$10,Paramètres!$A$1:$I$89,5,0)</f>
        <v>180.03387999999998</v>
      </c>
      <c r="AK53" s="13">
        <f t="shared" si="35"/>
        <v>45.329723759796117</v>
      </c>
      <c r="AL53" s="20">
        <f t="shared" si="4"/>
        <v>392.50827654831147</v>
      </c>
      <c r="AM53" s="59">
        <f t="shared" si="5"/>
        <v>880.90827654831139</v>
      </c>
      <c r="AN53" s="59">
        <f ca="1">AVERAGE(OFFSET($AM$3,0,0,'Données projet'!$E$10+1,1))-AVERAGE(OFFSET($H$3,0,0,'Données projet'!$E$10+1,1))</f>
        <v>243.63945673917135</v>
      </c>
      <c r="AO53" s="59">
        <f t="shared" si="36"/>
        <v>213.14969914288025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69.17</v>
      </c>
      <c r="AR53" s="16">
        <f>IF(ISNA(VLOOKUP(A53,'Données projet'!$A$61:$I$81,5,0)),0%,VLOOKUP(A53,'Données projet'!$A$61:$I$81,5,0)*VLOOKUP('Données projet'!$B$10,Paramètres!$A$1:$I$89,7,0))</f>
        <v>0.13500000000000001</v>
      </c>
      <c r="AS53" s="16">
        <f>IF(ISNA(VLOOKUP(A53,'Données projet'!$A$61:$I$81,6,0)),0%,VLOOKUP(A53,'Données projet'!$A$61:$I$81,6,0)*VLOOKUP('Données projet'!$B$10,Paramètres!$A$1:$I$89,7,0))</f>
        <v>0.22500000000000001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16.952425543391026</v>
      </c>
      <c r="AV53" s="21">
        <f>EXP(-LN(2)/25)*AV52+(1-EXP(-LN(2)/25))/(LN(2)/25)*Calculateur!AQ53*Calculateur!AS53*VLOOKUP('Données projet'!$B$10,Paramètres!$A$1:$I$89,3,0)*0.475*44/12</f>
        <v>32.05859002013608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49.01101556352711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20.324285714285718</v>
      </c>
      <c r="BD53" s="12">
        <f>IF('Données projet'!$A$88&gt;35,BD52+BC53-BL52,IF(A53&lt;'Données projet'!$A$88,$BA$205^A53,IF(A53='Données projet'!$A$88,'Données projet'!$B$88,BD52+BC53-BL52)))</f>
        <v>411.54428571428559</v>
      </c>
      <c r="BE53" s="13">
        <f>BD53*VLOOKUP('Données projet'!$B$11,Paramètres!$A$1:$I$89,3,0)*VLOOKUP('Données projet'!$B$11,Paramètres!$A$1:$I$89,5,0)</f>
        <v>230.05325571428565</v>
      </c>
      <c r="BF53" s="13">
        <f t="shared" si="37"/>
        <v>56.294196506523697</v>
      </c>
      <c r="BG53" s="20">
        <f t="shared" si="7"/>
        <v>498.72181261790962</v>
      </c>
      <c r="BH53" s="59">
        <f t="shared" si="8"/>
        <v>987.12181261790954</v>
      </c>
      <c r="BI53" s="59">
        <f ca="1">AVERAGE(OFFSET($BH$3,0,0,'Données projet'!$E$11+1,1))-AVERAGE(OFFSET($H$3,0,0,'Données projet'!$E$11+1,1))</f>
        <v>357.2406649189378</v>
      </c>
      <c r="BJ53" s="59">
        <f t="shared" si="38"/>
        <v>353.47109765343811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35.095783526622682</v>
      </c>
      <c r="BQ53" s="21">
        <f>EXP(-LN(2)/25)*BQ52+(1-EXP(-LN(2)/25))/(LN(2)/25)*Calculateur!BL53*Calculateur!BN53*VLOOKUP('Données projet'!$B$11,Paramètres!$A$1:$I$89,3,0)*0.475*44/12</f>
        <v>71.464628113383768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106.56041164000645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123.2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22.170719999999992</v>
      </c>
      <c r="D54" s="11">
        <f t="shared" si="32"/>
        <v>7.1233304827523156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171.85842949881354</v>
      </c>
      <c r="H54" s="67">
        <f t="shared" si="1"/>
        <v>502.75380459079361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9.75</v>
      </c>
      <c r="N54" s="13">
        <f>IF('Données projet'!$A$36&gt;35,N53+M54-V53,IF(A54&lt;'Données projet'!$A$36,$K$205^A54,IF(A54='Données projet'!$A$36,'Données projet'!$B$36,N53+M54-V53)))</f>
        <v>216.25</v>
      </c>
      <c r="O54" s="13">
        <f>N54*VLOOKUP('Données projet'!$B$9,Paramètres!$A$1:$I$89,3,0)*VLOOKUP('Données projet'!$B$9,Paramètres!$A$1:$I$89,5,0)</f>
        <v>134.94</v>
      </c>
      <c r="P54" s="13">
        <f t="shared" si="33"/>
        <v>35.135358771568036</v>
      </c>
      <c r="Q54" s="20">
        <f t="shared" si="53"/>
        <v>296.21458319381429</v>
      </c>
      <c r="R54" s="59">
        <f t="shared" si="0"/>
        <v>784.61458319381427</v>
      </c>
      <c r="S54" s="59">
        <f ca="1">AVERAGE(OFFSET($R$3,0,0,'Données projet'!$E$9+1,1))-AVERAGE(OFFSET($H$3,0,0,'Données projet'!$E$9+1,1))</f>
        <v>216.99952889049467</v>
      </c>
      <c r="T54" s="59">
        <f t="shared" si="34"/>
        <v>340.62742489103783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29.132541526181438</v>
      </c>
      <c r="AA54" s="21">
        <f>EXP(-LN(2)/25)*AA53+(1-EXP(-LN(2)/25))/(LN(2)/25)*Calculateur!V54*Calculateur!X54*VLOOKUP('Données projet'!$B$9,Paramètres!$A$1:$I$89,3,0)*0.475*44/12</f>
        <v>78.939248701367219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108.07179022754866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11.852000000000004</v>
      </c>
      <c r="AI54" s="13">
        <f>IF('Données projet'!$A$62&gt;35,AI53+AH54-AQ53,IF(A54&lt;'Données projet'!$A$62,$AF$205^A54,IF(A54='Données projet'!$A$62,'Données projet'!$B$62,AI53+AH54-AQ53)))</f>
        <v>243.7419999999999</v>
      </c>
      <c r="AJ54" s="13">
        <f>AI54*VLOOKUP('Données projet'!$B$10,Paramètres!$A$1:$I$89,3,0)*VLOOKUP('Données projet'!$B$10,Paramètres!$A$1:$I$89,5,0)</f>
        <v>145.75771599999996</v>
      </c>
      <c r="AK54" s="13">
        <f t="shared" si="35"/>
        <v>37.612907531129814</v>
      </c>
      <c r="AL54" s="20">
        <f t="shared" si="4"/>
        <v>319.37050265005104</v>
      </c>
      <c r="AM54" s="59">
        <f t="shared" si="5"/>
        <v>807.77050265005096</v>
      </c>
      <c r="AN54" s="59">
        <f ca="1">AVERAGE(OFFSET($AM$3,0,0,'Données projet'!$E$10+1,1))-AVERAGE(OFFSET($H$3,0,0,'Données projet'!$E$10+1,1))</f>
        <v>243.63945673917135</v>
      </c>
      <c r="AO54" s="59">
        <f t="shared" si="36"/>
        <v>213.14969914288025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16.619998818443722</v>
      </c>
      <c r="AV54" s="21">
        <f>EXP(-LN(2)/25)*AV53+(1-EXP(-LN(2)/25))/(LN(2)/25)*Calculateur!AQ54*Calculateur!AS54*VLOOKUP('Données projet'!$B$10,Paramètres!$A$1:$I$89,3,0)*0.475*44/12</f>
        <v>31.181946190147482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47.801945008591204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20.324285714285718</v>
      </c>
      <c r="BD54" s="12">
        <f>IF('Données projet'!$A$88&gt;35,BD53+BC54-BL53,IF(A54&lt;'Données projet'!$A$88,$BA$205^A54,IF(A54='Données projet'!$A$88,'Données projet'!$B$88,BD53+BC54-BL53)))</f>
        <v>431.86857142857133</v>
      </c>
      <c r="BE54" s="13">
        <f>BD54*VLOOKUP('Données projet'!$B$11,Paramètres!$A$1:$I$89,3,0)*VLOOKUP('Données projet'!$B$11,Paramètres!$A$1:$I$89,5,0)</f>
        <v>241.41453142857139</v>
      </c>
      <c r="BF54" s="13">
        <f t="shared" si="37"/>
        <v>58.743769641045859</v>
      </c>
      <c r="BG54" s="20">
        <f t="shared" si="7"/>
        <v>522.77570769625004</v>
      </c>
      <c r="BH54" s="59">
        <f t="shared" si="8"/>
        <v>1011.1757076962499</v>
      </c>
      <c r="BI54" s="59">
        <f ca="1">AVERAGE(OFFSET($BH$3,0,0,'Données projet'!$E$11+1,1))-AVERAGE(OFFSET($H$3,0,0,'Données projet'!$E$11+1,1))</f>
        <v>357.2406649189378</v>
      </c>
      <c r="BJ54" s="59">
        <f t="shared" si="38"/>
        <v>353.47109765343811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34.407576617979863</v>
      </c>
      <c r="BQ54" s="21">
        <f>EXP(-LN(2)/25)*BQ53+(1-EXP(-LN(2)/25))/(LN(2)/25)*Calculateur!BL54*Calculateur!BN54*VLOOKUP('Données projet'!$B$11,Paramètres!$A$1:$I$89,3,0)*0.475*44/12</f>
        <v>69.510424099461829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103.91800071744169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123.2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22.605439999999991</v>
      </c>
      <c r="D55" s="11">
        <f t="shared" si="32"/>
        <v>7.2466058538089202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175.1320023423456</v>
      </c>
      <c r="H55" s="67">
        <f t="shared" si="1"/>
        <v>503.72564652871722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9.75</v>
      </c>
      <c r="N55" s="13">
        <f>IF('Données projet'!$A$36&gt;35,N54+M55-V54,IF(A55&lt;'Données projet'!$A$36,$K$205^A55,IF(A55='Données projet'!$A$36,'Données projet'!$B$36,N54+M55-V54)))</f>
        <v>226</v>
      </c>
      <c r="O55" s="13">
        <f>N55*VLOOKUP('Données projet'!$B$9,Paramètres!$A$1:$I$89,3,0)*VLOOKUP('Données projet'!$B$9,Paramètres!$A$1:$I$89,5,0)</f>
        <v>141.024</v>
      </c>
      <c r="P55" s="13">
        <f t="shared" si="33"/>
        <v>36.531489925882461</v>
      </c>
      <c r="Q55" s="20">
        <f t="shared" si="53"/>
        <v>309.24247828757859</v>
      </c>
      <c r="R55" s="59">
        <f t="shared" si="0"/>
        <v>797.64247828757857</v>
      </c>
      <c r="S55" s="59">
        <f ca="1">AVERAGE(OFFSET($R$3,0,0,'Données projet'!$E$9+1,1))-AVERAGE(OFFSET($H$3,0,0,'Données projet'!$E$9+1,1))</f>
        <v>216.99952889049467</v>
      </c>
      <c r="T55" s="59">
        <f t="shared" si="34"/>
        <v>340.62742489103783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28.561270155948797</v>
      </c>
      <c r="AA55" s="21">
        <f>EXP(-LN(2)/25)*AA54+(1-EXP(-LN(2)/25))/(LN(2)/25)*Calculateur!V55*Calculateur!X55*VLOOKUP('Données projet'!$B$9,Paramètres!$A$1:$I$89,3,0)*0.475*44/12</f>
        <v>76.780650794393665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105.34192095034246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11.852000000000004</v>
      </c>
      <c r="AI55" s="13">
        <f>IF('Données projet'!$A$62&gt;35,AI54+AH55-AQ54,IF(A55&lt;'Données projet'!$A$62,$AF$205^A55,IF(A55='Données projet'!$A$62,'Données projet'!$B$62,AI54+AH55-AQ54)))</f>
        <v>255.59399999999991</v>
      </c>
      <c r="AJ55" s="13">
        <f>AI55*VLOOKUP('Données projet'!$B$10,Paramètres!$A$1:$I$89,3,0)*VLOOKUP('Données projet'!$B$10,Paramètres!$A$1:$I$89,5,0)</f>
        <v>152.84521199999998</v>
      </c>
      <c r="AK55" s="13">
        <f t="shared" si="35"/>
        <v>39.224461453843894</v>
      </c>
      <c r="AL55" s="20">
        <f t="shared" si="4"/>
        <v>334.52134793211144</v>
      </c>
      <c r="AM55" s="59">
        <f t="shared" si="5"/>
        <v>822.9213479321113</v>
      </c>
      <c r="AN55" s="59">
        <f ca="1">AVERAGE(OFFSET($AM$3,0,0,'Données projet'!$E$10+1,1))-AVERAGE(OFFSET($H$3,0,0,'Données projet'!$E$10+1,1))</f>
        <v>243.63945673917135</v>
      </c>
      <c r="AO55" s="59">
        <f t="shared" si="36"/>
        <v>213.14969914288025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16.294090778812354</v>
      </c>
      <c r="AV55" s="21">
        <f>EXP(-LN(2)/25)*AV54+(1-EXP(-LN(2)/25))/(LN(2)/25)*Calculateur!AQ55*Calculateur!AS55*VLOOKUP('Données projet'!$B$10,Paramètres!$A$1:$I$89,3,0)*0.475*44/12</f>
        <v>30.329274231790617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46.623365010602967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20.324285714285718</v>
      </c>
      <c r="BD55" s="12">
        <f>IF('Données projet'!$A$88&gt;35,BD54+BC55-BL54,IF(A55&lt;'Données projet'!$A$88,$BA$205^A55,IF(A55='Données projet'!$A$88,'Données projet'!$B$88,BD54+BC55-BL54)))</f>
        <v>452.19285714285706</v>
      </c>
      <c r="BE55" s="13">
        <f>BD55*VLOOKUP('Données projet'!$B$11,Paramètres!$A$1:$I$89,3,0)*VLOOKUP('Données projet'!$B$11,Paramètres!$A$1:$I$89,5,0)</f>
        <v>252.7758071428571</v>
      </c>
      <c r="BF55" s="13">
        <f t="shared" si="37"/>
        <v>61.179955647848509</v>
      </c>
      <c r="BG55" s="20">
        <f t="shared" si="7"/>
        <v>546.80628686047885</v>
      </c>
      <c r="BH55" s="59">
        <f t="shared" si="8"/>
        <v>1035.2062868604787</v>
      </c>
      <c r="BI55" s="59">
        <f ca="1">AVERAGE(OFFSET($BH$3,0,0,'Données projet'!$E$11+1,1))-AVERAGE(OFFSET($H$3,0,0,'Données projet'!$E$11+1,1))</f>
        <v>357.2406649189378</v>
      </c>
      <c r="BJ55" s="59">
        <f t="shared" si="38"/>
        <v>353.47109765343811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33.732865027050764</v>
      </c>
      <c r="BQ55" s="21">
        <f>EXP(-LN(2)/25)*BQ54+(1-EXP(-LN(2)/25))/(LN(2)/25)*Calculateur!BL55*Calculateur!BN55*VLOOKUP('Données projet'!$B$11,Paramètres!$A$1:$I$89,3,0)*0.475*44/12</f>
        <v>67.609657897067706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101.34252292411847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123.2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23.04015999999999</v>
      </c>
      <c r="D56" s="11">
        <f t="shared" si="32"/>
        <v>7.3696055683460147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178.40395800096323</v>
      </c>
      <c r="H56" s="67">
        <f t="shared" si="1"/>
        <v>504.6970083648693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9.75</v>
      </c>
      <c r="N56" s="13">
        <f>IF('Données projet'!$A$36&gt;35,N55+M56-V55,IF(A56&lt;'Données projet'!$A$36,$K$205^A56,IF(A56='Données projet'!$A$36,'Données projet'!$B$36,N55+M56-V55)))</f>
        <v>235.75</v>
      </c>
      <c r="O56" s="13">
        <f>N56*VLOOKUP('Données projet'!$B$9,Paramètres!$A$1:$I$89,3,0)*VLOOKUP('Données projet'!$B$9,Paramètres!$A$1:$I$89,5,0)</f>
        <v>147.108</v>
      </c>
      <c r="P56" s="13">
        <f t="shared" si="33"/>
        <v>37.920625436598897</v>
      </c>
      <c r="Q56" s="20">
        <f t="shared" si="53"/>
        <v>322.25818930207646</v>
      </c>
      <c r="R56" s="59">
        <f t="shared" si="0"/>
        <v>810.65818930207638</v>
      </c>
      <c r="S56" s="59">
        <f ca="1">AVERAGE(OFFSET($R$3,0,0,'Données projet'!$E$9+1,1))-AVERAGE(OFFSET($H$3,0,0,'Données projet'!$E$9+1,1))</f>
        <v>216.99952889049467</v>
      </c>
      <c r="T56" s="59">
        <f t="shared" si="34"/>
        <v>340.62742489103783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28.00120106884529</v>
      </c>
      <c r="AA56" s="21">
        <f>EXP(-LN(2)/25)*AA55+(1-EXP(-LN(2)/25))/(LN(2)/25)*Calculateur!V56*Calculateur!X56*VLOOKUP('Données projet'!$B$9,Paramètres!$A$1:$I$89,3,0)*0.475*44/12</f>
        <v>74.681079860702027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102.68228092954732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11.852000000000004</v>
      </c>
      <c r="AI56" s="13">
        <f>IF('Données projet'!$A$62&gt;35,AI55+AH56-AQ55,IF(A56&lt;'Données projet'!$A$62,$AF$205^A56,IF(A56='Données projet'!$A$62,'Données projet'!$B$62,AI55+AH56-AQ55)))</f>
        <v>267.44599999999991</v>
      </c>
      <c r="AJ56" s="13">
        <f>AI56*VLOOKUP('Données projet'!$B$10,Paramètres!$A$1:$I$89,3,0)*VLOOKUP('Données projet'!$B$10,Paramètres!$A$1:$I$89,5,0)</f>
        <v>159.93270799999996</v>
      </c>
      <c r="AK56" s="13">
        <f t="shared" si="35"/>
        <v>40.827337136686786</v>
      </c>
      <c r="AL56" s="20">
        <f t="shared" si="4"/>
        <v>349.65707861306277</v>
      </c>
      <c r="AM56" s="59">
        <f t="shared" si="5"/>
        <v>838.05707861306269</v>
      </c>
      <c r="AN56" s="59">
        <f ca="1">AVERAGE(OFFSET($AM$3,0,0,'Données projet'!$E$10+1,1))-AVERAGE(OFFSET($H$3,0,0,'Données projet'!$E$10+1,1))</f>
        <v>243.63945673917135</v>
      </c>
      <c r="AO56" s="59">
        <f t="shared" si="36"/>
        <v>213.14969914288025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15.974573597053881</v>
      </c>
      <c r="AV56" s="21">
        <f>EXP(-LN(2)/25)*AV55+(1-EXP(-LN(2)/25))/(LN(2)/25)*Calculateur!AQ56*Calculateur!AS56*VLOOKUP('Données projet'!$B$10,Paramètres!$A$1:$I$89,3,0)*0.475*44/12</f>
        <v>29.499918632975088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45.474492230028972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20.324285714285718</v>
      </c>
      <c r="BD56" s="12">
        <f>IF('Données projet'!$A$88&gt;35,BD55+BC56-BL55,IF(A56&lt;'Données projet'!$A$88,$BA$205^A56,IF(A56='Données projet'!$A$88,'Données projet'!$B$88,BD55+BC56-BL55)))</f>
        <v>472.5171428571428</v>
      </c>
      <c r="BE56" s="13">
        <f>BD56*VLOOKUP('Données projet'!$B$11,Paramètres!$A$1:$I$89,3,0)*VLOOKUP('Données projet'!$B$11,Paramètres!$A$1:$I$89,5,0)</f>
        <v>264.13708285714284</v>
      </c>
      <c r="BF56" s="13">
        <f t="shared" si="37"/>
        <v>63.60342497029243</v>
      </c>
      <c r="BG56" s="20">
        <f t="shared" si="7"/>
        <v>570.8147177994498</v>
      </c>
      <c r="BH56" s="59">
        <f t="shared" si="8"/>
        <v>1059.2147177994498</v>
      </c>
      <c r="BI56" s="59">
        <f ca="1">AVERAGE(OFFSET($BH$3,0,0,'Données projet'!$E$11+1,1))-AVERAGE(OFFSET($H$3,0,0,'Données projet'!$E$11+1,1))</f>
        <v>357.2406649189378</v>
      </c>
      <c r="BJ56" s="59">
        <f t="shared" si="38"/>
        <v>353.47109765343811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33.07138411888635</v>
      </c>
      <c r="BQ56" s="21">
        <f>EXP(-LN(2)/25)*BQ55+(1-EXP(-LN(2)/25))/(LN(2)/25)*Calculateur!BL56*Calculateur!BN56*VLOOKUP('Données projet'!$B$11,Paramètres!$A$1:$I$89,3,0)*0.475*44/12</f>
        <v>65.76086824643501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98.832252365321352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123.2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23.474879999999988</v>
      </c>
      <c r="D57" s="11">
        <f t="shared" si="32"/>
        <v>7.4923354271569034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181.67433050598709</v>
      </c>
      <c r="H57" s="67">
        <f t="shared" si="1"/>
        <v>505.66790020229826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9.75</v>
      </c>
      <c r="N57" s="13">
        <f>IF('Données projet'!$A$36&gt;35,N56+M57-V56,IF(A57&lt;'Données projet'!$A$36,$K$205^A57,IF(A57='Données projet'!$A$36,'Données projet'!$B$36,N56+M57-V56)))</f>
        <v>245.5</v>
      </c>
      <c r="O57" s="13">
        <f>N57*VLOOKUP('Données projet'!$B$9,Paramètres!$A$1:$I$89,3,0)*VLOOKUP('Données projet'!$B$9,Paramètres!$A$1:$I$89,5,0)</f>
        <v>153.19199999999998</v>
      </c>
      <c r="P57" s="13">
        <f t="shared" si="33"/>
        <v>39.303087713366921</v>
      </c>
      <c r="Q57" s="20">
        <f t="shared" si="53"/>
        <v>335.2622777674473</v>
      </c>
      <c r="R57" s="59">
        <f t="shared" si="0"/>
        <v>823.66227776744722</v>
      </c>
      <c r="S57" s="59">
        <f ca="1">AVERAGE(OFFSET($R$3,0,0,'Données projet'!$E$9+1,1))-AVERAGE(OFFSET($H$3,0,0,'Données projet'!$E$9+1,1))</f>
        <v>216.99952889049467</v>
      </c>
      <c r="T57" s="59">
        <f t="shared" si="34"/>
        <v>340.62742489103783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27.452114594931469</v>
      </c>
      <c r="AA57" s="21">
        <f>EXP(-LN(2)/25)*AA56+(1-EXP(-LN(2)/25))/(LN(2)/25)*Calculateur!V57*Calculateur!X57*VLOOKUP('Données projet'!$B$9,Paramètres!$A$1:$I$89,3,0)*0.475*44/12</f>
        <v>72.638921804603825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100.0910363995353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11.852000000000004</v>
      </c>
      <c r="AI57" s="13">
        <f>IF('Données projet'!$A$62&gt;35,AI56+AH57-AQ56,IF(A57&lt;'Données projet'!$A$62,$AF$205^A57,IF(A57='Données projet'!$A$62,'Données projet'!$B$62,AI56+AH57-AQ56)))</f>
        <v>279.29799999999989</v>
      </c>
      <c r="AJ57" s="13">
        <f>AI57*VLOOKUP('Données projet'!$B$10,Paramètres!$A$1:$I$89,3,0)*VLOOKUP('Données projet'!$B$10,Paramètres!$A$1:$I$89,5,0)</f>
        <v>167.02020399999992</v>
      </c>
      <c r="AK57" s="13">
        <f t="shared" si="35"/>
        <v>42.421963106256541</v>
      </c>
      <c r="AL57" s="20">
        <f t="shared" si="4"/>
        <v>364.7784410433967</v>
      </c>
      <c r="AM57" s="59">
        <f t="shared" si="5"/>
        <v>853.17844104339656</v>
      </c>
      <c r="AN57" s="59">
        <f ca="1">AVERAGE(OFFSET($AM$3,0,0,'Données projet'!$E$10+1,1))-AVERAGE(OFFSET($H$3,0,0,'Données projet'!$E$10+1,1))</f>
        <v>243.63945673917135</v>
      </c>
      <c r="AO57" s="59">
        <f t="shared" si="36"/>
        <v>213.14969914288025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15.661321952343455</v>
      </c>
      <c r="AV57" s="21">
        <f>EXP(-LN(2)/25)*AV56+(1-EXP(-LN(2)/25))/(LN(2)/25)*Calculateur!AQ57*Calculateur!AS57*VLOOKUP('Données projet'!$B$10,Paramètres!$A$1:$I$89,3,0)*0.475*44/12</f>
        <v>28.693241806623085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44.354563758966542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20.324285714285718</v>
      </c>
      <c r="BD57" s="12">
        <f>IF('Données projet'!$A$88&gt;35,BD56+BC57-BL56,IF(A57&lt;'Données projet'!$A$88,$BA$205^A57,IF(A57='Données projet'!$A$88,'Données projet'!$B$88,BD56+BC57-BL56)))</f>
        <v>492.84142857142854</v>
      </c>
      <c r="BE57" s="13">
        <f>BD57*VLOOKUP('Données projet'!$B$11,Paramètres!$A$1:$I$89,3,0)*VLOOKUP('Données projet'!$B$11,Paramètres!$A$1:$I$89,5,0)</f>
        <v>275.49835857142858</v>
      </c>
      <c r="BF57" s="13">
        <f t="shared" si="37"/>
        <v>66.0147871145425</v>
      </c>
      <c r="BG57" s="20">
        <f t="shared" si="7"/>
        <v>594.80206206973287</v>
      </c>
      <c r="BH57" s="59">
        <f t="shared" si="8"/>
        <v>1083.2020620697328</v>
      </c>
      <c r="BI57" s="59">
        <f ca="1">AVERAGE(OFFSET($BH$3,0,0,'Données projet'!$E$11+1,1))-AVERAGE(OFFSET($H$3,0,0,'Données projet'!$E$11+1,1))</f>
        <v>357.2406649189378</v>
      </c>
      <c r="BJ57" s="59">
        <f t="shared" si="38"/>
        <v>353.47109765343811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32.422874447867528</v>
      </c>
      <c r="BQ57" s="21">
        <f>EXP(-LN(2)/25)*BQ56+(1-EXP(-LN(2)/25))/(LN(2)/25)*Calculateur!BL57*Calculateur!BN57*VLOOKUP('Données projet'!$B$11,Paramètres!$A$1:$I$89,3,0)*0.475*44/12</f>
        <v>63.962633846022484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96.385508293890013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123.2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23.909599999999987</v>
      </c>
      <c r="D58" s="11">
        <f t="shared" si="32"/>
        <v>7.6148010038927447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184.9431525561707</v>
      </c>
      <c r="H58" s="67">
        <f t="shared" si="1"/>
        <v>506.63833174844649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9.75</v>
      </c>
      <c r="N58" s="13">
        <f>IF('Données projet'!$A$36&gt;35,N57+M58-V57,IF(A58&lt;'Données projet'!$A$36,$K$205^A58,IF(A58='Données projet'!$A$36,'Données projet'!$B$36,N57+M58-V57)))</f>
        <v>255.25</v>
      </c>
      <c r="O58" s="13">
        <f>N58*VLOOKUP('Données projet'!$B$9,Paramètres!$A$1:$I$89,3,0)*VLOOKUP('Données projet'!$B$9,Paramètres!$A$1:$I$89,5,0)</f>
        <v>159.27600000000001</v>
      </c>
      <c r="P58" s="13">
        <f t="shared" si="33"/>
        <v>40.679172107249002</v>
      </c>
      <c r="Q58" s="20">
        <f t="shared" si="53"/>
        <v>348.25525808679203</v>
      </c>
      <c r="R58" s="59">
        <f t="shared" si="0"/>
        <v>836.65525808679195</v>
      </c>
      <c r="S58" s="59">
        <f ca="1">AVERAGE(OFFSET($R$3,0,0,'Données projet'!$E$9+1,1))-AVERAGE(OFFSET($H$3,0,0,'Données projet'!$E$9+1,1))</f>
        <v>216.99952889049467</v>
      </c>
      <c r="T58" s="59">
        <f t="shared" si="34"/>
        <v>340.62742489103783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26.913795371861418</v>
      </c>
      <c r="AA58" s="21">
        <f>EXP(-LN(2)/25)*AA57+(1-EXP(-LN(2)/25))/(LN(2)/25)*Calculateur!V58*Calculateur!X58*VLOOKUP('Données projet'!$B$9,Paramètres!$A$1:$I$89,3,0)*0.475*44/12</f>
        <v>70.652606667942052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97.566402039803478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11.852000000000004</v>
      </c>
      <c r="AI58" s="13">
        <f>IF('Données projet'!$A$62&gt;35,AI57+AH58-AQ57,IF(A58&lt;'Données projet'!$A$62,$AF$205^A58,IF(A58='Données projet'!$A$62,'Données projet'!$B$62,AI57+AH58-AQ57)))</f>
        <v>291.14999999999986</v>
      </c>
      <c r="AJ58" s="13">
        <f>AI58*VLOOKUP('Données projet'!$B$10,Paramètres!$A$1:$I$89,3,0)*VLOOKUP('Données projet'!$B$10,Paramètres!$A$1:$I$89,5,0)</f>
        <v>174.10769999999994</v>
      </c>
      <c r="AK58" s="13">
        <f t="shared" si="35"/>
        <v>44.008729462937033</v>
      </c>
      <c r="AL58" s="20">
        <f t="shared" si="4"/>
        <v>379.88611464794849</v>
      </c>
      <c r="AM58" s="59">
        <f t="shared" si="5"/>
        <v>868.28611464794835</v>
      </c>
      <c r="AN58" s="59">
        <f ca="1">AVERAGE(OFFSET($AM$3,0,0,'Données projet'!$E$10+1,1))-AVERAGE(OFFSET($H$3,0,0,'Données projet'!$E$10+1,1))</f>
        <v>243.63945673917135</v>
      </c>
      <c r="AO58" s="59">
        <f t="shared" si="36"/>
        <v>213.14969914288025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15.354212981321163</v>
      </c>
      <c r="AV58" s="21">
        <f>EXP(-LN(2)/25)*AV57+(1-EXP(-LN(2)/25))/(LN(2)/25)*Calculateur!AQ58*Calculateur!AS58*VLOOKUP('Données projet'!$B$10,Paramètres!$A$1:$I$89,3,0)*0.475*44/12</f>
        <v>27.908623600508971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43.262836581830136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20.324285714285718</v>
      </c>
      <c r="BD58" s="12">
        <f>IF('Données projet'!$A$88&gt;35,BD57+BC58-BL57,IF(A58&lt;'Données projet'!$A$88,$BA$205^A58,IF(A58='Données projet'!$A$88,'Données projet'!$B$88,BD57+BC58-BL57)))</f>
        <v>513.16571428571422</v>
      </c>
      <c r="BE58" s="13">
        <f>BD58*VLOOKUP('Données projet'!$B$11,Paramètres!$A$1:$I$89,3,0)*VLOOKUP('Données projet'!$B$11,Paramètres!$A$1:$I$89,5,0)</f>
        <v>286.85963428571421</v>
      </c>
      <c r="BF58" s="13">
        <f t="shared" si="37"/>
        <v>68.41459847146298</v>
      </c>
      <c r="BG58" s="20">
        <f t="shared" si="7"/>
        <v>618.7692887187502</v>
      </c>
      <c r="BH58" s="59">
        <f t="shared" si="8"/>
        <v>1107.1692887187501</v>
      </c>
      <c r="BI58" s="59">
        <f ca="1">AVERAGE(OFFSET($BH$3,0,0,'Données projet'!$E$11+1,1))-AVERAGE(OFFSET($H$3,0,0,'Données projet'!$E$11+1,1))</f>
        <v>357.2406649189378</v>
      </c>
      <c r="BJ58" s="59">
        <f t="shared" si="38"/>
        <v>353.47109765343811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31.787081655945542</v>
      </c>
      <c r="BQ58" s="21">
        <f>EXP(-LN(2)/25)*BQ57+(1-EXP(-LN(2)/25))/(LN(2)/25)*Calculateur!BL58*Calculateur!BN58*VLOOKUP('Données projet'!$B$11,Paramètres!$A$1:$I$89,3,0)*0.475*44/12</f>
        <v>62.213572259854274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94.000653915799816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123.2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24.344319999999986</v>
      </c>
      <c r="D59" s="11">
        <f t="shared" si="32"/>
        <v>7.7370076579220397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188.21045559314254</v>
      </c>
      <c r="H59" s="67">
        <f t="shared" si="1"/>
        <v>507.60831233754755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9.75</v>
      </c>
      <c r="N59" s="13">
        <f>IF('Données projet'!$A$36&gt;35,N58+M59-V58,IF(A59&lt;'Données projet'!$A$36,$K$205^A59,IF(A59='Données projet'!$A$36,'Données projet'!$B$36,N58+M59-V58)))</f>
        <v>265</v>
      </c>
      <c r="O59" s="13">
        <f>N59*VLOOKUP('Données projet'!$B$9,Paramètres!$A$1:$I$89,3,0)*VLOOKUP('Données projet'!$B$9,Paramètres!$A$1:$I$89,5,0)</f>
        <v>165.35999999999999</v>
      </c>
      <c r="P59" s="13">
        <f t="shared" si="33"/>
        <v>42.04915012784209</v>
      </c>
      <c r="Q59" s="20">
        <f t="shared" si="53"/>
        <v>361.2376031393249</v>
      </c>
      <c r="R59" s="59">
        <f t="shared" si="0"/>
        <v>849.63760313932482</v>
      </c>
      <c r="S59" s="59">
        <f ca="1">AVERAGE(OFFSET($R$3,0,0,'Données projet'!$E$9+1,1))-AVERAGE(OFFSET($H$3,0,0,'Données projet'!$E$9+1,1))</f>
        <v>216.99952889049467</v>
      </c>
      <c r="T59" s="59">
        <f t="shared" si="34"/>
        <v>340.62742489103783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26.386032260413469</v>
      </c>
      <c r="AA59" s="21">
        <f>EXP(-LN(2)/25)*AA58+(1-EXP(-LN(2)/25))/(LN(2)/25)*Calculateur!V59*Calculateur!X59*VLOOKUP('Données projet'!$B$9,Paramètres!$A$1:$I$89,3,0)*0.475*44/12</f>
        <v>68.720607423148067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95.106639683561539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11.852000000000004</v>
      </c>
      <c r="AI59" s="13">
        <f>IF('Données projet'!$A$62&gt;35,AI58+AH59-AQ58,IF(A59&lt;'Données projet'!$A$62,$AF$205^A59,IF(A59='Données projet'!$A$62,'Données projet'!$B$62,AI58+AH59-AQ58)))</f>
        <v>303.00199999999984</v>
      </c>
      <c r="AJ59" s="13">
        <f>AI59*VLOOKUP('Données projet'!$B$10,Paramètres!$A$1:$I$89,3,0)*VLOOKUP('Données projet'!$B$10,Paramètres!$A$1:$I$89,5,0)</f>
        <v>181.1951959999999</v>
      </c>
      <c r="AK59" s="13">
        <f t="shared" si="35"/>
        <v>45.58799274971863</v>
      </c>
      <c r="AL59" s="20">
        <f t="shared" si="4"/>
        <v>394.98072040575977</v>
      </c>
      <c r="AM59" s="59">
        <f t="shared" si="5"/>
        <v>883.38072040575969</v>
      </c>
      <c r="AN59" s="59">
        <f ca="1">AVERAGE(OFFSET($AM$3,0,0,'Données projet'!$E$10+1,1))-AVERAGE(OFFSET($H$3,0,0,'Données projet'!$E$10+1,1))</f>
        <v>243.63945673917135</v>
      </c>
      <c r="AO59" s="59">
        <f t="shared" si="36"/>
        <v>213.14969914288025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15.053126229902643</v>
      </c>
      <c r="AV59" s="21">
        <f>EXP(-LN(2)/25)*AV58+(1-EXP(-LN(2)/25))/(LN(2)/25)*Calculateur!AQ59*Calculateur!AS59*VLOOKUP('Données projet'!$B$10,Paramètres!$A$1:$I$89,3,0)*0.475*44/12</f>
        <v>27.145460820502326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42.198587050404967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533.49</v>
      </c>
      <c r="BB59" s="12">
        <f>VLOOKUP(A59,'Données projet'!$A$87:$I$107,9,0)</f>
        <v>20.324285714285718</v>
      </c>
      <c r="BC59" s="12">
        <f t="array" ref="BC59">INDEX(BB:BB,MIN(IF(ISNUMBER(BB59:BB255),ROW(BB59:BB255),"")))</f>
        <v>20.324285714285718</v>
      </c>
      <c r="BD59" s="12">
        <f>IF('Données projet'!$A$88&gt;35,BD58+BC59-BL58,IF(A59&lt;'Données projet'!$A$88,$BA$205^A59,IF(A59='Données projet'!$A$88,'Données projet'!$B$88,BD58+BC59-BL58)))</f>
        <v>533.4899999999999</v>
      </c>
      <c r="BE59" s="13">
        <f>BD59*VLOOKUP('Données projet'!$B$11,Paramètres!$A$1:$I$89,3,0)*VLOOKUP('Données projet'!$B$11,Paramètres!$A$1:$I$89,5,0)</f>
        <v>298.22090999999995</v>
      </c>
      <c r="BF59" s="13">
        <f t="shared" si="37"/>
        <v>70.803368864473384</v>
      </c>
      <c r="BG59" s="20">
        <f t="shared" si="7"/>
        <v>642.71728568895765</v>
      </c>
      <c r="BH59" s="59">
        <f t="shared" si="8"/>
        <v>1131.1172856889575</v>
      </c>
      <c r="BI59" s="59">
        <f ca="1">AVERAGE(OFFSET($BH$3,0,0,'Données projet'!$E$11+1,1))-AVERAGE(OFFSET($H$3,0,0,'Données projet'!$E$11+1,1))</f>
        <v>357.2406649189378</v>
      </c>
      <c r="BJ59" s="59">
        <f t="shared" si="38"/>
        <v>353.47109765343811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94.57</v>
      </c>
      <c r="BM59" s="16">
        <f>IF(ISNA(VLOOKUP(A59,'Données projet'!$A$87:$I$107,5,0)),0%,VLOOKUP(A59,'Données projet'!$A$87:$I$107,5,0)*VLOOKUP('Données projet'!$B$11,Paramètres!$A$1:$I$89,7,0))</f>
        <v>0.38500000000000001</v>
      </c>
      <c r="BN59" s="16">
        <f>IF(ISNA(VLOOKUP(A59,'Données projet'!$A$87:$I$107,6,0)),0%,VLOOKUP(A59,'Données projet'!$A$87:$I$107,6,0)*VLOOKUP('Données projet'!$B$11,Paramètres!$A$1:$I$89,7,0))</f>
        <v>0.16500000000000001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58.163166929443506</v>
      </c>
      <c r="BQ59" s="21">
        <f>EXP(-LN(2)/25)*BQ58+(1-EXP(-LN(2)/25))/(LN(2)/25)*Calculateur!BL59*Calculateur!BN59*VLOOKUP('Données projet'!$B$11,Paramètres!$A$1:$I$89,3,0)*0.475*44/12</f>
        <v>72.037954678862917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130.20112160830644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123.2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24.779039999999984</v>
      </c>
      <c r="D60" s="11">
        <f t="shared" si="32"/>
        <v>7.8589605462455969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191.47626987130741</v>
      </c>
      <c r="H60" s="67">
        <f t="shared" si="1"/>
        <v>508.57785095137774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9.75</v>
      </c>
      <c r="N60" s="13">
        <f>IF('Données projet'!$A$36&gt;35,N59+M60-V59,IF(A60&lt;'Données projet'!$A$36,$K$205^A60,IF(A60='Données projet'!$A$36,'Données projet'!$B$36,N59+M60-V59)))</f>
        <v>274.75</v>
      </c>
      <c r="O60" s="13">
        <f>N60*VLOOKUP('Données projet'!$B$9,Paramètres!$A$1:$I$89,3,0)*VLOOKUP('Données projet'!$B$9,Paramètres!$A$1:$I$89,5,0)</f>
        <v>171.44399999999999</v>
      </c>
      <c r="P60" s="13">
        <f t="shared" si="33"/>
        <v>43.413272173627242</v>
      </c>
      <c r="Q60" s="20">
        <f t="shared" si="53"/>
        <v>374.20974903573409</v>
      </c>
      <c r="R60" s="59">
        <f t="shared" si="0"/>
        <v>862.60974903573401</v>
      </c>
      <c r="S60" s="59">
        <f ca="1">AVERAGE(OFFSET($R$3,0,0,'Données projet'!$E$9+1,1))-AVERAGE(OFFSET($H$3,0,0,'Données projet'!$E$9+1,1))</f>
        <v>216.99952889049467</v>
      </c>
      <c r="T60" s="59">
        <f t="shared" si="34"/>
        <v>340.62742489103783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25.868618261677298</v>
      </c>
      <c r="AA60" s="21">
        <f>EXP(-LN(2)/25)*AA59+(1-EXP(-LN(2)/25))/(LN(2)/25)*Calculateur!V60*Calculateur!X60*VLOOKUP('Données projet'!$B$9,Paramètres!$A$1:$I$89,3,0)*0.475*44/12</f>
        <v>66.841438799302395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92.710057060979693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11.852000000000004</v>
      </c>
      <c r="AI60" s="13">
        <f>IF('Données projet'!$A$62&gt;35,AI59+AH60-AQ59,IF(A60&lt;'Données projet'!$A$62,$AF$205^A60,IF(A60='Données projet'!$A$62,'Données projet'!$B$62,AI59+AH60-AQ59)))</f>
        <v>314.85399999999981</v>
      </c>
      <c r="AJ60" s="13">
        <f>AI60*VLOOKUP('Données projet'!$B$10,Paramètres!$A$1:$I$89,3,0)*VLOOKUP('Données projet'!$B$10,Paramètres!$A$1:$I$89,5,0)</f>
        <v>188.28269199999991</v>
      </c>
      <c r="AK60" s="13">
        <f t="shared" si="35"/>
        <v>47.160080037805507</v>
      </c>
      <c r="AL60" s="20">
        <f t="shared" si="4"/>
        <v>410.06282796584441</v>
      </c>
      <c r="AM60" s="59">
        <f t="shared" si="5"/>
        <v>898.46282796584433</v>
      </c>
      <c r="AN60" s="59">
        <f ca="1">AVERAGE(OFFSET($AM$3,0,0,'Données projet'!$E$10+1,1))-AVERAGE(OFFSET($H$3,0,0,'Données projet'!$E$10+1,1))</f>
        <v>243.63945673917135</v>
      </c>
      <c r="AO60" s="59">
        <f t="shared" si="36"/>
        <v>213.14969914288025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14.757943606034654</v>
      </c>
      <c r="AV60" s="21">
        <f>EXP(-LN(2)/25)*AV59+(1-EXP(-LN(2)/25))/(LN(2)/25)*Calculateur!AQ60*Calculateur!AS60*VLOOKUP('Données projet'!$B$10,Paramètres!$A$1:$I$89,3,0)*0.475*44/12</f>
        <v>26.403166766847946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41.161110372882604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18.58285714285714</v>
      </c>
      <c r="BD60" s="12">
        <f>IF('Données projet'!$A$88&gt;35,BD59+BC60-BL59,IF(A60&lt;'Données projet'!$A$88,$BA$205^A60,IF(A60='Données projet'!$A$88,'Données projet'!$B$88,BD59+BC60-BL59)))</f>
        <v>457.50285714285707</v>
      </c>
      <c r="BE60" s="13">
        <f>BD60*VLOOKUP('Données projet'!$B$11,Paramètres!$A$1:$I$89,3,0)*VLOOKUP('Données projet'!$B$11,Paramètres!$A$1:$I$89,5,0)</f>
        <v>255.74409714285713</v>
      </c>
      <c r="BF60" s="13">
        <f t="shared" si="37"/>
        <v>61.814321894325772</v>
      </c>
      <c r="BG60" s="20">
        <f t="shared" si="7"/>
        <v>553.08091315642685</v>
      </c>
      <c r="BH60" s="59">
        <f t="shared" si="8"/>
        <v>1041.4809131564268</v>
      </c>
      <c r="BI60" s="59">
        <f ca="1">AVERAGE(OFFSET($BH$3,0,0,'Données projet'!$E$11+1,1))-AVERAGE(OFFSET($H$3,0,0,'Données projet'!$E$11+1,1))</f>
        <v>357.2406649189378</v>
      </c>
      <c r="BJ60" s="59">
        <f t="shared" si="38"/>
        <v>353.47109765343811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57.022622701985981</v>
      </c>
      <c r="BQ60" s="21">
        <f>EXP(-LN(2)/25)*BQ59+(1-EXP(-LN(2)/25))/(LN(2)/25)*Calculateur!BL60*Calculateur!BN60*VLOOKUP('Données projet'!$B$11,Paramètres!$A$1:$I$89,3,0)*0.475*44/12</f>
        <v>70.068073019858019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127.090695721844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123.2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25.213759999999983</v>
      </c>
      <c r="D61" s="11">
        <f t="shared" si="32"/>
        <v>7.9806646345517258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194.74062452270337</v>
      </c>
      <c r="H61" s="67">
        <f t="shared" si="1"/>
        <v>509.54695623851092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9.75</v>
      </c>
      <c r="N61" s="13">
        <f>IF('Données projet'!$A$36&gt;35,N60+M61-V60,IF(A61&lt;'Données projet'!$A$36,$K$205^A61,IF(A61='Données projet'!$A$36,'Données projet'!$B$36,N60+M61-V60)))</f>
        <v>284.5</v>
      </c>
      <c r="O61" s="13">
        <f>N61*VLOOKUP('Données projet'!$B$9,Paramètres!$A$1:$I$89,3,0)*VLOOKUP('Données projet'!$B$9,Paramètres!$A$1:$I$89,5,0)</f>
        <v>177.52800000000002</v>
      </c>
      <c r="P61" s="13">
        <f t="shared" si="33"/>
        <v>44.771769863863661</v>
      </c>
      <c r="Q61" s="20">
        <f t="shared" si="53"/>
        <v>387.17209917956257</v>
      </c>
      <c r="R61" s="59">
        <f t="shared" si="0"/>
        <v>875.57209917956243</v>
      </c>
      <c r="S61" s="59">
        <f ca="1">AVERAGE(OFFSET($R$3,0,0,'Données projet'!$E$9+1,1))-AVERAGE(OFFSET($H$3,0,0,'Données projet'!$E$9+1,1))</f>
        <v>216.99952889049467</v>
      </c>
      <c r="T61" s="59">
        <f t="shared" si="34"/>
        <v>340.62742489103783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25.361350435864967</v>
      </c>
      <c r="AA61" s="21">
        <f>EXP(-LN(2)/25)*AA60+(1-EXP(-LN(2)/25))/(LN(2)/25)*Calculateur!V61*Calculateur!X61*VLOOKUP('Données projet'!$B$9,Paramètres!$A$1:$I$89,3,0)*0.475*44/12</f>
        <v>65.013656140296973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90.375006576161937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11.852000000000004</v>
      </c>
      <c r="AI61" s="13">
        <f>IF('Données projet'!$A$62&gt;35,AI60+AH61-AQ60,IF(A61&lt;'Données projet'!$A$62,$AF$205^A61,IF(A61='Données projet'!$A$62,'Données projet'!$B$62,AI60+AH61-AQ60)))</f>
        <v>326.70599999999979</v>
      </c>
      <c r="AJ61" s="13">
        <f>AI61*VLOOKUP('Données projet'!$B$10,Paramètres!$A$1:$I$89,3,0)*VLOOKUP('Données projet'!$B$10,Paramètres!$A$1:$I$89,5,0)</f>
        <v>195.3701879999999</v>
      </c>
      <c r="AK61" s="13">
        <f t="shared" si="35"/>
        <v>48.725292379749455</v>
      </c>
      <c r="AL61" s="20">
        <f t="shared" si="4"/>
        <v>425.13296166139679</v>
      </c>
      <c r="AM61" s="59">
        <f t="shared" si="5"/>
        <v>913.53296166139671</v>
      </c>
      <c r="AN61" s="59">
        <f ca="1">AVERAGE(OFFSET($AM$3,0,0,'Données projet'!$E$10+1,1))-AVERAGE(OFFSET($H$3,0,0,'Données projet'!$E$10+1,1))</f>
        <v>243.63945673917135</v>
      </c>
      <c r="AO61" s="59">
        <f t="shared" si="36"/>
        <v>213.14969914288025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14.468549333377094</v>
      </c>
      <c r="AV61" s="21">
        <f>EXP(-LN(2)/25)*AV60+(1-EXP(-LN(2)/25))/(LN(2)/25)*Calculateur!AQ61*Calculateur!AS61*VLOOKUP('Données projet'!$B$10,Paramètres!$A$1:$I$89,3,0)*0.475*44/12</f>
        <v>25.681170783126294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40.149720116503389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18.58285714285714</v>
      </c>
      <c r="BD61" s="12">
        <f>IF('Données projet'!$A$88&gt;35,BD60+BC61-BL60,IF(A61&lt;'Données projet'!$A$88,$BA$205^A61,IF(A61='Données projet'!$A$88,'Données projet'!$B$88,BD60+BC61-BL60)))</f>
        <v>476.08571428571423</v>
      </c>
      <c r="BE61" s="13">
        <f>BD61*VLOOKUP('Données projet'!$B$11,Paramètres!$A$1:$I$89,3,0)*VLOOKUP('Données projet'!$B$11,Paramètres!$A$1:$I$89,5,0)</f>
        <v>266.13191428571429</v>
      </c>
      <c r="BF61" s="13">
        <f t="shared" si="37"/>
        <v>64.027675737818726</v>
      </c>
      <c r="BG61" s="20">
        <f t="shared" si="7"/>
        <v>575.02795262431994</v>
      </c>
      <c r="BH61" s="59">
        <f t="shared" si="8"/>
        <v>1063.4279526243199</v>
      </c>
      <c r="BI61" s="59">
        <f ca="1">AVERAGE(OFFSET($BH$3,0,0,'Données projet'!$E$11+1,1))-AVERAGE(OFFSET($H$3,0,0,'Données projet'!$E$11+1,1))</f>
        <v>357.2406649189378</v>
      </c>
      <c r="BJ61" s="59">
        <f t="shared" si="38"/>
        <v>353.47109765343811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55.90444385116561</v>
      </c>
      <c r="BQ61" s="21">
        <f>EXP(-LN(2)/25)*BQ60+(1-EXP(-LN(2)/25))/(LN(2)/25)*Calculateur!BL61*Calculateur!BN61*VLOOKUP('Données projet'!$B$11,Paramètres!$A$1:$I$89,3,0)*0.475*44/12</f>
        <v>68.15205787841019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124.0565017295758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123.2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25.648479999999982</v>
      </c>
      <c r="D62" s="11">
        <f t="shared" si="32"/>
        <v>8.1021247074873326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198.00354761725893</v>
      </c>
      <c r="H62" s="67">
        <f t="shared" si="1"/>
        <v>510.51563653220705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9.75</v>
      </c>
      <c r="N62" s="13">
        <f>IF('Données projet'!$A$36&gt;35,N61+M62-V61,IF(A62&lt;'Données projet'!$A$36,$K$205^A62,IF(A62='Données projet'!$A$36,'Données projet'!$B$36,N61+M62-V61)))</f>
        <v>294.25</v>
      </c>
      <c r="O62" s="13">
        <f>N62*VLOOKUP('Données projet'!$B$9,Paramètres!$A$1:$I$89,3,0)*VLOOKUP('Données projet'!$B$9,Paramètres!$A$1:$I$89,5,0)</f>
        <v>183.61199999999999</v>
      </c>
      <c r="P62" s="13">
        <f t="shared" si="33"/>
        <v>46.124858041839339</v>
      </c>
      <c r="Q62" s="20">
        <f t="shared" si="53"/>
        <v>400.12502775620351</v>
      </c>
      <c r="R62" s="59">
        <f t="shared" si="0"/>
        <v>888.52502775620337</v>
      </c>
      <c r="S62" s="59">
        <f ca="1">AVERAGE(OFFSET($R$3,0,0,'Données projet'!$E$9+1,1))-AVERAGE(OFFSET($H$3,0,0,'Données projet'!$E$9+1,1))</f>
        <v>216.99952889049467</v>
      </c>
      <c r="T62" s="59">
        <f t="shared" si="34"/>
        <v>340.62742489103783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24.864029822713995</v>
      </c>
      <c r="AA62" s="21">
        <f>EXP(-LN(2)/25)*AA61+(1-EXP(-LN(2)/25))/(LN(2)/25)*Calculateur!V62*Calculateur!X62*VLOOKUP('Données projet'!$B$9,Paramètres!$A$1:$I$89,3,0)*0.475*44/12</f>
        <v>63.235854294220964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88.099884116934959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11.852000000000004</v>
      </c>
      <c r="AI62" s="13">
        <f>IF('Données projet'!$A$62&gt;35,AI61+AH62-AQ61,IF(A62&lt;'Données projet'!$A$62,$AF$205^A62,IF(A62='Données projet'!$A$62,'Données projet'!$B$62,AI61+AH62-AQ61)))</f>
        <v>338.55799999999977</v>
      </c>
      <c r="AJ62" s="13">
        <f>AI62*VLOOKUP('Données projet'!$B$10,Paramètres!$A$1:$I$89,3,0)*VLOOKUP('Données projet'!$B$10,Paramètres!$A$1:$I$89,5,0)</f>
        <v>202.45768399999986</v>
      </c>
      <c r="AK62" s="13">
        <f t="shared" si="35"/>
        <v>50.283907747420365</v>
      </c>
      <c r="AL62" s="20">
        <f t="shared" si="4"/>
        <v>440.19160562675683</v>
      </c>
      <c r="AM62" s="59">
        <f t="shared" si="5"/>
        <v>928.59160562675675</v>
      </c>
      <c r="AN62" s="59">
        <f ca="1">AVERAGE(OFFSET($AM$3,0,0,'Données projet'!$E$10+1,1))-AVERAGE(OFFSET($H$3,0,0,'Données projet'!$E$10+1,1))</f>
        <v>243.63945673917135</v>
      </c>
      <c r="AO62" s="59">
        <f t="shared" si="36"/>
        <v>213.14969914288025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14.184829905893272</v>
      </c>
      <c r="AV62" s="21">
        <f>EXP(-LN(2)/25)*AV61+(1-EXP(-LN(2)/25))/(LN(2)/25)*Calculateur!AQ62*Calculateur!AS62*VLOOKUP('Données projet'!$B$10,Paramètres!$A$1:$I$89,3,0)*0.475*44/12</f>
        <v>24.978917817547629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39.163747723440899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18.58285714285714</v>
      </c>
      <c r="BD62" s="12">
        <f>IF('Données projet'!$A$88&gt;35,BD61+BC62-BL61,IF(A62&lt;'Données projet'!$A$88,$BA$205^A62,IF(A62='Données projet'!$A$88,'Données projet'!$B$88,BD61+BC62-BL61)))</f>
        <v>494.6685714285714</v>
      </c>
      <c r="BE62" s="13">
        <f>BD62*VLOOKUP('Données projet'!$B$11,Paramètres!$A$1:$I$89,3,0)*VLOOKUP('Données projet'!$B$11,Paramètres!$A$1:$I$89,5,0)</f>
        <v>276.51973142857139</v>
      </c>
      <c r="BF62" s="13">
        <f t="shared" si="37"/>
        <v>66.230993562988928</v>
      </c>
      <c r="BG62" s="20">
        <f t="shared" si="7"/>
        <v>596.95751269363416</v>
      </c>
      <c r="BH62" s="59">
        <f t="shared" si="8"/>
        <v>1085.3575126936341</v>
      </c>
      <c r="BI62" s="59">
        <f ca="1">AVERAGE(OFFSET($BH$3,0,0,'Données projet'!$E$11+1,1))-AVERAGE(OFFSET($H$3,0,0,'Données projet'!$E$11+1,1))</f>
        <v>357.2406649189378</v>
      </c>
      <c r="BJ62" s="59">
        <f t="shared" si="38"/>
        <v>353.47109765343811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54.808191805588066</v>
      </c>
      <c r="BQ62" s="21">
        <f>EXP(-LN(2)/25)*BQ61+(1-EXP(-LN(2)/25))/(LN(2)/25)*Calculateur!BL62*Calculateur!BN62*VLOOKUP('Données projet'!$B$11,Paramètres!$A$1:$I$89,3,0)*0.475*44/12</f>
        <v>66.288436271764098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121.09662807735216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123.2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26.08319999999998</v>
      </c>
      <c r="D63" s="11">
        <f t="shared" si="32"/>
        <v>8.2233453782130006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201.26506621884948</v>
      </c>
      <c r="H63" s="67">
        <f t="shared" si="1"/>
        <v>511.48389986705428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304</v>
      </c>
      <c r="L63" s="12">
        <f>VLOOKUP(A63,'Données projet'!$A$35:$I$55,9,0)</f>
        <v>9.75</v>
      </c>
      <c r="M63" s="12">
        <f t="array" ref="M63">INDEX(L:L,MIN(IF(ISNUMBER(L63:L259),ROW(L63:L259),"")))</f>
        <v>9.75</v>
      </c>
      <c r="N63" s="13">
        <f>IF('Données projet'!$A$36&gt;35,N62+M63-V62,IF(A63&lt;'Données projet'!$A$36,$K$205^A63,IF(A63='Données projet'!$A$36,'Données projet'!$B$36,N62+M63-V62)))</f>
        <v>304</v>
      </c>
      <c r="O63" s="13">
        <f>N63*VLOOKUP('Données projet'!$B$9,Paramètres!$A$1:$I$89,3,0)*VLOOKUP('Données projet'!$B$9,Paramètres!$A$1:$I$89,5,0)</f>
        <v>189.696</v>
      </c>
      <c r="P63" s="13">
        <f t="shared" si="33"/>
        <v>47.472736505152469</v>
      </c>
      <c r="Q63" s="20">
        <f t="shared" si="53"/>
        <v>413.06888274647389</v>
      </c>
      <c r="R63" s="59">
        <f t="shared" si="0"/>
        <v>901.46888274647381</v>
      </c>
      <c r="S63" s="59">
        <f ca="1">AVERAGE(OFFSET($R$3,0,0,'Données projet'!$E$9+1,1))-AVERAGE(OFFSET($H$3,0,0,'Données projet'!$E$9+1,1))</f>
        <v>216.99952889049467</v>
      </c>
      <c r="T63" s="59">
        <f t="shared" si="34"/>
        <v>340.62742489103783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304</v>
      </c>
      <c r="W63" s="16">
        <f>IF(ISNA(VLOOKUP(A63,'Données projet'!$A$35:$I$55,5,0)),0%,VLOOKUP(A63,'Données projet'!$A$35:$I$55,5,0)*VLOOKUP('Données projet'!$B$9,Paramètres!$A$1:$I$89,7,0))</f>
        <v>0.42</v>
      </c>
      <c r="X63" s="16">
        <f>IF(ISNA(VLOOKUP(A63,'Données projet'!$A$35:$I$55,6,0)),0%,VLOOKUP(A63,'Données projet'!$A$35:$I$55,6,0)*VLOOKUP('Données projet'!$B$9,Paramètres!$A$1:$I$89,7,0))</f>
        <v>0.18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130.06692915785607</v>
      </c>
      <c r="AA63" s="21">
        <f>EXP(-LN(2)/25)*AA62+(1-EXP(-LN(2)/25))/(LN(2)/25)*Calculateur!V63*Calculateur!X63*VLOOKUP('Données projet'!$B$9,Paramètres!$A$1:$I$89,3,0)*0.475*44/12</f>
        <v>106.62423402660477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236.69116318446083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350.41</v>
      </c>
      <c r="AG63" s="12">
        <f>VLOOKUP(A63,'Données projet'!$A$61:$I$81,9,0)</f>
        <v>11.852000000000004</v>
      </c>
      <c r="AH63" s="12">
        <f t="array" ref="AH63">INDEX(AG:AG,MIN(IF(ISNUMBER(AG63:AG259),ROW(AG63:AG259),"")))</f>
        <v>11.852000000000004</v>
      </c>
      <c r="AI63" s="13">
        <f>IF('Données projet'!$A$62&gt;35,AI62+AH63-AQ62,IF(A63&lt;'Données projet'!$A$62,$AF$205^A63,IF(A63='Données projet'!$A$62,'Données projet'!$B$62,AI62+AH63-AQ62)))</f>
        <v>350.40999999999974</v>
      </c>
      <c r="AJ63" s="13">
        <f>AI63*VLOOKUP('Données projet'!$B$10,Paramètres!$A$1:$I$89,3,0)*VLOOKUP('Données projet'!$B$10,Paramètres!$A$1:$I$89,5,0)</f>
        <v>209.54517999999987</v>
      </c>
      <c r="AK63" s="13">
        <f t="shared" si="35"/>
        <v>51.83618354701553</v>
      </c>
      <c r="AL63" s="20">
        <f t="shared" si="4"/>
        <v>455.23920817771847</v>
      </c>
      <c r="AM63" s="59">
        <f t="shared" si="5"/>
        <v>943.63920817771839</v>
      </c>
      <c r="AN63" s="59">
        <f ca="1">AVERAGE(OFFSET($AM$3,0,0,'Données projet'!$E$10+1,1))-AVERAGE(OFFSET($H$3,0,0,'Données projet'!$E$10+1,1))</f>
        <v>243.63945673917135</v>
      </c>
      <c r="AO63" s="59">
        <f t="shared" si="36"/>
        <v>213.14969914288025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63.69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29.821846284077942</v>
      </c>
      <c r="AV63" s="21">
        <f>EXP(-LN(2)/25)*AV62+(1-EXP(-LN(2)/25))/(LN(2)/25)*Calculateur!AQ63*Calculateur!AS63*VLOOKUP('Données projet'!$B$10,Paramètres!$A$1:$I$89,3,0)*0.475*44/12</f>
        <v>31.089800057733779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60.911646341811718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18.58285714285714</v>
      </c>
      <c r="BD63" s="12">
        <f>IF('Données projet'!$A$88&gt;35,BD62+BC63-BL62,IF(A63&lt;'Données projet'!$A$88,$BA$205^A63,IF(A63='Données projet'!$A$88,'Données projet'!$B$88,BD62+BC63-BL62)))</f>
        <v>513.25142857142851</v>
      </c>
      <c r="BE63" s="13">
        <f>BD63*VLOOKUP('Données projet'!$B$11,Paramètres!$A$1:$I$89,3,0)*VLOOKUP('Données projet'!$B$11,Paramètres!$A$1:$I$89,5,0)</f>
        <v>286.90754857142855</v>
      </c>
      <c r="BF63" s="13">
        <f t="shared" si="37"/>
        <v>68.42469555259359</v>
      </c>
      <c r="BG63" s="20">
        <f t="shared" si="7"/>
        <v>618.87032518267199</v>
      </c>
      <c r="BH63" s="59">
        <f t="shared" si="8"/>
        <v>1107.270325182672</v>
      </c>
      <c r="BI63" s="59">
        <f ca="1">AVERAGE(OFFSET($BH$3,0,0,'Données projet'!$E$11+1,1))-AVERAGE(OFFSET($H$3,0,0,'Données projet'!$E$11+1,1))</f>
        <v>357.2406649189378</v>
      </c>
      <c r="BJ63" s="59">
        <f t="shared" si="38"/>
        <v>353.47109765343811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53.733436593976577</v>
      </c>
      <c r="BQ63" s="21">
        <f>EXP(-LN(2)/25)*BQ62+(1-EXP(-LN(2)/25))/(LN(2)/25)*Calculateur!BL63*Calculateur!BN63*VLOOKUP('Données projet'!$B$11,Paramètres!$A$1:$I$89,3,0)*0.475*44/12</f>
        <v>64.475775495955347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118.20921208993192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123.2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26.517919999999979</v>
      </c>
      <c r="D64" s="11">
        <f t="shared" si="32"/>
        <v>8.344331097303014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204.52520643751089</v>
      </c>
      <c r="H64" s="67">
        <f t="shared" si="1"/>
        <v>512.45175399446941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216.99952889049467</v>
      </c>
      <c r="T64" s="59">
        <f t="shared" si="34"/>
        <v>340.62742489103783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127.51639601006381</v>
      </c>
      <c r="AA64" s="21">
        <f>EXP(-LN(2)/25)*AA63+(1-EXP(-LN(2)/25))/(LN(2)/25)*Calculateur!V64*Calculateur!X64*VLOOKUP('Données projet'!$B$9,Paramètres!$A$1:$I$89,3,0)*0.475*44/12</f>
        <v>103.70858874002249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231.22498475008632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10.238999999999999</v>
      </c>
      <c r="AI64" s="13">
        <f>IF('Données projet'!$A$62&gt;35,AI63+AH64-AQ63,IF(A64&lt;'Données projet'!$A$62,$AF$205^A64,IF(A64='Données projet'!$A$62,'Données projet'!$B$62,AI63+AH64-AQ63)))</f>
        <v>296.95899999999972</v>
      </c>
      <c r="AJ64" s="13">
        <f>AI64*VLOOKUP('Données projet'!$B$10,Paramètres!$A$1:$I$89,3,0)*VLOOKUP('Données projet'!$B$10,Paramètres!$A$1:$I$89,5,0)</f>
        <v>177.58148199999985</v>
      </c>
      <c r="AK64" s="13">
        <f t="shared" si="35"/>
        <v>44.783687582701269</v>
      </c>
      <c r="AL64" s="20">
        <f t="shared" si="4"/>
        <v>387.28600368987105</v>
      </c>
      <c r="AM64" s="59">
        <f t="shared" si="5"/>
        <v>875.68600368987097</v>
      </c>
      <c r="AN64" s="59">
        <f ca="1">AVERAGE(OFFSET($AM$3,0,0,'Données projet'!$E$10+1,1))-AVERAGE(OFFSET($H$3,0,0,'Données projet'!$E$10+1,1))</f>
        <v>243.63945673917135</v>
      </c>
      <c r="AO64" s="59">
        <f t="shared" si="36"/>
        <v>213.14969914288025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29.23705806797734</v>
      </c>
      <c r="AV64" s="21">
        <f>EXP(-LN(2)/25)*AV63+(1-EXP(-LN(2)/25))/(LN(2)/25)*Calculateur!AQ64*Calculateur!AS64*VLOOKUP('Données projet'!$B$10,Paramètres!$A$1:$I$89,3,0)*0.475*44/12</f>
        <v>30.239647840213522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59.476705908190866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18.58285714285714</v>
      </c>
      <c r="BD64" s="12">
        <f>IF('Données projet'!$A$88&gt;35,BD63+BC64-BL63,IF(A64&lt;'Données projet'!$A$88,$BA$205^A64,IF(A64='Données projet'!$A$88,'Données projet'!$B$88,BD63+BC64-BL63)))</f>
        <v>531.83428571428567</v>
      </c>
      <c r="BE64" s="13">
        <f>BD64*VLOOKUP('Données projet'!$B$11,Paramètres!$A$1:$I$89,3,0)*VLOOKUP('Données projet'!$B$11,Paramètres!$A$1:$I$89,5,0)</f>
        <v>297.29536571428571</v>
      </c>
      <c r="BF64" s="13">
        <f t="shared" si="37"/>
        <v>70.609169738501635</v>
      </c>
      <c r="BG64" s="20">
        <f t="shared" si="7"/>
        <v>640.7670659136046</v>
      </c>
      <c r="BH64" s="59">
        <f t="shared" si="8"/>
        <v>1129.1670659136046</v>
      </c>
      <c r="BI64" s="59">
        <f ca="1">AVERAGE(OFFSET($BH$3,0,0,'Données projet'!$E$11+1,1))-AVERAGE(OFFSET($H$3,0,0,'Données projet'!$E$11+1,1))</f>
        <v>357.2406649189378</v>
      </c>
      <c r="BJ64" s="59">
        <f t="shared" si="38"/>
        <v>353.47109765343811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52.679756676528839</v>
      </c>
      <c r="BQ64" s="21">
        <f>EXP(-LN(2)/25)*BQ63+(1-EXP(-LN(2)/25))/(LN(2)/25)*Calculateur!BL64*Calculateur!BN64*VLOOKUP('Données projet'!$B$11,Paramètres!$A$1:$I$89,3,0)*0.475*44/12</f>
        <v>62.712682024384776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115.39243870091362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123.2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26.952639999999978</v>
      </c>
      <c r="D65" s="11">
        <f t="shared" si="32"/>
        <v>8.4650861610451784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207.78399347813158</v>
      </c>
      <c r="H65" s="67">
        <f t="shared" si="1"/>
        <v>513.41920639715363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216.99952889049467</v>
      </c>
      <c r="T65" s="59">
        <f t="shared" si="34"/>
        <v>340.62742489103783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125.01587726162816</v>
      </c>
      <c r="AA65" s="21">
        <f>EXP(-LN(2)/25)*AA64+(1-EXP(-LN(2)/25))/(LN(2)/25)*Calculateur!V65*Calculateur!X65*VLOOKUP('Données projet'!$B$9,Paramètres!$A$1:$I$89,3,0)*0.475*44/12</f>
        <v>100.87267192712892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225.88854918875708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10.238999999999999</v>
      </c>
      <c r="AI65" s="13">
        <f>IF('Données projet'!$A$62&gt;35,AI64+AH65-AQ64,IF(A65&lt;'Données projet'!$A$62,$AF$205^A65,IF(A65='Données projet'!$A$62,'Données projet'!$B$62,AI64+AH65-AQ64)))</f>
        <v>307.19799999999969</v>
      </c>
      <c r="AJ65" s="13">
        <f>AI65*VLOOKUP('Données projet'!$B$10,Paramètres!$A$1:$I$89,3,0)*VLOOKUP('Données projet'!$B$10,Paramètres!$A$1:$I$89,5,0)</f>
        <v>183.70440399999984</v>
      </c>
      <c r="AK65" s="13">
        <f t="shared" si="35"/>
        <v>46.145368140141613</v>
      </c>
      <c r="AL65" s="20">
        <f t="shared" si="4"/>
        <v>400.32168647741304</v>
      </c>
      <c r="AM65" s="59">
        <f t="shared" si="5"/>
        <v>888.72168647741296</v>
      </c>
      <c r="AN65" s="59">
        <f ca="1">AVERAGE(OFFSET($AM$3,0,0,'Données projet'!$E$10+1,1))-AVERAGE(OFFSET($H$3,0,0,'Données projet'!$E$10+1,1))</f>
        <v>243.63945673917135</v>
      </c>
      <c r="AO65" s="59">
        <f t="shared" si="36"/>
        <v>213.14969914288025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28.663737192108879</v>
      </c>
      <c r="AV65" s="21">
        <f>EXP(-LN(2)/25)*AV64+(1-EXP(-LN(2)/25))/(LN(2)/25)*Calculateur!AQ65*Calculateur!AS65*VLOOKUP('Données projet'!$B$10,Paramètres!$A$1:$I$89,3,0)*0.475*44/12</f>
        <v>29.412743079788918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58.076480271897793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18.58285714285714</v>
      </c>
      <c r="BD65" s="12">
        <f>IF('Données projet'!$A$88&gt;35,BD64+BC65-BL64,IF(A65&lt;'Données projet'!$A$88,$BA$205^A65,IF(A65='Données projet'!$A$88,'Données projet'!$B$88,BD64+BC65-BL64)))</f>
        <v>550.41714285714284</v>
      </c>
      <c r="BE65" s="13">
        <f>BD65*VLOOKUP('Données projet'!$B$11,Paramètres!$A$1:$I$89,3,0)*VLOOKUP('Données projet'!$B$11,Paramètres!$A$1:$I$89,5,0)</f>
        <v>307.68318285714287</v>
      </c>
      <c r="BF65" s="13">
        <f t="shared" si="37"/>
        <v>72.784775498421325</v>
      </c>
      <c r="BG65" s="20">
        <f t="shared" si="7"/>
        <v>662.64836080260761</v>
      </c>
      <c r="BH65" s="59">
        <f t="shared" si="8"/>
        <v>1151.0483608026075</v>
      </c>
      <c r="BI65" s="59">
        <f ca="1">AVERAGE(OFFSET($BH$3,0,0,'Données projet'!$E$11+1,1))-AVERAGE(OFFSET($H$3,0,0,'Données projet'!$E$11+1,1))</f>
        <v>357.2406649189378</v>
      </c>
      <c r="BJ65" s="59">
        <f t="shared" si="38"/>
        <v>353.47109765343811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51.646738779580964</v>
      </c>
      <c r="BQ65" s="21">
        <f>EXP(-LN(2)/25)*BQ64+(1-EXP(-LN(2)/25))/(LN(2)/25)*Calculateur!BL65*Calculateur!BN65*VLOOKUP('Données projet'!$B$11,Paramètres!$A$1:$I$89,3,0)*0.475*44/12</f>
        <v>60.997800436511362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112.64453921609233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123.2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27.387359999999976</v>
      </c>
      <c r="D66" s="11">
        <f t="shared" si="32"/>
        <v>8.5856147191900476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211.04145168591478</v>
      </c>
      <c r="H66" s="67">
        <f t="shared" si="1"/>
        <v>514.38626430258932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216.99952889049467</v>
      </c>
      <c r="T66" s="59">
        <f t="shared" si="34"/>
        <v>340.62742489103783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122.56439216068348</v>
      </c>
      <c r="AA66" s="21">
        <f>EXP(-LN(2)/25)*AA65+(1-EXP(-LN(2)/25))/(LN(2)/25)*Calculateur!V66*Calculateur!X66*VLOOKUP('Données projet'!$B$9,Paramètres!$A$1:$I$89,3,0)*0.475*44/12</f>
        <v>98.114303408618312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220.67869556930179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10.238999999999999</v>
      </c>
      <c r="AI66" s="13">
        <f>IF('Données projet'!$A$62&gt;35,AI65+AH66-AQ65,IF(A66&lt;'Données projet'!$A$62,$AF$205^A66,IF(A66='Données projet'!$A$62,'Données projet'!$B$62,AI65+AH66-AQ65)))</f>
        <v>317.43699999999967</v>
      </c>
      <c r="AJ66" s="13">
        <f>AI66*VLOOKUP('Données projet'!$B$10,Paramètres!$A$1:$I$89,3,0)*VLOOKUP('Données projet'!$B$10,Paramètres!$A$1:$I$89,5,0)</f>
        <v>189.8273259999998</v>
      </c>
      <c r="AK66" s="13">
        <f t="shared" si="35"/>
        <v>47.501775061584858</v>
      </c>
      <c r="AL66" s="20">
        <f t="shared" si="4"/>
        <v>413.34818434892662</v>
      </c>
      <c r="AM66" s="59">
        <f t="shared" si="5"/>
        <v>901.74818434892654</v>
      </c>
      <c r="AN66" s="59">
        <f ca="1">AVERAGE(OFFSET($AM$3,0,0,'Données projet'!$E$10+1,1))-AVERAGE(OFFSET($H$3,0,0,'Données projet'!$E$10+1,1))</f>
        <v>243.63945673917135</v>
      </c>
      <c r="AO66" s="59">
        <f t="shared" si="36"/>
        <v>213.14969914288025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28.101658788924993</v>
      </c>
      <c r="AV66" s="21">
        <f>EXP(-LN(2)/25)*AV65+(1-EXP(-LN(2)/25))/(LN(2)/25)*Calculateur!AQ66*Calculateur!AS66*VLOOKUP('Données projet'!$B$10,Paramètres!$A$1:$I$89,3,0)*0.475*44/12</f>
        <v>28.608450073523155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56.710108862448152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569</v>
      </c>
      <c r="BB66" s="12">
        <f>VLOOKUP(A66,'Données projet'!$A$87:$I$107,9,0)</f>
        <v>18.58285714285714</v>
      </c>
      <c r="BC66" s="12">
        <f t="array" ref="BC66">INDEX(BB:BB,MIN(IF(ISNUMBER(BB66:BB262),ROW(BB66:BB262),"")))</f>
        <v>18.58285714285714</v>
      </c>
      <c r="BD66" s="12">
        <f>IF('Données projet'!$A$88&gt;35,BD65+BC66-BL65,IF(A66&lt;'Données projet'!$A$88,$BA$205^A66,IF(A66='Données projet'!$A$88,'Données projet'!$B$88,BD65+BC66-BL65)))</f>
        <v>569</v>
      </c>
      <c r="BE66" s="13">
        <f>BD66*VLOOKUP('Données projet'!$B$11,Paramètres!$A$1:$I$89,3,0)*VLOOKUP('Données projet'!$B$11,Paramètres!$A$1:$I$89,5,0)</f>
        <v>318.07099999999997</v>
      </c>
      <c r="BF66" s="13">
        <f t="shared" si="37"/>
        <v>74.951846567144685</v>
      </c>
      <c r="BG66" s="20">
        <f t="shared" si="7"/>
        <v>684.51479110444359</v>
      </c>
      <c r="BH66" s="59">
        <f t="shared" si="8"/>
        <v>1172.9147911044436</v>
      </c>
      <c r="BI66" s="59">
        <f ca="1">AVERAGE(OFFSET($BH$3,0,0,'Données projet'!$E$11+1,1))-AVERAGE(OFFSET($H$3,0,0,'Données projet'!$E$11+1,1))</f>
        <v>357.2406649189378</v>
      </c>
      <c r="BJ66" s="59">
        <f t="shared" si="38"/>
        <v>353.47109765343811</v>
      </c>
      <c r="BK66" s="15">
        <f>IF(ISNA(VLOOKUP(A66,'Données projet'!$A$87:$I$107,3,0)),0,VLOOKUP(A66,'Données projet'!$A$87:$I$107,3,0))</f>
        <v>7</v>
      </c>
      <c r="BL66" s="15">
        <f>IF(ISNA(VLOOKUP(A66,'Données projet'!$A$87:$I$107,4,0)),0,VLOOKUP(A66,'Données projet'!$A$87:$I$107,4,0))</f>
        <v>99.49</v>
      </c>
      <c r="BM66" s="16">
        <f>IF(ISNA(VLOOKUP(A66,'Données projet'!$A$87:$I$107,5,0)),0%,VLOOKUP(A66,'Données projet'!$A$87:$I$107,5,0)*VLOOKUP('Données projet'!$B$11,Paramètres!$A$1:$I$89,7,0))</f>
        <v>0.38500000000000001</v>
      </c>
      <c r="BN66" s="16">
        <f>IF(ISNA(VLOOKUP(A66,'Données projet'!$A$87:$I$107,6,0)),0%,VLOOKUP(A66,'Données projet'!$A$87:$I$107,6,0)*VLOOKUP('Données projet'!$B$11,Paramètres!$A$1:$I$89,7,0))</f>
        <v>0.16500000000000001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79.038031410924106</v>
      </c>
      <c r="BQ66" s="21">
        <f>EXP(-LN(2)/25)*BQ65+(1-EXP(-LN(2)/25))/(LN(2)/25)*Calculateur!BL66*Calculateur!BN66*VLOOKUP('Données projet'!$B$11,Paramètres!$A$1:$I$89,3,0)*0.475*44/12</f>
        <v>71.455047845249908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150.49307925617401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123.2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27.822079999999975</v>
      </c>
      <c r="D67" s="11">
        <f t="shared" si="32"/>
        <v>8.7059207821941236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214.29760458887208</v>
      </c>
      <c r="H67" s="67">
        <f t="shared" si="1"/>
        <v>515.35293469565477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216.99952889049467</v>
      </c>
      <c r="T67" s="59">
        <f t="shared" si="34"/>
        <v>340.62742489103783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120.16097918731006</v>
      </c>
      <c r="AA67" s="21">
        <f>EXP(-LN(2)/25)*AA66+(1-EXP(-LN(2)/25))/(LN(2)/25)*Calculateur!V67*Calculateur!X67*VLOOKUP('Données projet'!$B$9,Paramètres!$A$1:$I$89,3,0)*0.475*44/12</f>
        <v>95.431362622302672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215.59234180961272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10.238999999999999</v>
      </c>
      <c r="AI67" s="13">
        <f>IF('Données projet'!$A$62&gt;35,AI66+AH67-AQ66,IF(A67&lt;'Données projet'!$A$62,$AF$205^A67,IF(A67='Données projet'!$A$62,'Données projet'!$B$62,AI66+AH67-AQ66)))</f>
        <v>327.67599999999965</v>
      </c>
      <c r="AJ67" s="13">
        <f>AI67*VLOOKUP('Données projet'!$B$10,Paramètres!$A$1:$I$89,3,0)*VLOOKUP('Données projet'!$B$10,Paramètres!$A$1:$I$89,5,0)</f>
        <v>195.95024799999979</v>
      </c>
      <c r="AK67" s="13">
        <f t="shared" si="35"/>
        <v>48.853097959920042</v>
      </c>
      <c r="AL67" s="20">
        <f t="shared" si="4"/>
        <v>426.36582754686032</v>
      </c>
      <c r="AM67" s="59">
        <f t="shared" si="5"/>
        <v>914.76582754686024</v>
      </c>
      <c r="AN67" s="59">
        <f ca="1">AVERAGE(OFFSET($AM$3,0,0,'Données projet'!$E$10+1,1))-AVERAGE(OFFSET($H$3,0,0,'Données projet'!$E$10+1,1))</f>
        <v>243.63945673917135</v>
      </c>
      <c r="AO67" s="59">
        <f t="shared" si="36"/>
        <v>213.14969914288025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27.550602400393569</v>
      </c>
      <c r="AV67" s="21">
        <f>EXP(-LN(2)/25)*AV66+(1-EXP(-LN(2)/25))/(LN(2)/25)*Calculateur!AQ67*Calculateur!AS67*VLOOKUP('Données projet'!$B$10,Paramètres!$A$1:$I$89,3,0)*0.475*44/12</f>
        <v>27.826150501809661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55.376752902203229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16.649999999999995</v>
      </c>
      <c r="BD67" s="12">
        <f>IF('Données projet'!$A$88&gt;35,BD66+BC67-BL66,IF(A67&lt;'Données projet'!$A$88,$BA$205^A67,IF(A67='Données projet'!$A$88,'Données projet'!$B$88,BD66+BC67-BL66)))</f>
        <v>486.15999999999997</v>
      </c>
      <c r="BE67" s="13">
        <f>BD67*VLOOKUP('Données projet'!$B$11,Paramètres!$A$1:$I$89,3,0)*VLOOKUP('Données projet'!$B$11,Paramètres!$A$1:$I$89,5,0)</f>
        <v>271.76343999999995</v>
      </c>
      <c r="BF67" s="13">
        <f t="shared" si="37"/>
        <v>65.223373848342817</v>
      </c>
      <c r="BG67" s="20">
        <f t="shared" si="7"/>
        <v>586.91870078586362</v>
      </c>
      <c r="BH67" s="59">
        <f t="shared" si="8"/>
        <v>1075.3187007858635</v>
      </c>
      <c r="BI67" s="59">
        <f ca="1">AVERAGE(OFFSET($BH$3,0,0,'Données projet'!$E$11+1,1))-AVERAGE(OFFSET($H$3,0,0,'Données projet'!$E$11+1,1))</f>
        <v>357.2406649189378</v>
      </c>
      <c r="BJ67" s="59">
        <f t="shared" si="38"/>
        <v>353.47109765343811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77.48814382339485</v>
      </c>
      <c r="BQ67" s="21">
        <f>EXP(-LN(2)/25)*BQ66+(1-EXP(-LN(2)/25))/(LN(2)/25)*Calculateur!BL67*Calculateur!BN67*VLOOKUP('Données projet'!$B$11,Paramètres!$A$1:$I$89,3,0)*0.475*44/12</f>
        <v>69.501105804263901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146.98924962765875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123.2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28.256799999999973</v>
      </c>
      <c r="D68" s="11">
        <f t="shared" si="32"/>
        <v>8.8260082279975549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217.55247493758552</v>
      </c>
      <c r="H68" s="67">
        <f t="shared" ref="H68:H131" si="56">(B68+E68+F68)*44/12+(C68+D68)*0.475*44/12</f>
        <v>516.31922433042905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216.99952889049467</v>
      </c>
      <c r="T68" s="59">
        <f t="shared" si="34"/>
        <v>340.62742489103783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117.80469567640733</v>
      </c>
      <c r="AA68" s="21">
        <f>EXP(-LN(2)/25)*AA67+(1-EXP(-LN(2)/25))/(LN(2)/25)*Calculateur!V68*Calculateur!X68*VLOOKUP('Données projet'!$B$9,Paramètres!$A$1:$I$89,3,0)*0.475*44/12</f>
        <v>92.821786992878557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210.62648266928591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10.238999999999999</v>
      </c>
      <c r="AI68" s="13">
        <f>IF('Données projet'!$A$62&gt;35,AI67+AH68-AQ67,IF(A68&lt;'Données projet'!$A$62,$AF$205^A68,IF(A68='Données projet'!$A$62,'Données projet'!$B$62,AI67+AH68-AQ67)))</f>
        <v>337.91499999999962</v>
      </c>
      <c r="AJ68" s="13">
        <f>AI68*VLOOKUP('Données projet'!$B$10,Paramètres!$A$1:$I$89,3,0)*VLOOKUP('Données projet'!$B$10,Paramètres!$A$1:$I$89,5,0)</f>
        <v>202.07316999999978</v>
      </c>
      <c r="AK68" s="13">
        <f t="shared" si="35"/>
        <v>50.199513925178543</v>
      </c>
      <c r="AL68" s="20">
        <f t="shared" ref="AL68:AL131" si="58">(AJ68+AK68)*0.475*44/12</f>
        <v>439.37492450301892</v>
      </c>
      <c r="AM68" s="59">
        <f t="shared" ref="AM68:AM131" si="59">AL68+(AD68+AE68)*44/12</f>
        <v>927.77492450301884</v>
      </c>
      <c r="AN68" s="59">
        <f ca="1">AVERAGE(OFFSET($AM$3,0,0,'Données projet'!$E$10+1,1))-AVERAGE(OFFSET($H$3,0,0,'Données projet'!$E$10+1,1))</f>
        <v>243.63945673917135</v>
      </c>
      <c r="AO68" s="59">
        <f t="shared" si="36"/>
        <v>213.14969914288025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27.010351891530036</v>
      </c>
      <c r="AV68" s="21">
        <f>EXP(-LN(2)/25)*AV67+(1-EXP(-LN(2)/25))/(LN(2)/25)*Calculateur!AQ68*Calculateur!AS68*VLOOKUP('Données projet'!$B$10,Paramètres!$A$1:$I$89,3,0)*0.475*44/12</f>
        <v>27.065242953024018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54.075594844554054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16.649999999999995</v>
      </c>
      <c r="BD68" s="12">
        <f>IF('Données projet'!$A$88&gt;35,BD67+BC68-BL67,IF(A68&lt;'Données projet'!$A$88,$BA$205^A68,IF(A68='Données projet'!$A$88,'Données projet'!$B$88,BD67+BC68-BL67)))</f>
        <v>502.80999999999995</v>
      </c>
      <c r="BE68" s="13">
        <f>BD68*VLOOKUP('Données projet'!$B$11,Paramètres!$A$1:$I$89,3,0)*VLOOKUP('Données projet'!$B$11,Paramètres!$A$1:$I$89,5,0)</f>
        <v>281.07078999999999</v>
      </c>
      <c r="BF68" s="13">
        <f t="shared" si="37"/>
        <v>67.193247295825813</v>
      </c>
      <c r="BG68" s="20">
        <f t="shared" ref="BG68:BG131" si="61">(BE68+BF68)*0.475*44/12</f>
        <v>606.5598649568966</v>
      </c>
      <c r="BH68" s="59">
        <f t="shared" ref="BH68:BH131" si="62">BG68+(AY68+AZ68)*44/12</f>
        <v>1094.9598649568966</v>
      </c>
      <c r="BI68" s="59">
        <f ca="1">AVERAGE(OFFSET($BH$3,0,0,'Données projet'!$E$11+1,1))-AVERAGE(OFFSET($H$3,0,0,'Données projet'!$E$11+1,1))</f>
        <v>357.2406649189378</v>
      </c>
      <c r="BJ68" s="59">
        <f t="shared" si="38"/>
        <v>353.47109765343811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75.96864858611896</v>
      </c>
      <c r="BQ68" s="21">
        <f>EXP(-LN(2)/25)*BQ67+(1-EXP(-LN(2)/25))/(LN(2)/25)*Calculateur!BL68*Calculateur!BN68*VLOOKUP('Données projet'!$B$11,Paramètres!$A$1:$I$89,3,0)*0.475*44/12</f>
        <v>67.600594411141998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143.56924299726097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123.2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28.691519999999972</v>
      </c>
      <c r="D69" s="11">
        <f t="shared" ref="D69:D132" si="86">IFERROR(EXP(-1.0587+0.8836*LN(C69)+0.284),0)</f>
        <v>8.9458808083728947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220.80608474245415</v>
      </c>
      <c r="H69" s="67">
        <f t="shared" si="56"/>
        <v>517.2851397412494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216.99952889049467</v>
      </c>
      <c r="T69" s="59">
        <f t="shared" ref="T69:T132" si="88">$T$3</f>
        <v>340.62742489103783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115.49461744796238</v>
      </c>
      <c r="AA69" s="21">
        <f>EXP(-LN(2)/25)*AA68+(1-EXP(-LN(2)/25))/(LN(2)/25)*Calculateur!V69*Calculateur!X69*VLOOKUP('Données projet'!$B$9,Paramètres!$A$1:$I$89,3,0)*0.475*44/12</f>
        <v>90.283570346272668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205.77818779423507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10.238999999999999</v>
      </c>
      <c r="AI69" s="13">
        <f>IF('Données projet'!$A$62&gt;35,AI68+AH69-AQ68,IF(A69&lt;'Données projet'!$A$62,$AF$205^A69,IF(A69='Données projet'!$A$62,'Données projet'!$B$62,AI68+AH69-AQ68)))</f>
        <v>348.1539999999996</v>
      </c>
      <c r="AJ69" s="13">
        <f>AI69*VLOOKUP('Données projet'!$B$10,Paramètres!$A$1:$I$89,3,0)*VLOOKUP('Données projet'!$B$10,Paramètres!$A$1:$I$89,5,0)</f>
        <v>208.19609199999977</v>
      </c>
      <c r="AK69" s="13">
        <f t="shared" ref="AK69:AK132" si="89">EXP(-1.0587+0.8836*LN(AJ69)+0.284)</f>
        <v>51.541188705701558</v>
      </c>
      <c r="AL69" s="20">
        <f t="shared" si="58"/>
        <v>452.37576389576316</v>
      </c>
      <c r="AM69" s="59">
        <f t="shared" si="59"/>
        <v>940.77576389576302</v>
      </c>
      <c r="AN69" s="59">
        <f ca="1">AVERAGE(OFFSET($AM$3,0,0,'Données projet'!$E$10+1,1))-AVERAGE(OFFSET($H$3,0,0,'Données projet'!$E$10+1,1))</f>
        <v>243.63945673917135</v>
      </c>
      <c r="AO69" s="59">
        <f t="shared" ref="AO69:AO132" si="90">$AO$3</f>
        <v>213.14969914288025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26.480695365625046</v>
      </c>
      <c r="AV69" s="21">
        <f>EXP(-LN(2)/25)*AV68+(1-EXP(-LN(2)/25))/(LN(2)/25)*Calculateur!AQ69*Calculateur!AS69*VLOOKUP('Données projet'!$B$10,Paramètres!$A$1:$I$89,3,0)*0.475*44/12</f>
        <v>26.325142461174309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52.805837826799355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16.649999999999995</v>
      </c>
      <c r="BD69" s="12">
        <f>IF('Données projet'!$A$88&gt;35,BD68+BC69-BL68,IF(A69&lt;'Données projet'!$A$88,$BA$205^A69,IF(A69='Données projet'!$A$88,'Données projet'!$B$88,BD68+BC69-BL68)))</f>
        <v>519.45999999999992</v>
      </c>
      <c r="BE69" s="13">
        <f>BD69*VLOOKUP('Données projet'!$B$11,Paramètres!$A$1:$I$89,3,0)*VLOOKUP('Données projet'!$B$11,Paramètres!$A$1:$I$89,5,0)</f>
        <v>290.37813999999997</v>
      </c>
      <c r="BF69" s="13">
        <f t="shared" ref="BF69:BF132" si="91">EXP(-1.0587+0.8836*LN(BE69)+0.284)</f>
        <v>69.155541099812666</v>
      </c>
      <c r="BG69" s="20">
        <f t="shared" si="61"/>
        <v>626.187827915507</v>
      </c>
      <c r="BH69" s="59">
        <f t="shared" si="62"/>
        <v>1114.587827915507</v>
      </c>
      <c r="BI69" s="59">
        <f ca="1">AVERAGE(OFFSET($BH$3,0,0,'Données projet'!$E$11+1,1))-AVERAGE(OFFSET($H$3,0,0,'Données projet'!$E$11+1,1))</f>
        <v>357.2406649189378</v>
      </c>
      <c r="BJ69" s="59">
        <f t="shared" ref="BJ69:BJ132" si="92">$BJ$3</f>
        <v>353.47109765343811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74.478949723645471</v>
      </c>
      <c r="BQ69" s="21">
        <f>EXP(-LN(2)/25)*BQ68+(1-EXP(-LN(2)/25))/(LN(2)/25)*Calculateur!BL69*Calculateur!BN69*VLOOKUP('Données projet'!$B$11,Paramètres!$A$1:$I$89,3,0)*0.475*44/12</f>
        <v>65.752052602008561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140.23100232565403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123.2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29.126239999999971</v>
      </c>
      <c r="D70" s="11">
        <f t="shared" si="86"/>
        <v>9.065542154878143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224.05845530861828</v>
      </c>
      <c r="H70" s="67">
        <f t="shared" si="56"/>
        <v>518.25068725307938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216.99952889049467</v>
      </c>
      <c r="T70" s="59">
        <f t="shared" si="88"/>
        <v>340.62742489103783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113.22983844456864</v>
      </c>
      <c r="AA70" s="21">
        <f>EXP(-LN(2)/25)*AA69+(1-EXP(-LN(2)/25))/(LN(2)/25)*Calculateur!V70*Calculateur!X70*VLOOKUP('Données projet'!$B$9,Paramètres!$A$1:$I$89,3,0)*0.475*44/12</f>
        <v>87.814761367347231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201.04459981191587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10.238999999999999</v>
      </c>
      <c r="AI70" s="13">
        <f>IF('Données projet'!$A$62&gt;35,AI69+AH70-AQ69,IF(A70&lt;'Données projet'!$A$62,$AF$205^A70,IF(A70='Données projet'!$A$62,'Données projet'!$B$62,AI69+AH70-AQ69)))</f>
        <v>358.39299999999957</v>
      </c>
      <c r="AJ70" s="13">
        <f>AI70*VLOOKUP('Données projet'!$B$10,Paramètres!$A$1:$I$89,3,0)*VLOOKUP('Données projet'!$B$10,Paramètres!$A$1:$I$89,5,0)</f>
        <v>214.31901399999975</v>
      </c>
      <c r="AK70" s="13">
        <f t="shared" si="89"/>
        <v>52.878277746453307</v>
      </c>
      <c r="AL70" s="20">
        <f t="shared" si="58"/>
        <v>465.36861645840571</v>
      </c>
      <c r="AM70" s="59">
        <f t="shared" si="59"/>
        <v>953.76861645840563</v>
      </c>
      <c r="AN70" s="59">
        <f ca="1">AVERAGE(OFFSET($AM$3,0,0,'Données projet'!$E$10+1,1))-AVERAGE(OFFSET($H$3,0,0,'Données projet'!$E$10+1,1))</f>
        <v>243.63945673917135</v>
      </c>
      <c r="AO70" s="59">
        <f t="shared" si="90"/>
        <v>213.14969914288025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25.961425081134472</v>
      </c>
      <c r="AV70" s="21">
        <f>EXP(-LN(2)/25)*AV69+(1-EXP(-LN(2)/25))/(LN(2)/25)*Calculateur!AQ70*Calculateur!AS70*VLOOKUP('Données projet'!$B$10,Paramètres!$A$1:$I$89,3,0)*0.475*44/12</f>
        <v>25.605280056194424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51.566705137328896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16.649999999999995</v>
      </c>
      <c r="BD70" s="12">
        <f>IF('Données projet'!$A$88&gt;35,BD69+BC70-BL69,IF(A70&lt;'Données projet'!$A$88,$BA$205^A70,IF(A70='Données projet'!$A$88,'Données projet'!$B$88,BD69+BC70-BL69)))</f>
        <v>536.1099999999999</v>
      </c>
      <c r="BE70" s="13">
        <f>BD70*VLOOKUP('Données projet'!$B$11,Paramètres!$A$1:$I$89,3,0)*VLOOKUP('Données projet'!$B$11,Paramètres!$A$1:$I$89,5,0)</f>
        <v>299.68548999999996</v>
      </c>
      <c r="BF70" s="13">
        <f t="shared" si="91"/>
        <v>71.110526074734537</v>
      </c>
      <c r="BG70" s="20">
        <f t="shared" si="61"/>
        <v>645.80306133016256</v>
      </c>
      <c r="BH70" s="59">
        <f t="shared" si="62"/>
        <v>1134.2030613301624</v>
      </c>
      <c r="BI70" s="59">
        <f ca="1">AVERAGE(OFFSET($BH$3,0,0,'Données projet'!$E$11+1,1))-AVERAGE(OFFSET($H$3,0,0,'Données projet'!$E$11+1,1))</f>
        <v>357.2406649189378</v>
      </c>
      <c r="BJ70" s="59">
        <f t="shared" si="92"/>
        <v>353.47109765343811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73.018462947238504</v>
      </c>
      <c r="BQ70" s="21">
        <f>EXP(-LN(2)/25)*BQ69+(1-EXP(-LN(2)/25))/(LN(2)/25)*Calculateur!BL70*Calculateur!BN70*VLOOKUP('Données projet'!$B$11,Paramètres!$A$1:$I$89,3,0)*0.475*44/12</f>
        <v>63.954059265856472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136.97252221309498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123.2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29.560959999999969</v>
      </c>
      <c r="D71" s="11">
        <f t="shared" si="86"/>
        <v>9.1849957844443253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227.30960726873988</v>
      </c>
      <c r="H71" s="67">
        <f t="shared" si="56"/>
        <v>519.21587299124053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216.99952889049467</v>
      </c>
      <c r="T71" s="59">
        <f t="shared" si="88"/>
        <v>340.62742489103783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111.00947037605266</v>
      </c>
      <c r="AA71" s="21">
        <f>EXP(-LN(2)/25)*AA70+(1-EXP(-LN(2)/25))/(LN(2)/25)*Calculateur!V71*Calculateur!X71*VLOOKUP('Données projet'!$B$9,Paramètres!$A$1:$I$89,3,0)*0.475*44/12</f>
        <v>85.413462099779522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196.42293247583217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10.238999999999999</v>
      </c>
      <c r="AI71" s="13">
        <f>IF('Données projet'!$A$62&gt;35,AI70+AH71-AQ70,IF(A71&lt;'Données projet'!$A$62,$AF$205^A71,IF(A71='Données projet'!$A$62,'Données projet'!$B$62,AI70+AH71-AQ70)))</f>
        <v>368.63199999999955</v>
      </c>
      <c r="AJ71" s="13">
        <f>AI71*VLOOKUP('Données projet'!$B$10,Paramètres!$A$1:$I$89,3,0)*VLOOKUP('Données projet'!$B$10,Paramètres!$A$1:$I$89,5,0)</f>
        <v>220.44193599999974</v>
      </c>
      <c r="AK71" s="13">
        <f t="shared" si="89"/>
        <v>54.210927105344112</v>
      </c>
      <c r="AL71" s="20">
        <f t="shared" si="58"/>
        <v>478.35373657514043</v>
      </c>
      <c r="AM71" s="59">
        <f t="shared" si="59"/>
        <v>966.75373657514035</v>
      </c>
      <c r="AN71" s="59">
        <f ca="1">AVERAGE(OFFSET($AM$3,0,0,'Données projet'!$E$10+1,1))-AVERAGE(OFFSET($H$3,0,0,'Données projet'!$E$10+1,1))</f>
        <v>243.63945673917135</v>
      </c>
      <c r="AO71" s="59">
        <f t="shared" si="90"/>
        <v>213.14969914288025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25.452337370199157</v>
      </c>
      <c r="AV71" s="21">
        <f>EXP(-LN(2)/25)*AV70+(1-EXP(-LN(2)/25))/(LN(2)/25)*Calculateur!AQ71*Calculateur!AS71*VLOOKUP('Données projet'!$B$10,Paramètres!$A$1:$I$89,3,0)*0.475*44/12</f>
        <v>24.905102326534632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50.357439696733792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16.649999999999995</v>
      </c>
      <c r="BD71" s="12">
        <f>IF('Données projet'!$A$88&gt;35,BD70+BC71-BL70,IF(A71&lt;'Données projet'!$A$88,$BA$205^A71,IF(A71='Données projet'!$A$88,'Données projet'!$B$88,BD70+BC71-BL70)))</f>
        <v>552.75999999999988</v>
      </c>
      <c r="BE71" s="13">
        <f>BD71*VLOOKUP('Données projet'!$B$11,Paramètres!$A$1:$I$89,3,0)*VLOOKUP('Données projet'!$B$11,Paramètres!$A$1:$I$89,5,0)</f>
        <v>308.99283999999994</v>
      </c>
      <c r="BF71" s="13">
        <f t="shared" si="91"/>
        <v>73.058455258084479</v>
      </c>
      <c r="BG71" s="20">
        <f t="shared" si="61"/>
        <v>665.40600590783038</v>
      </c>
      <c r="BH71" s="59">
        <f t="shared" si="62"/>
        <v>1153.8060059078302</v>
      </c>
      <c r="BI71" s="59">
        <f ca="1">AVERAGE(OFFSET($BH$3,0,0,'Données projet'!$E$11+1,1))-AVERAGE(OFFSET($H$3,0,0,'Données projet'!$E$11+1,1))</f>
        <v>357.2406649189378</v>
      </c>
      <c r="BJ71" s="59">
        <f t="shared" si="92"/>
        <v>353.47109765343811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71.586615425707905</v>
      </c>
      <c r="BQ71" s="21">
        <f>EXP(-LN(2)/25)*BQ70+(1-EXP(-LN(2)/25))/(LN(2)/25)*Calculateur!BL71*Calculateur!BN71*VLOOKUP('Données projet'!$B$11,Paramètres!$A$1:$I$89,3,0)*0.475*44/12</f>
        <v>62.205232152033815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133.79184757774172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123.2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29.995679999999968</v>
      </c>
      <c r="D72" s="11">
        <f t="shared" si="86"/>
        <v>9.3042451046250232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230.55956061379996</v>
      </c>
      <c r="H72" s="67">
        <f t="shared" si="56"/>
        <v>520.18070289055527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216.99952889049467</v>
      </c>
      <c r="T72" s="59">
        <f t="shared" si="88"/>
        <v>340.62742489103783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108.83264237106948</v>
      </c>
      <c r="AA72" s="21">
        <f>EXP(-LN(2)/25)*AA71+(1-EXP(-LN(2)/25))/(LN(2)/25)*Calculateur!V72*Calculateur!X72*VLOOKUP('Données projet'!$B$9,Paramètres!$A$1:$I$89,3,0)*0.475*44/12</f>
        <v>83.077826486962294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191.91046885803178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10.238999999999999</v>
      </c>
      <c r="AI72" s="13">
        <f>IF('Données projet'!$A$62&gt;35,AI71+AH72-AQ71,IF(A72&lt;'Données projet'!$A$62,$AF$205^A72,IF(A72='Données projet'!$A$62,'Données projet'!$B$62,AI71+AH72-AQ71)))</f>
        <v>378.87099999999953</v>
      </c>
      <c r="AJ72" s="13">
        <f>AI72*VLOOKUP('Données projet'!$B$10,Paramètres!$A$1:$I$89,3,0)*VLOOKUP('Données projet'!$B$10,Paramètres!$A$1:$I$89,5,0)</f>
        <v>226.56485799999973</v>
      </c>
      <c r="AK72" s="13">
        <f t="shared" si="89"/>
        <v>55.539274264885066</v>
      </c>
      <c r="AL72" s="20">
        <f t="shared" si="58"/>
        <v>491.33136369467434</v>
      </c>
      <c r="AM72" s="59">
        <f t="shared" si="59"/>
        <v>979.7313636946742</v>
      </c>
      <c r="AN72" s="59">
        <f ca="1">AVERAGE(OFFSET($AM$3,0,0,'Données projet'!$E$10+1,1))-AVERAGE(OFFSET($H$3,0,0,'Données projet'!$E$10+1,1))</f>
        <v>243.63945673917135</v>
      </c>
      <c r="AO72" s="59">
        <f t="shared" si="90"/>
        <v>213.14969914288025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24.953232558762441</v>
      </c>
      <c r="AV72" s="21">
        <f>EXP(-LN(2)/25)*AV71+(1-EXP(-LN(2)/25))/(LN(2)/25)*Calculateur!AQ72*Calculateur!AS72*VLOOKUP('Données projet'!$B$10,Paramètres!$A$1:$I$89,3,0)*0.475*44/12</f>
        <v>24.224070993713131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49.177303552475571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16.649999999999995</v>
      </c>
      <c r="BD72" s="12">
        <f>IF('Données projet'!$A$88&gt;35,BD71+BC72-BL71,IF(A72&lt;'Données projet'!$A$88,$BA$205^A72,IF(A72='Données projet'!$A$88,'Données projet'!$B$88,BD71+BC72-BL71)))</f>
        <v>569.40999999999985</v>
      </c>
      <c r="BE72" s="13">
        <f>BD72*VLOOKUP('Données projet'!$B$11,Paramètres!$A$1:$I$89,3,0)*VLOOKUP('Données projet'!$B$11,Paramètres!$A$1:$I$89,5,0)</f>
        <v>318.30018999999993</v>
      </c>
      <c r="BF72" s="13">
        <f t="shared" si="91"/>
        <v>74.999565577256092</v>
      </c>
      <c r="BG72" s="20">
        <f t="shared" si="61"/>
        <v>684.99707429705416</v>
      </c>
      <c r="BH72" s="59">
        <f t="shared" si="62"/>
        <v>1173.3970742970541</v>
      </c>
      <c r="BI72" s="59">
        <f ca="1">AVERAGE(OFFSET($BH$3,0,0,'Données projet'!$E$11+1,1))-AVERAGE(OFFSET($H$3,0,0,'Données projet'!$E$11+1,1))</f>
        <v>357.2406649189378</v>
      </c>
      <c r="BJ72" s="59">
        <f t="shared" si="92"/>
        <v>353.47109765343811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70.182845560733767</v>
      </c>
      <c r="BQ72" s="21">
        <f>EXP(-LN(2)/25)*BQ71+(1-EXP(-LN(2)/25))/(LN(2)/25)*Calculateur!BL72*Calculateur!BN72*VLOOKUP('Données projet'!$B$11,Paramètres!$A$1:$I$89,3,0)*0.475*44/12</f>
        <v>60.504226807605463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130.68707236833922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123.2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30.430399999999967</v>
      </c>
      <c r="D73" s="11">
        <f t="shared" si="86"/>
        <v>9.4232934185329604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233.80833472205987</v>
      </c>
      <c r="H73" s="67">
        <f t="shared" si="56"/>
        <v>521.1451827039449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216.99952889049467</v>
      </c>
      <c r="T73" s="59">
        <f t="shared" si="88"/>
        <v>340.62742489103783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106.69850063553004</v>
      </c>
      <c r="AA73" s="21">
        <f>EXP(-LN(2)/25)*AA72+(1-EXP(-LN(2)/25))/(LN(2)/25)*Calculateur!V73*Calculateur!X73*VLOOKUP('Données projet'!$B$9,Paramètres!$A$1:$I$89,3,0)*0.475*44/12</f>
        <v>80.806058952803298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187.50455958833334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389.11</v>
      </c>
      <c r="AG73" s="12">
        <f>VLOOKUP(A73,'Données projet'!$A$61:$I$81,9,0)</f>
        <v>10.238999999999999</v>
      </c>
      <c r="AH73" s="12">
        <f t="array" ref="AH73">INDEX(AG:AG,MIN(IF(ISNUMBER(AG73:AG269),ROW(AG73:AG269),"")))</f>
        <v>10.238999999999999</v>
      </c>
      <c r="AI73" s="13">
        <f>IF('Données projet'!$A$62&gt;35,AI72+AH73-AQ72,IF(A73&lt;'Données projet'!$A$62,$AF$205^A73,IF(A73='Données projet'!$A$62,'Données projet'!$B$62,AI72+AH73-AQ72)))</f>
        <v>389.1099999999995</v>
      </c>
      <c r="AJ73" s="13">
        <f>AI73*VLOOKUP('Données projet'!$B$10,Paramètres!$A$1:$I$89,3,0)*VLOOKUP('Données projet'!$B$10,Paramètres!$A$1:$I$89,5,0)</f>
        <v>232.68777999999972</v>
      </c>
      <c r="AK73" s="13">
        <f t="shared" si="89"/>
        <v>56.86344885363593</v>
      </c>
      <c r="AL73" s="20">
        <f t="shared" si="58"/>
        <v>504.30172358674866</v>
      </c>
      <c r="AM73" s="59">
        <f t="shared" si="59"/>
        <v>992.70172358674859</v>
      </c>
      <c r="AN73" s="59">
        <f ca="1">AVERAGE(OFFSET($AM$3,0,0,'Données projet'!$E$10+1,1))-AVERAGE(OFFSET($H$3,0,0,'Données projet'!$E$10+1,1))</f>
        <v>243.63945673917135</v>
      </c>
      <c r="AO73" s="59">
        <f t="shared" si="90"/>
        <v>213.14969914288025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69.790000000000006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41.903385302475414</v>
      </c>
      <c r="AV73" s="21">
        <f>EXP(-LN(2)/25)*AV72+(1-EXP(-LN(2)/25))/(LN(2)/25)*Calculateur!AQ73*Calculateur!AS73*VLOOKUP('Données projet'!$B$10,Paramètres!$A$1:$I$89,3,0)*0.475*44/12</f>
        <v>31.006293030319227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72.909678332794641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586.05999999999995</v>
      </c>
      <c r="BB73" s="12">
        <f>VLOOKUP(A73,'Données projet'!$A$87:$I$107,9,0)</f>
        <v>16.649999999999995</v>
      </c>
      <c r="BC73" s="12">
        <f t="array" ref="BC73">INDEX(BB:BB,MIN(IF(ISNUMBER(BB73:BB269),ROW(BB73:BB269),"")))</f>
        <v>16.649999999999995</v>
      </c>
      <c r="BD73" s="12">
        <f>IF('Données projet'!$A$88&gt;35,BD72+BC73-BL72,IF(A73&lt;'Données projet'!$A$88,$BA$205^A73,IF(A73='Données projet'!$A$88,'Données projet'!$B$88,BD72+BC73-BL72)))</f>
        <v>586.05999999999983</v>
      </c>
      <c r="BE73" s="13">
        <f>BD73*VLOOKUP('Données projet'!$B$11,Paramètres!$A$1:$I$89,3,0)*VLOOKUP('Données projet'!$B$11,Paramètres!$A$1:$I$89,5,0)</f>
        <v>327.60753999999991</v>
      </c>
      <c r="BF73" s="13">
        <f t="shared" si="91"/>
        <v>76.934079315946775</v>
      </c>
      <c r="BG73" s="20">
        <f t="shared" si="61"/>
        <v>704.57665364194054</v>
      </c>
      <c r="BH73" s="59">
        <f t="shared" si="62"/>
        <v>1192.9766536419404</v>
      </c>
      <c r="BI73" s="59">
        <f ca="1">AVERAGE(OFFSET($BH$3,0,0,'Données projet'!$E$11+1,1))-AVERAGE(OFFSET($H$3,0,0,'Données projet'!$E$11+1,1))</f>
        <v>357.2406649189378</v>
      </c>
      <c r="BJ73" s="59">
        <f t="shared" si="92"/>
        <v>353.47109765343811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586.05999999999995</v>
      </c>
      <c r="BM73" s="16">
        <f>IF(ISNA(VLOOKUP(A73,'Données projet'!$A$87:$I$107,5,0)),0%,VLOOKUP(A73,'Données projet'!$A$87:$I$107,5,0)*VLOOKUP('Données projet'!$B$11,Paramètres!$A$1:$I$89,7,0))</f>
        <v>0.38500000000000001</v>
      </c>
      <c r="BN73" s="16">
        <f>IF(ISNA(VLOOKUP(A73,'Données projet'!$A$87:$I$107,6,0)),0%,VLOOKUP(A73,'Données projet'!$A$87:$I$107,6,0)*VLOOKUP('Données projet'!$B$11,Paramètres!$A$1:$I$89,7,0))</f>
        <v>0.16500000000000001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236.1247221573218</v>
      </c>
      <c r="BQ73" s="21">
        <f>EXP(-LN(2)/25)*BQ72+(1-EXP(-LN(2)/25))/(LN(2)/25)*Calculateur!BL73*Calculateur!BN73*VLOOKUP('Données projet'!$B$11,Paramètres!$A$1:$I$89,3,0)*0.475*44/12</f>
        <v>130.27516020155056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366.39988235887233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123.2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30.865119999999965</v>
      </c>
      <c r="D74" s="11">
        <f t="shared" si="86"/>
        <v>9.5421439294864605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237.05594838632035</v>
      </c>
      <c r="H74" s="67">
        <f t="shared" si="56"/>
        <v>522.1093180105222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216.99952889049467</v>
      </c>
      <c r="T74" s="59">
        <f t="shared" si="88"/>
        <v>340.62742489103783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104.6062081177266</v>
      </c>
      <c r="AA74" s="21">
        <f>EXP(-LN(2)/25)*AA73+(1-EXP(-LN(2)/25))/(LN(2)/25)*Calculateur!V74*Calculateur!X74*VLOOKUP('Données projet'!$B$9,Paramètres!$A$1:$I$89,3,0)*0.475*44/12</f>
        <v>78.596413021332936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183.20262113905954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8.0829999999999984</v>
      </c>
      <c r="AI74" s="13">
        <f>IF('Données projet'!$A$62&gt;35,AI73+AH74-AQ73,IF(A74&lt;'Données projet'!$A$62,$AF$205^A74,IF(A74='Données projet'!$A$62,'Données projet'!$B$62,AI73+AH74-AQ73)))</f>
        <v>327.40299999999951</v>
      </c>
      <c r="AJ74" s="13">
        <f>AI74*VLOOKUP('Données projet'!$B$10,Paramètres!$A$1:$I$89,3,0)*VLOOKUP('Données projet'!$B$10,Paramètres!$A$1:$I$89,5,0)</f>
        <v>195.78699399999971</v>
      </c>
      <c r="AK74" s="13">
        <f t="shared" si="89"/>
        <v>48.817132394329121</v>
      </c>
      <c r="AL74" s="20">
        <f t="shared" si="58"/>
        <v>426.01885347012268</v>
      </c>
      <c r="AM74" s="59">
        <f t="shared" si="59"/>
        <v>914.4188534701226</v>
      </c>
      <c r="AN74" s="59">
        <f ca="1">AVERAGE(OFFSET($AM$3,0,0,'Données projet'!$E$10+1,1))-AVERAGE(OFFSET($H$3,0,0,'Données projet'!$E$10+1,1))</f>
        <v>243.63945673917135</v>
      </c>
      <c r="AO74" s="59">
        <f t="shared" si="90"/>
        <v>213.14969914288025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41.081685475235211</v>
      </c>
      <c r="AV74" s="21">
        <f>EXP(-LN(2)/25)*AV73+(1-EXP(-LN(2)/25))/(LN(2)/25)*Calculateur!AQ74*Calculateur!AS74*VLOOKUP('Données projet'!$B$10,Paramètres!$A$1:$I$89,3,0)*0.475*44/12</f>
        <v>30.158424316855065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71.24010979209028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-6.3550942286383367E-14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357.2406649189378</v>
      </c>
      <c r="BJ74" s="59">
        <f t="shared" si="92"/>
        <v>353.47109765343811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231.49446037767626</v>
      </c>
      <c r="BQ74" s="21">
        <f>EXP(-LN(2)/25)*BQ73+(1-EXP(-LN(2)/25))/(LN(2)/25)*Calculateur!BL74*Calculateur!BN74*VLOOKUP('Données projet'!$B$11,Paramètres!$A$1:$I$89,3,0)*0.475*44/12</f>
        <v>126.71277909496624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358.20723947264253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123.2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31.299839999999964</v>
      </c>
      <c r="D75" s="11">
        <f t="shared" si="86"/>
        <v>9.6607997453867274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240.30241983960198</v>
      </c>
      <c r="H75" s="67">
        <f t="shared" si="56"/>
        <v>523.07311422321516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216.99952889049467</v>
      </c>
      <c r="T75" s="59">
        <f t="shared" si="88"/>
        <v>340.62742489103783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102.55494418002486</v>
      </c>
      <c r="AA75" s="21">
        <f>EXP(-LN(2)/25)*AA74+(1-EXP(-LN(2)/25))/(LN(2)/25)*Calculateur!V75*Calculateur!X75*VLOOKUP('Données projet'!$B$9,Paramètres!$A$1:$I$89,3,0)*0.475*44/12</f>
        <v>76.447189974058858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179.00213415408371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8.0829999999999984</v>
      </c>
      <c r="AI75" s="13">
        <f>IF('Données projet'!$A$62&gt;35,AI74+AH75-AQ74,IF(A75&lt;'Données projet'!$A$62,$AF$205^A75,IF(A75='Données projet'!$A$62,'Données projet'!$B$62,AI74+AH75-AQ74)))</f>
        <v>335.48599999999954</v>
      </c>
      <c r="AJ75" s="13">
        <f>AI75*VLOOKUP('Données projet'!$B$10,Paramètres!$A$1:$I$89,3,0)*VLOOKUP('Données projet'!$B$10,Paramètres!$A$1:$I$89,5,0)</f>
        <v>200.62062799999973</v>
      </c>
      <c r="AK75" s="13">
        <f t="shared" si="89"/>
        <v>49.880538370284725</v>
      </c>
      <c r="AL75" s="20">
        <f t="shared" si="58"/>
        <v>436.28953142824543</v>
      </c>
      <c r="AM75" s="59">
        <f t="shared" si="59"/>
        <v>924.68953142824535</v>
      </c>
      <c r="AN75" s="59">
        <f ca="1">AVERAGE(OFFSET($AM$3,0,0,'Données projet'!$E$10+1,1))-AVERAGE(OFFSET($H$3,0,0,'Données projet'!$E$10+1,1))</f>
        <v>243.63945673917135</v>
      </c>
      <c r="AO75" s="59">
        <f t="shared" si="90"/>
        <v>213.14969914288025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40.276098680419778</v>
      </c>
      <c r="AV75" s="21">
        <f>EXP(-LN(2)/25)*AV74+(1-EXP(-LN(2)/25))/(LN(2)/25)*Calculateur!AQ75*Calculateur!AS75*VLOOKUP('Données projet'!$B$10,Paramètres!$A$1:$I$89,3,0)*0.475*44/12</f>
        <v>29.333740617948056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69.609839298367831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-6.3550942286383367E-14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357.2406649189378</v>
      </c>
      <c r="BJ75" s="59">
        <f t="shared" si="92"/>
        <v>353.47109765343811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226.95499520734876</v>
      </c>
      <c r="BQ75" s="21">
        <f>EXP(-LN(2)/25)*BQ74+(1-EXP(-LN(2)/25))/(LN(2)/25)*Calculateur!BL75*Calculateur!BN75*VLOOKUP('Données projet'!$B$11,Paramètres!$A$1:$I$89,3,0)*0.475*44/12</f>
        <v>123.24781148707893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350.20280669442769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123.2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31.734559999999963</v>
      </c>
      <c r="D76" s="11">
        <f t="shared" si="86"/>
        <v>9.7792638828449814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243.54776677935706</v>
      </c>
      <c r="H76" s="67">
        <f t="shared" si="56"/>
        <v>524.03657659595501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216.99952889049467</v>
      </c>
      <c r="T76" s="59">
        <f t="shared" si="88"/>
        <v>340.62742489103783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100.543904276994</v>
      </c>
      <c r="AA76" s="21">
        <f>EXP(-LN(2)/25)*AA75+(1-EXP(-LN(2)/25))/(LN(2)/25)*Calculateur!V76*Calculateur!X76*VLOOKUP('Données projet'!$B$9,Paramètres!$A$1:$I$89,3,0)*0.475*44/12</f>
        <v>74.356737544035227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174.90064182102924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8.0829999999999984</v>
      </c>
      <c r="AI76" s="13">
        <f>IF('Données projet'!$A$62&gt;35,AI75+AH76-AQ75,IF(A76&lt;'Données projet'!$A$62,$AF$205^A76,IF(A76='Données projet'!$A$62,'Données projet'!$B$62,AI75+AH76-AQ75)))</f>
        <v>343.56899999999951</v>
      </c>
      <c r="AJ76" s="13">
        <f>AI76*VLOOKUP('Données projet'!$B$10,Paramètres!$A$1:$I$89,3,0)*VLOOKUP('Données projet'!$B$10,Paramètres!$A$1:$I$89,5,0)</f>
        <v>205.45426199999972</v>
      </c>
      <c r="AK76" s="13">
        <f t="shared" si="89"/>
        <v>50.940965927045724</v>
      </c>
      <c r="AL76" s="20">
        <f t="shared" si="58"/>
        <v>446.55502197293748</v>
      </c>
      <c r="AM76" s="59">
        <f t="shared" si="59"/>
        <v>934.9550219729374</v>
      </c>
      <c r="AN76" s="59">
        <f ca="1">AVERAGE(OFFSET($AM$3,0,0,'Données projet'!$E$10+1,1))-AVERAGE(OFFSET($H$3,0,0,'Données projet'!$E$10+1,1))</f>
        <v>243.63945673917135</v>
      </c>
      <c r="AO76" s="59">
        <f t="shared" si="90"/>
        <v>213.14969914288025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39.48630895129125</v>
      </c>
      <c r="AV76" s="21">
        <f>EXP(-LN(2)/25)*AV75+(1-EXP(-LN(2)/25))/(LN(2)/25)*Calculateur!AQ76*Calculateur!AS76*VLOOKUP('Données projet'!$B$10,Paramètres!$A$1:$I$89,3,0)*0.475*44/12</f>
        <v>28.53160793815589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68.017916889447136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-6.3550942286383367E-14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357.2406649189378</v>
      </c>
      <c r="BJ76" s="59">
        <f t="shared" si="92"/>
        <v>353.47109765343811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222.50454618021101</v>
      </c>
      <c r="BQ76" s="21">
        <f>EXP(-LN(2)/25)*BQ75+(1-EXP(-LN(2)/25))/(LN(2)/25)*Calculateur!BL76*Calculateur!BN76*VLOOKUP('Données projet'!$B$11,Paramètres!$A$1:$I$89,3,0)*0.475*44/12</f>
        <v>119.87759360064405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342.38213978085503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123.2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32.169279999999965</v>
      </c>
      <c r="D77" s="11">
        <f t="shared" si="86"/>
        <v>9.8975392710770524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246.79200639031851</v>
      </c>
      <c r="H77" s="67">
        <f t="shared" si="56"/>
        <v>524.99971023045919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216.99952889049467</v>
      </c>
      <c r="T77" s="59">
        <f t="shared" si="88"/>
        <v>340.62742489103783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98.572299639848339</v>
      </c>
      <c r="AA77" s="21">
        <f>EXP(-LN(2)/25)*AA76+(1-EXP(-LN(2)/25))/(LN(2)/25)*Calculateur!V77*Calculateur!X77*VLOOKUP('Données projet'!$B$9,Paramètres!$A$1:$I$89,3,0)*0.475*44/12</f>
        <v>72.323448645642699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170.89574828549104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8.0829999999999984</v>
      </c>
      <c r="AI77" s="13">
        <f>IF('Données projet'!$A$62&gt;35,AI76+AH77-AQ76,IF(A77&lt;'Données projet'!$A$62,$AF$205^A77,IF(A77='Données projet'!$A$62,'Données projet'!$B$62,AI76+AH77-AQ76)))</f>
        <v>351.65199999999948</v>
      </c>
      <c r="AJ77" s="13">
        <f>AI77*VLOOKUP('Données projet'!$B$10,Paramètres!$A$1:$I$89,3,0)*VLOOKUP('Données projet'!$B$10,Paramètres!$A$1:$I$89,5,0)</f>
        <v>210.28789599999971</v>
      </c>
      <c r="AK77" s="13">
        <f t="shared" si="89"/>
        <v>51.998493200533538</v>
      </c>
      <c r="AL77" s="20">
        <f t="shared" si="58"/>
        <v>456.81546119092872</v>
      </c>
      <c r="AM77" s="59">
        <f t="shared" si="59"/>
        <v>945.21546119092864</v>
      </c>
      <c r="AN77" s="59">
        <f ca="1">AVERAGE(OFFSET($AM$3,0,0,'Données projet'!$E$10+1,1))-AVERAGE(OFFSET($H$3,0,0,'Données projet'!$E$10+1,1))</f>
        <v>243.63945673917135</v>
      </c>
      <c r="AO77" s="59">
        <f t="shared" si="90"/>
        <v>213.14969914288025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38.712006517026765</v>
      </c>
      <c r="AV77" s="21">
        <f>EXP(-LN(2)/25)*AV76+(1-EXP(-LN(2)/25))/(LN(2)/25)*Calculateur!AQ77*Calculateur!AS77*VLOOKUP('Données projet'!$B$10,Paramètres!$A$1:$I$89,3,0)*0.475*44/12</f>
        <v>27.751409618674966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66.463416135701735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-6.3550942286383367E-14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357.2406649189378</v>
      </c>
      <c r="BJ77" s="59">
        <f t="shared" si="92"/>
        <v>353.47109765343811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218.14136774398955</v>
      </c>
      <c r="BQ77" s="21">
        <f>EXP(-LN(2)/25)*BQ76+(1-EXP(-LN(2)/25))/(LN(2)/25)*Calculateur!BL77*Calculateur!BN77*VLOOKUP('Données projet'!$B$11,Paramètres!$A$1:$I$89,3,0)*0.475*44/12</f>
        <v>116.59953449954577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334.74090224353529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123.2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32.603999999999964</v>
      </c>
      <c r="D78" s="11">
        <f t="shared" si="86"/>
        <v>10.015628755581469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250.0351553660777</v>
      </c>
      <c r="H78" s="67">
        <f t="shared" si="56"/>
        <v>525.96252008263764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216.99952889049467</v>
      </c>
      <c r="T78" s="59">
        <f t="shared" si="88"/>
        <v>340.62742489103783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96.63935696707702</v>
      </c>
      <c r="AA78" s="21">
        <f>EXP(-LN(2)/25)*AA77+(1-EXP(-LN(2)/25))/(LN(2)/25)*Calculateur!V78*Calculateur!X78*VLOOKUP('Données projet'!$B$9,Paramètres!$A$1:$I$89,3,0)*0.475*44/12</f>
        <v>70.345760139102737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166.98511710617976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8.0829999999999984</v>
      </c>
      <c r="AI78" s="13">
        <f>IF('Données projet'!$A$62&gt;35,AI77+AH78-AQ77,IF(A78&lt;'Données projet'!$A$62,$AF$205^A78,IF(A78='Données projet'!$A$62,'Données projet'!$B$62,AI77+AH78-AQ77)))</f>
        <v>359.73499999999945</v>
      </c>
      <c r="AJ78" s="13">
        <f>AI78*VLOOKUP('Données projet'!$B$10,Paramètres!$A$1:$I$89,3,0)*VLOOKUP('Données projet'!$B$10,Paramètres!$A$1:$I$89,5,0)</f>
        <v>215.12152999999969</v>
      </c>
      <c r="AK78" s="13">
        <f t="shared" si="89"/>
        <v>53.053194529655578</v>
      </c>
      <c r="AL78" s="20">
        <f t="shared" si="58"/>
        <v>467.07097855581628</v>
      </c>
      <c r="AM78" s="59">
        <f t="shared" si="59"/>
        <v>955.47097855581615</v>
      </c>
      <c r="AN78" s="59">
        <f ca="1">AVERAGE(OFFSET($AM$3,0,0,'Données projet'!$E$10+1,1))-AVERAGE(OFFSET($H$3,0,0,'Données projet'!$E$10+1,1))</f>
        <v>243.63945673917135</v>
      </c>
      <c r="AO78" s="59">
        <f t="shared" si="90"/>
        <v>213.14969914288025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37.952887681220353</v>
      </c>
      <c r="AV78" s="21">
        <f>EXP(-LN(2)/25)*AV77+(1-EXP(-LN(2)/25))/(LN(2)/25)*Calculateur!AQ78*Calculateur!AS78*VLOOKUP('Données projet'!$B$10,Paramètres!$A$1:$I$89,3,0)*0.475*44/12</f>
        <v>26.992545863269093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64.945433544489447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-6.3550942286383367E-14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357.2406649189378</v>
      </c>
      <c r="BJ78" s="59">
        <f t="shared" si="92"/>
        <v>353.47109765343811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213.86374857562635</v>
      </c>
      <c r="BQ78" s="21">
        <f>EXP(-LN(2)/25)*BQ77+(1-EXP(-LN(2)/25))/(LN(2)/25)*Calculateur!BL78*Calculateur!BN78*VLOOKUP('Données projet'!$B$11,Paramètres!$A$1:$I$89,3,0)*0.475*44/12</f>
        <v>113.41111409695266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327.27486267257899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123.2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33.038719999999962</v>
      </c>
      <c r="D79" s="11">
        <f t="shared" si="86"/>
        <v>10.133535101615761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253.27722992947895</v>
      </c>
      <c r="H79" s="67">
        <f t="shared" si="56"/>
        <v>526.92501096864737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216.99952889049467</v>
      </c>
      <c r="T79" s="59">
        <f t="shared" si="88"/>
        <v>340.62742489103783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94.74431812114014</v>
      </c>
      <c r="AA79" s="21">
        <f>EXP(-LN(2)/25)*AA78+(1-EXP(-LN(2)/25))/(LN(2)/25)*Calculateur!V79*Calculateur!X79*VLOOKUP('Données projet'!$B$9,Paramètres!$A$1:$I$89,3,0)*0.475*44/12</f>
        <v>68.42215162877622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163.16646974991636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8.0829999999999984</v>
      </c>
      <c r="AI79" s="13">
        <f>IF('Données projet'!$A$62&gt;35,AI78+AH79-AQ78,IF(A79&lt;'Données projet'!$A$62,$AF$205^A79,IF(A79='Données projet'!$A$62,'Données projet'!$B$62,AI78+AH79-AQ78)))</f>
        <v>367.81799999999942</v>
      </c>
      <c r="AJ79" s="13">
        <f>AI79*VLOOKUP('Données projet'!$B$10,Paramètres!$A$1:$I$89,3,0)*VLOOKUP('Données projet'!$B$10,Paramètres!$A$1:$I$89,5,0)</f>
        <v>219.95516399999968</v>
      </c>
      <c r="AK79" s="13">
        <f t="shared" si="89"/>
        <v>54.105140721927512</v>
      </c>
      <c r="AL79" s="20">
        <f t="shared" si="58"/>
        <v>477.32169739068991</v>
      </c>
      <c r="AM79" s="59">
        <f t="shared" si="59"/>
        <v>965.72169739068977</v>
      </c>
      <c r="AN79" s="59">
        <f ca="1">AVERAGE(OFFSET($AM$3,0,0,'Données projet'!$E$10+1,1))-AVERAGE(OFFSET($H$3,0,0,'Données projet'!$E$10+1,1))</f>
        <v>243.63945673917135</v>
      </c>
      <c r="AO79" s="59">
        <f t="shared" si="90"/>
        <v>213.14969914288025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37.208654702767333</v>
      </c>
      <c r="AV79" s="21">
        <f>EXP(-LN(2)/25)*AV78+(1-EXP(-LN(2)/25))/(LN(2)/25)*Calculateur!AQ79*Calculateur!AS79*VLOOKUP('Données projet'!$B$10,Paramètres!$A$1:$I$89,3,0)*0.475*44/12</f>
        <v>26.254433277161706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63.463087979929043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-6.3550942286383367E-14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357.2406649189378</v>
      </c>
      <c r="BJ79" s="59">
        <f t="shared" si="92"/>
        <v>353.47109765343811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209.67001091006466</v>
      </c>
      <c r="BQ79" s="21">
        <f>EXP(-LN(2)/25)*BQ78+(1-EXP(-LN(2)/25))/(LN(2)/25)*Calculateur!BL79*Calculateur!BN79*VLOOKUP('Données projet'!$B$11,Paramètres!$A$1:$I$89,3,0)*0.475*44/12</f>
        <v>110.3098812179402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319.97989212800485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123.2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33.473439999999961</v>
      </c>
      <c r="D80" s="11">
        <f t="shared" si="86"/>
        <v>10.251260997484655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256.51824585190974</v>
      </c>
      <c r="H80" s="67">
        <f t="shared" si="56"/>
        <v>527.88718757061906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216.99952889049467</v>
      </c>
      <c r="T80" s="59">
        <f t="shared" si="88"/>
        <v>340.62742489103783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92.886439831112511</v>
      </c>
      <c r="AA80" s="21">
        <f>EXP(-LN(2)/25)*AA79+(1-EXP(-LN(2)/25))/(LN(2)/25)*Calculateur!V80*Calculateur!X80*VLOOKUP('Données projet'!$B$9,Paramètres!$A$1:$I$89,3,0)*0.475*44/12</f>
        <v>66.551144294322768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159.43758412543528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8.0829999999999984</v>
      </c>
      <c r="AI80" s="13">
        <f>IF('Données projet'!$A$62&gt;35,AI79+AH80-AQ79,IF(A80&lt;'Données projet'!$A$62,$AF$205^A80,IF(A80='Données projet'!$A$62,'Données projet'!$B$62,AI79+AH80-AQ79)))</f>
        <v>375.90099999999939</v>
      </c>
      <c r="AJ80" s="13">
        <f>AI80*VLOOKUP('Données projet'!$B$10,Paramètres!$A$1:$I$89,3,0)*VLOOKUP('Données projet'!$B$10,Paramètres!$A$1:$I$89,5,0)</f>
        <v>224.78879799999967</v>
      </c>
      <c r="AK80" s="13">
        <f t="shared" si="89"/>
        <v>55.154399295088197</v>
      </c>
      <c r="AL80" s="20">
        <f t="shared" si="58"/>
        <v>487.56773528894473</v>
      </c>
      <c r="AM80" s="59">
        <f t="shared" si="59"/>
        <v>975.9677352889446</v>
      </c>
      <c r="AN80" s="59">
        <f ca="1">AVERAGE(OFFSET($AM$3,0,0,'Données projet'!$E$10+1,1))-AVERAGE(OFFSET($H$3,0,0,'Données projet'!$E$10+1,1))</f>
        <v>243.63945673917135</v>
      </c>
      <c r="AO80" s="59">
        <f t="shared" si="90"/>
        <v>213.14969914288025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36.479015679084483</v>
      </c>
      <c r="AV80" s="21">
        <f>EXP(-LN(2)/25)*AV79+(1-EXP(-LN(2)/25))/(LN(2)/25)*Calculateur!AQ80*Calculateur!AS80*VLOOKUP('Données projet'!$B$10,Paramètres!$A$1:$I$89,3,0)*0.475*44/12</f>
        <v>25.536504418537078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62.015520097621561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-6.3550942286383367E-14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357.2406649189378</v>
      </c>
      <c r="BJ80" s="59">
        <f t="shared" si="92"/>
        <v>353.47109765343811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205.55850988219726</v>
      </c>
      <c r="BQ80" s="21">
        <f>EXP(-LN(2)/25)*BQ79+(1-EXP(-LN(2)/25))/(LN(2)/25)*Calculateur!BL80*Calculateur!BN80*VLOOKUP('Données projet'!$B$11,Paramètres!$A$1:$I$89,3,0)*0.475*44/12</f>
        <v>107.29345171509109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312.85196159728832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123.2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33.90815999999996</v>
      </c>
      <c r="D81" s="11">
        <f t="shared" si="86"/>
        <v>10.368809057652518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259.75821847156129</v>
      </c>
      <c r="H81" s="67">
        <f t="shared" si="56"/>
        <v>528.84905444207811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216.99952889049467</v>
      </c>
      <c r="T81" s="59">
        <f t="shared" si="88"/>
        <v>340.62742489103783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91.064993401158461</v>
      </c>
      <c r="AA81" s="21">
        <f>EXP(-LN(2)/25)*AA80+(1-EXP(-LN(2)/25))/(LN(2)/25)*Calculateur!V81*Calculateur!X81*VLOOKUP('Données projet'!$B$9,Paramètres!$A$1:$I$89,3,0)*0.475*44/12</f>
        <v>64.731299753821943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155.79629315498039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8.0829999999999984</v>
      </c>
      <c r="AI81" s="13">
        <f>IF('Données projet'!$A$62&gt;35,AI80+AH81-AQ80,IF(A81&lt;'Données projet'!$A$62,$AF$205^A81,IF(A81='Données projet'!$A$62,'Données projet'!$B$62,AI80+AH81-AQ80)))</f>
        <v>383.98399999999936</v>
      </c>
      <c r="AJ81" s="13">
        <f>AI81*VLOOKUP('Données projet'!$B$10,Paramètres!$A$1:$I$89,3,0)*VLOOKUP('Données projet'!$B$10,Paramètres!$A$1:$I$89,5,0)</f>
        <v>229.62243199999966</v>
      </c>
      <c r="AK81" s="13">
        <f t="shared" si="89"/>
        <v>56.201034697346252</v>
      </c>
      <c r="AL81" s="20">
        <f t="shared" si="58"/>
        <v>497.80920449787737</v>
      </c>
      <c r="AM81" s="59">
        <f t="shared" si="59"/>
        <v>986.20920449787729</v>
      </c>
      <c r="AN81" s="59">
        <f ca="1">AVERAGE(OFFSET($AM$3,0,0,'Données projet'!$E$10+1,1))-AVERAGE(OFFSET($H$3,0,0,'Données projet'!$E$10+1,1))</f>
        <v>243.63945673917135</v>
      </c>
      <c r="AO81" s="59">
        <f t="shared" si="90"/>
        <v>213.14969914288025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35.763684431620199</v>
      </c>
      <c r="AV81" s="21">
        <f>EXP(-LN(2)/25)*AV80+(1-EXP(-LN(2)/25))/(LN(2)/25)*Calculateur!AQ81*Calculateur!AS81*VLOOKUP('Données projet'!$B$10,Paramètres!$A$1:$I$89,3,0)*0.475*44/12</f>
        <v>24.838207362305777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60.601891793925972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-6.3550942286383367E-14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357.2406649189378</v>
      </c>
      <c r="BJ81" s="59">
        <f t="shared" si="92"/>
        <v>353.47109765343811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201.52763288171832</v>
      </c>
      <c r="BQ81" s="21">
        <f>EXP(-LN(2)/25)*BQ80+(1-EXP(-LN(2)/25))/(LN(2)/25)*Calculateur!BL81*Calculateur!BN81*VLOOKUP('Données projet'!$B$11,Paramètres!$A$1:$I$89,3,0)*0.475*44/12</f>
        <v>104.35950663562453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305.88713951734286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123.2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34.342879999999958</v>
      </c>
      <c r="D82" s="11">
        <f t="shared" si="86"/>
        <v>10.486181825691734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262.99716271072469</v>
      </c>
      <c r="H82" s="67">
        <f t="shared" si="56"/>
        <v>529.81061601307977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216.99952889049467</v>
      </c>
      <c r="T82" s="59">
        <f t="shared" si="88"/>
        <v>340.62742489103783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89.279264424723181</v>
      </c>
      <c r="AA82" s="21">
        <f>EXP(-LN(2)/25)*AA81+(1-EXP(-LN(2)/25))/(LN(2)/25)*Calculateur!V82*Calculateur!X82*VLOOKUP('Données projet'!$B$9,Paramètres!$A$1:$I$89,3,0)*0.475*44/12</f>
        <v>62.961218957982574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152.24048338270575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8.0829999999999984</v>
      </c>
      <c r="AI82" s="13">
        <f>IF('Données projet'!$A$62&gt;35,AI81+AH82-AQ81,IF(A82&lt;'Données projet'!$A$62,$AF$205^A82,IF(A82='Données projet'!$A$62,'Données projet'!$B$62,AI81+AH82-AQ81)))</f>
        <v>392.06699999999933</v>
      </c>
      <c r="AJ82" s="13">
        <f>AI82*VLOOKUP('Données projet'!$B$10,Paramètres!$A$1:$I$89,3,0)*VLOOKUP('Données projet'!$B$10,Paramètres!$A$1:$I$89,5,0)</f>
        <v>234.45606599999959</v>
      </c>
      <c r="AK82" s="13">
        <f t="shared" si="89"/>
        <v>57.245108508558658</v>
      </c>
      <c r="AL82" s="20">
        <f t="shared" si="58"/>
        <v>508.04621226907233</v>
      </c>
      <c r="AM82" s="59">
        <f t="shared" si="59"/>
        <v>996.44621226907225</v>
      </c>
      <c r="AN82" s="59">
        <f ca="1">AVERAGE(OFFSET($AM$3,0,0,'Données projet'!$E$10+1,1))-AVERAGE(OFFSET($H$3,0,0,'Données projet'!$E$10+1,1))</f>
        <v>243.63945673917135</v>
      </c>
      <c r="AO82" s="59">
        <f t="shared" si="90"/>
        <v>213.14969914288025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35.062380393609708</v>
      </c>
      <c r="AV82" s="21">
        <f>EXP(-LN(2)/25)*AV81+(1-EXP(-LN(2)/25))/(LN(2)/25)*Calculateur!AQ82*Calculateur!AS82*VLOOKUP('Données projet'!$B$10,Paramètres!$A$1:$I$89,3,0)*0.475*44/12</f>
        <v>24.159005275798968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59.221385669408676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-6.3550942286383367E-14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357.2406649189378</v>
      </c>
      <c r="BJ82" s="59">
        <f t="shared" si="92"/>
        <v>353.47109765343811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197.57579892062657</v>
      </c>
      <c r="BQ82" s="21">
        <f>EXP(-LN(2)/25)*BQ81+(1-EXP(-LN(2)/25))/(LN(2)/25)*Calculateur!BL82*Calculateur!BN82*VLOOKUP('Données projet'!$B$11,Paramètres!$A$1:$I$89,3,0)*0.475*44/12</f>
        <v>101.50579043864543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299.08158935927202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123.2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34.777599999999957</v>
      </c>
      <c r="D83" s="11">
        <f t="shared" si="86"/>
        <v>10.603381777077447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266.23509309218747</v>
      </c>
      <c r="H83" s="67">
        <f t="shared" si="56"/>
        <v>530.77187659507649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216.99952889049467</v>
      </c>
      <c r="T83" s="59">
        <f t="shared" si="88"/>
        <v>340.62742489103783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87.528552504328673</v>
      </c>
      <c r="AA83" s="21">
        <f>EXP(-LN(2)/25)*AA82+(1-EXP(-LN(2)/25))/(LN(2)/25)*Calculateur!V83*Calculateur!X83*VLOOKUP('Données projet'!$B$9,Paramètres!$A$1:$I$89,3,0)*0.475*44/12</f>
        <v>61.239541114589933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148.76809361891861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400.15</v>
      </c>
      <c r="AG83" s="12">
        <f>VLOOKUP(A83,'Données projet'!$A$61:$I$81,9,0)</f>
        <v>8.0829999999999984</v>
      </c>
      <c r="AH83" s="12">
        <f t="array" ref="AH83">INDEX(AG:AG,MIN(IF(ISNUMBER(AG83:AG279),ROW(AG83:AG279),"")))</f>
        <v>8.0829999999999984</v>
      </c>
      <c r="AI83" s="13">
        <f>IF('Données projet'!$A$62&gt;35,AI82+AH83-AQ82,IF(A83&lt;'Données projet'!$A$62,$AF$205^A83,IF(A83='Données projet'!$A$62,'Données projet'!$B$62,AI82+AH83-AQ82)))</f>
        <v>400.1499999999993</v>
      </c>
      <c r="AJ83" s="13">
        <f>AI83*VLOOKUP('Données projet'!$B$10,Paramètres!$A$1:$I$89,3,0)*VLOOKUP('Données projet'!$B$10,Paramètres!$A$1:$I$89,5,0)</f>
        <v>239.28969999999958</v>
      </c>
      <c r="AK83" s="13">
        <f t="shared" si="89"/>
        <v>58.286679624350214</v>
      </c>
      <c r="AL83" s="20">
        <f t="shared" si="58"/>
        <v>518.27886117907588</v>
      </c>
      <c r="AM83" s="59">
        <f t="shared" si="59"/>
        <v>1006.6788611790757</v>
      </c>
      <c r="AN83" s="59">
        <f ca="1">AVERAGE(OFFSET($AM$3,0,0,'Données projet'!$E$10+1,1))-AVERAGE(OFFSET($H$3,0,0,'Données projet'!$E$10+1,1))</f>
        <v>243.63945673917135</v>
      </c>
      <c r="AO83" s="59">
        <f t="shared" si="90"/>
        <v>213.14969914288025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400.15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134.36628983046052</v>
      </c>
      <c r="AV83" s="21">
        <f>EXP(-LN(2)/25)*AV82+(1-EXP(-LN(2)/25))/(LN(2)/25)*Calculateur!AQ83*Calculateur!AS83*VLOOKUP('Données projet'!$B$10,Paramètres!$A$1:$I$89,3,0)*0.475*44/12</f>
        <v>66.183128940681456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200.54941877114197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-6.3550942286383367E-14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357.2406649189378</v>
      </c>
      <c r="BJ83" s="59">
        <f t="shared" si="92"/>
        <v>353.47109765343811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193.70145801313112</v>
      </c>
      <c r="BQ83" s="21">
        <f>EXP(-LN(2)/25)*BQ82+(1-EXP(-LN(2)/25))/(LN(2)/25)*Calculateur!BL83*Calculateur!BN83*VLOOKUP('Données projet'!$B$11,Paramètres!$A$1:$I$89,3,0)*0.475*44/12</f>
        <v>98.730109261143156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292.43156727427424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123.2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35.212319999999956</v>
      </c>
      <c r="D84" s="11">
        <f t="shared" si="86"/>
        <v>10.720411321838647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269.47202375478645</v>
      </c>
      <c r="H84" s="67">
        <f t="shared" si="56"/>
        <v>531.73284038553561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216.99952889049467</v>
      </c>
      <c r="T84" s="59">
        <f t="shared" si="88"/>
        <v>340.62742489103783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85.812170976864266</v>
      </c>
      <c r="AA84" s="21">
        <f>EXP(-LN(2)/25)*AA83+(1-EXP(-LN(2)/25))/(LN(2)/25)*Calculateur!V84*Calculateur!X84*VLOOKUP('Données projet'!$B$9,Paramètres!$A$1:$I$89,3,0)*0.475*44/12</f>
        <v>59.564942642363967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145.37711361922823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-6.8212102632969618E-13</v>
      </c>
      <c r="AJ84" s="13">
        <f>AI84*VLOOKUP('Données projet'!$B$10,Paramètres!$A$1:$I$89,3,0)*VLOOKUP('Données projet'!$B$10,Paramètres!$A$1:$I$89,5,0)</f>
        <v>-4.0790837374515837E-13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243.63945673917135</v>
      </c>
      <c r="AO84" s="59">
        <f t="shared" si="90"/>
        <v>213.14969914288025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131.73144884222955</v>
      </c>
      <c r="AV84" s="21">
        <f>EXP(-LN(2)/25)*AV83+(1-EXP(-LN(2)/25))/(LN(2)/25)*Calculateur!AQ84*Calculateur!AS84*VLOOKUP('Données projet'!$B$10,Paramètres!$A$1:$I$89,3,0)*0.475*44/12</f>
        <v>64.373347799379033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196.10479664160857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-6.3550942286383367E-14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357.2406649189378</v>
      </c>
      <c r="BJ84" s="59">
        <f t="shared" si="92"/>
        <v>353.47109765343811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189.90309056771704</v>
      </c>
      <c r="BQ84" s="21">
        <f>EXP(-LN(2)/25)*BQ83+(1-EXP(-LN(2)/25))/(LN(2)/25)*Calculateur!BL84*Calculateur!BN84*VLOOKUP('Données projet'!$B$11,Paramètres!$A$1:$I$89,3,0)*0.475*44/12</f>
        <v>96.030329231406398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285.93341979912344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123.2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35.647039999999954</v>
      </c>
      <c r="D85" s="11">
        <f t="shared" si="86"/>
        <v>10.837272807074619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272.70796846817086</v>
      </c>
      <c r="H85" s="67">
        <f t="shared" si="56"/>
        <v>532.69351147232157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216.99952889049467</v>
      </c>
      <c r="T85" s="59">
        <f t="shared" si="88"/>
        <v>340.62742489103783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84.129446644264078</v>
      </c>
      <c r="AA85" s="21">
        <f>EXP(-LN(2)/25)*AA84+(1-EXP(-LN(2)/25))/(LN(2)/25)*Calculateur!V85*Calculateur!X85*VLOOKUP('Données projet'!$B$9,Paramètres!$A$1:$I$89,3,0)*0.475*44/12</f>
        <v>57.936136153424329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142.06558279768842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-6.8212102632969618E-13</v>
      </c>
      <c r="AJ85" s="13">
        <f>AI85*VLOOKUP('Données projet'!$B$10,Paramètres!$A$1:$I$89,3,0)*VLOOKUP('Données projet'!$B$10,Paramètres!$A$1:$I$89,5,0)</f>
        <v>-4.0790837374515837E-13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243.63945673917135</v>
      </c>
      <c r="AO85" s="59">
        <f t="shared" si="90"/>
        <v>213.14969914288025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129.1482754786835</v>
      </c>
      <c r="AV85" s="21">
        <f>EXP(-LN(2)/25)*AV84+(1-EXP(-LN(2)/25))/(LN(2)/25)*Calculateur!AQ85*Calculateur!AS85*VLOOKUP('Données projet'!$B$10,Paramètres!$A$1:$I$89,3,0)*0.475*44/12</f>
        <v>62.613055218557783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191.76133069724128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-6.3550942286383367E-14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357.2406649189378</v>
      </c>
      <c r="BJ85" s="59">
        <f t="shared" si="92"/>
        <v>353.47109765343811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186.17920679113215</v>
      </c>
      <c r="BQ85" s="21">
        <f>EXP(-LN(2)/25)*BQ84+(1-EXP(-LN(2)/25))/(LN(2)/25)*Calculateur!BL85*Calculateur!BN85*VLOOKUP('Données projet'!$B$11,Paramètres!$A$1:$I$89,3,0)*0.475*44/12</f>
        <v>93.404374828558062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279.58358161969022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123.2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36.081759999999953</v>
      </c>
      <c r="D86" s="11">
        <f t="shared" si="86"/>
        <v>10.953968519345084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275.94294064682418</v>
      </c>
      <c r="H86" s="67">
        <f t="shared" si="56"/>
        <v>533.6538938378593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216.99952889049467</v>
      </c>
      <c r="T86" s="59">
        <f t="shared" si="88"/>
        <v>340.62742489103783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82.479719509465681</v>
      </c>
      <c r="AA86" s="21">
        <f>EXP(-LN(2)/25)*AA85+(1-EXP(-LN(2)/25))/(LN(2)/25)*Calculateur!V86*Calculateur!X86*VLOOKUP('Données projet'!$B$9,Paramètres!$A$1:$I$89,3,0)*0.475*44/12</f>
        <v>56.351869463579952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138.83158897304563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-6.8212102632969618E-13</v>
      </c>
      <c r="AJ86" s="13">
        <f>AI86*VLOOKUP('Données projet'!$B$10,Paramètres!$A$1:$I$89,3,0)*VLOOKUP('Données projet'!$B$10,Paramètres!$A$1:$I$89,5,0)</f>
        <v>-4.0790837374515837E-13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243.63945673917135</v>
      </c>
      <c r="AO86" s="59">
        <f t="shared" si="90"/>
        <v>213.14969914288025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126.6157565692164</v>
      </c>
      <c r="AV86" s="21">
        <f>EXP(-LN(2)/25)*AV85+(1-EXP(-LN(2)/25))/(LN(2)/25)*Calculateur!AQ86*Calculateur!AS86*VLOOKUP('Données projet'!$B$10,Paramètres!$A$1:$I$89,3,0)*0.475*44/12</f>
        <v>60.900897930928849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187.51665450014525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-6.3550942286383367E-14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357.2406649189378</v>
      </c>
      <c r="BJ86" s="59">
        <f t="shared" si="92"/>
        <v>353.47109765343811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182.52834610406126</v>
      </c>
      <c r="BQ86" s="21">
        <f>EXP(-LN(2)/25)*BQ85+(1-EXP(-LN(2)/25))/(LN(2)/25)*Calculateur!BL86*Calculateur!BN86*VLOOKUP('Données projet'!$B$11,Paramètres!$A$1:$I$89,3,0)*0.475*44/12</f>
        <v>90.850227286948552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273.37857339100981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123.2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36.516479999999952</v>
      </c>
      <c r="D87" s="11">
        <f t="shared" si="86"/>
        <v>11.07050068694191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279.17695336339227</v>
      </c>
      <c r="H87" s="67">
        <f t="shared" si="56"/>
        <v>534.61399136309046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216.99952889049467</v>
      </c>
      <c r="T87" s="59">
        <f t="shared" si="88"/>
        <v>340.62742489103783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80.862342517546494</v>
      </c>
      <c r="AA87" s="21">
        <f>EXP(-LN(2)/25)*AA86+(1-EXP(-LN(2)/25))/(LN(2)/25)*Calculateur!V87*Calculateur!X87*VLOOKUP('Données projet'!$B$9,Paramètres!$A$1:$I$89,3,0)*0.475*44/12</f>
        <v>54.81092462968234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135.67326714722884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-6.8212102632969618E-13</v>
      </c>
      <c r="AJ87" s="13">
        <f>AI87*VLOOKUP('Données projet'!$B$10,Paramètres!$A$1:$I$89,3,0)*VLOOKUP('Données projet'!$B$10,Paramètres!$A$1:$I$89,5,0)</f>
        <v>-4.0790837374515837E-13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243.63945673917135</v>
      </c>
      <c r="AO87" s="59">
        <f t="shared" si="90"/>
        <v>213.14969914288025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124.13289881087995</v>
      </c>
      <c r="AV87" s="21">
        <f>EXP(-LN(2)/25)*AV86+(1-EXP(-LN(2)/25))/(LN(2)/25)*Calculateur!AQ87*Calculateur!AS87*VLOOKUP('Données projet'!$B$10,Paramètres!$A$1:$I$89,3,0)*0.475*44/12</f>
        <v>59.235559674368567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183.36845848524851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-6.3550942286383367E-14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357.2406649189378</v>
      </c>
      <c r="BJ87" s="59">
        <f t="shared" si="92"/>
        <v>353.47109765343811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178.94907656825868</v>
      </c>
      <c r="BQ87" s="21">
        <f>EXP(-LN(2)/25)*BQ86+(1-EXP(-LN(2)/25))/(LN(2)/25)*Calculateur!BL87*Calculateur!BN87*VLOOKUP('Données projet'!$B$11,Paramètres!$A$1:$I$89,3,0)*0.475*44/12</f>
        <v>88.36592304418113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267.31499961243981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123.2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36.95119999999995</v>
      </c>
      <c r="D88" s="11">
        <f t="shared" si="86"/>
        <v>11.18687148204957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282.41001936135717</v>
      </c>
      <c r="H88" s="67">
        <f t="shared" si="56"/>
        <v>535.57380783123631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216.99952889049467</v>
      </c>
      <c r="T88" s="59">
        <f t="shared" si="88"/>
        <v>340.62742489103783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79.276681301936279</v>
      </c>
      <c r="AA88" s="21">
        <f>EXP(-LN(2)/25)*AA87+(1-EXP(-LN(2)/25))/(LN(2)/25)*Calculateur!V88*Calculateur!X88*VLOOKUP('Données projet'!$B$9,Paramètres!$A$1:$I$89,3,0)*0.475*44/12</f>
        <v>53.312117013302419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132.58879831523871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-6.8212102632969618E-13</v>
      </c>
      <c r="AJ88" s="13">
        <f>AI88*VLOOKUP('Données projet'!$B$10,Paramètres!$A$1:$I$89,3,0)*VLOOKUP('Données projet'!$B$10,Paramètres!$A$1:$I$89,5,0)</f>
        <v>-4.0790837374515837E-13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243.63945673917135</v>
      </c>
      <c r="AO88" s="59">
        <f t="shared" si="90"/>
        <v>213.14969914288025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121.69872837879078</v>
      </c>
      <c r="AV88" s="21">
        <f>EXP(-LN(2)/25)*AV87+(1-EXP(-LN(2)/25))/(LN(2)/25)*Calculateur!AQ88*Calculateur!AS88*VLOOKUP('Données projet'!$B$10,Paramètres!$A$1:$I$89,3,0)*0.475*44/12</f>
        <v>57.615760180010263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179.31448855880103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-6.3550942286383367E-14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357.2406649189378</v>
      </c>
      <c r="BJ88" s="59">
        <f t="shared" si="92"/>
        <v>353.47109765343811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175.43999432491435</v>
      </c>
      <c r="BQ88" s="21">
        <f>EXP(-LN(2)/25)*BQ87+(1-EXP(-LN(2)/25))/(LN(2)/25)*Calculateur!BL88*Calculateur!BN88*VLOOKUP('Données projet'!$B$11,Paramètres!$A$1:$I$89,3,0)*0.475*44/12</f>
        <v>85.949552231576064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261.38954655649042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123.2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37.385919999999949</v>
      </c>
      <c r="D89" s="11">
        <f t="shared" si="86"/>
        <v>11.303083022801005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285.64215106709895</v>
      </c>
      <c r="H89" s="67">
        <f t="shared" si="56"/>
        <v>536.53334693137833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216.99952889049467</v>
      </c>
      <c r="T89" s="59">
        <f t="shared" si="88"/>
        <v>340.62742489103783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77.722113935606345</v>
      </c>
      <c r="AA89" s="21">
        <f>EXP(-LN(2)/25)*AA88+(1-EXP(-LN(2)/25))/(LN(2)/25)*Calculateur!V89*Calculateur!X89*VLOOKUP('Données projet'!$B$9,Paramètres!$A$1:$I$89,3,0)*0.475*44/12</f>
        <v>51.854294370011274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129.57640830561763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-6.8212102632969618E-13</v>
      </c>
      <c r="AJ89" s="13">
        <f>AI89*VLOOKUP('Données projet'!$B$10,Paramètres!$A$1:$I$89,3,0)*VLOOKUP('Données projet'!$B$10,Paramètres!$A$1:$I$89,5,0)</f>
        <v>-4.0790837374515837E-13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243.63945673917135</v>
      </c>
      <c r="AO89" s="59">
        <f t="shared" si="90"/>
        <v>213.14969914288025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119.3122905441775</v>
      </c>
      <c r="AV89" s="21">
        <f>EXP(-LN(2)/25)*AV88+(1-EXP(-LN(2)/25))/(LN(2)/25)*Calculateur!AQ89*Calculateur!AS89*VLOOKUP('Données projet'!$B$10,Paramètres!$A$1:$I$89,3,0)*0.475*44/12</f>
        <v>56.040254188006735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175.35254473218424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-6.3550942286383367E-14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357.2406649189378</v>
      </c>
      <c r="BJ89" s="59">
        <f t="shared" si="92"/>
        <v>353.47109765343811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171.99972304403317</v>
      </c>
      <c r="BQ89" s="21">
        <f>EXP(-LN(2)/25)*BQ88+(1-EXP(-LN(2)/25))/(LN(2)/25)*Calculateur!BL89*Calculateur!BN89*VLOOKUP('Données projet'!$B$11,Paramètres!$A$1:$I$89,3,0)*0.475*44/12</f>
        <v>83.599257205913105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255.59898024994629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123.2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37.820639999999948</v>
      </c>
      <c r="D90" s="11">
        <f t="shared" si="86"/>
        <v>11.419137375235124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288.87336060137915</v>
      </c>
      <c r="H90" s="67">
        <f t="shared" si="56"/>
        <v>537.49261226186775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216.99952889049467</v>
      </c>
      <c r="T90" s="59">
        <f t="shared" si="88"/>
        <v>340.62742489103783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76.198030687137674</v>
      </c>
      <c r="AA90" s="21">
        <f>EXP(-LN(2)/25)*AA89+(1-EXP(-LN(2)/25))/(LN(2)/25)*Calculateur!V90*Calculateur!X90*VLOOKUP('Données projet'!$B$9,Paramètres!$A$1:$I$89,3,0)*0.475*44/12</f>
        <v>50.436335963564488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126.63436665070216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-6.8212102632969618E-13</v>
      </c>
      <c r="AJ90" s="13">
        <f>AI90*VLOOKUP('Données projet'!$B$10,Paramètres!$A$1:$I$89,3,0)*VLOOKUP('Données projet'!$B$10,Paramètres!$A$1:$I$89,5,0)</f>
        <v>-4.0790837374515837E-13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243.63945673917135</v>
      </c>
      <c r="AO90" s="59">
        <f t="shared" si="90"/>
        <v>213.14969914288025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116.97264929991765</v>
      </c>
      <c r="AV90" s="21">
        <f>EXP(-LN(2)/25)*AV89+(1-EXP(-LN(2)/25))/(LN(2)/25)*Calculateur!AQ90*Calculateur!AS90*VLOOKUP('Données projet'!$B$10,Paramètres!$A$1:$I$89,3,0)*0.475*44/12</f>
        <v>54.507830490206807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171.48047979012446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-6.3550942286383367E-14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357.2406649189378</v>
      </c>
      <c r="BJ90" s="59">
        <f t="shared" si="92"/>
        <v>353.47109765343811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168.62691338461178</v>
      </c>
      <c r="BQ90" s="21">
        <f>EXP(-LN(2)/25)*BQ89+(1-EXP(-LN(2)/25))/(LN(2)/25)*Calculateur!BL90*Calculateur!BN90*VLOOKUP('Données projet'!$B$11,Paramètres!$A$1:$I$89,3,0)*0.475*44/12</f>
        <v>81.31323112132354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249.94014450593534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123.2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38.255359999999946</v>
      </c>
      <c r="D91" s="11">
        <f t="shared" si="86"/>
        <v>11.535036555161826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292.10365979028239</v>
      </c>
      <c r="H91" s="67">
        <f t="shared" si="56"/>
        <v>538.45160733357341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216.99952889049467</v>
      </c>
      <c r="T91" s="59">
        <f t="shared" si="88"/>
        <v>340.62742489103783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74.703833781572484</v>
      </c>
      <c r="AA91" s="21">
        <f>EXP(-LN(2)/25)*AA90+(1-EXP(-LN(2)/25))/(LN(2)/25)*Calculateur!V91*Calculateur!X91*VLOOKUP('Données projet'!$B$9,Paramètres!$A$1:$I$89,3,0)*0.475*44/12</f>
        <v>49.057151704309184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123.76098548588166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-6.8212102632969618E-13</v>
      </c>
      <c r="AJ91" s="13">
        <f>AI91*VLOOKUP('Données projet'!$B$10,Paramètres!$A$1:$I$89,3,0)*VLOOKUP('Données projet'!$B$10,Paramètres!$A$1:$I$89,5,0)</f>
        <v>-4.0790837374515837E-13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243.63945673917135</v>
      </c>
      <c r="AO91" s="59">
        <f t="shared" si="90"/>
        <v>213.14969914288025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114.67888699341748</v>
      </c>
      <c r="AV91" s="21">
        <f>EXP(-LN(2)/25)*AV90+(1-EXP(-LN(2)/25))/(LN(2)/25)*Calculateur!AQ91*Calculateur!AS91*VLOOKUP('Données projet'!$B$10,Paramètres!$A$1:$I$89,3,0)*0.475*44/12</f>
        <v>53.017310999009872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167.69619799242736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-6.3550942286383367E-14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357.2406649189378</v>
      </c>
      <c r="BJ91" s="59">
        <f t="shared" si="92"/>
        <v>353.47109765343811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165.3202424654009</v>
      </c>
      <c r="BQ91" s="21">
        <f>EXP(-LN(2)/25)*BQ90+(1-EXP(-LN(2)/25))/(LN(2)/25)*Calculateur!BL91*Calculateur!BN91*VLOOKUP('Données projet'!$B$11,Paramètres!$A$1:$I$89,3,0)*0.475*44/12</f>
        <v>79.089716540233965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244.40995900563485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123.2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38.690079999999945</v>
      </c>
      <c r="D92" s="11">
        <f t="shared" si="86"/>
        <v>11.650782529939704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295.33306017564593</v>
      </c>
      <c r="H92" s="67">
        <f t="shared" si="56"/>
        <v>539.41033557297828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216.99952889049467</v>
      </c>
      <c r="T92" s="59">
        <f t="shared" si="88"/>
        <v>340.62742489103783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73.238937165955306</v>
      </c>
      <c r="AA92" s="21">
        <f>EXP(-LN(2)/25)*AA91+(1-EXP(-LN(2)/25))/(LN(2)/25)*Calculateur!V92*Calculateur!X92*VLOOKUP('Données projet'!$B$9,Paramètres!$A$1:$I$89,3,0)*0.475*44/12</f>
        <v>47.715681311151364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120.95461847710666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-6.8212102632969618E-13</v>
      </c>
      <c r="AJ92" s="13">
        <f>AI92*VLOOKUP('Données projet'!$B$10,Paramètres!$A$1:$I$89,3,0)*VLOOKUP('Données projet'!$B$10,Paramètres!$A$1:$I$89,5,0)</f>
        <v>-4.0790837374515837E-13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243.63945673917135</v>
      </c>
      <c r="AO92" s="59">
        <f t="shared" si="90"/>
        <v>213.14969914288025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112.43010396669091</v>
      </c>
      <c r="AV92" s="21">
        <f>EXP(-LN(2)/25)*AV91+(1-EXP(-LN(2)/25))/(LN(2)/25)*Calculateur!AQ92*Calculateur!AS92*VLOOKUP('Données projet'!$B$10,Paramètres!$A$1:$I$89,3,0)*0.475*44/12</f>
        <v>51.567549841682734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163.99765380837363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-6.3550942286383367E-14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357.2406649189378</v>
      </c>
      <c r="BJ92" s="59">
        <f t="shared" si="92"/>
        <v>353.47109765343811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162.07841334604561</v>
      </c>
      <c r="BQ92" s="21">
        <f>EXP(-LN(2)/25)*BQ91+(1-EXP(-LN(2)/25))/(LN(2)/25)*Calculateur!BL92*Calculateur!BN92*VLOOKUP('Données projet'!$B$11,Paramètres!$A$1:$I$89,3,0)*0.475*44/12</f>
        <v>76.927004082293834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239.00541742833946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123.2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39.124799999999944</v>
      </c>
      <c r="D93" s="11">
        <f t="shared" si="86"/>
        <v>11.76637722017167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298.56157302500679</v>
      </c>
      <c r="H93" s="67">
        <f t="shared" si="56"/>
        <v>540.36880032513227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216.99952889049467</v>
      </c>
      <c r="T93" s="59">
        <f t="shared" si="88"/>
        <v>340.62742489103783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71.802766279471669</v>
      </c>
      <c r="AA93" s="21">
        <f>EXP(-LN(2)/25)*AA92+(1-EXP(-LN(2)/25))/(LN(2)/25)*Calculateur!V93*Calculateur!X93*VLOOKUP('Données projet'!$B$9,Paramètres!$A$1:$I$89,3,0)*0.475*44/12</f>
        <v>46.410893496439307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118.21365977591097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-6.8212102632969618E-13</v>
      </c>
      <c r="AJ93" s="13">
        <f>AI93*VLOOKUP('Données projet'!$B$10,Paramètres!$A$1:$I$89,3,0)*VLOOKUP('Données projet'!$B$10,Paramètres!$A$1:$I$89,5,0)</f>
        <v>-4.0790837374515837E-13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243.63945673917135</v>
      </c>
      <c r="AO93" s="59">
        <f t="shared" si="90"/>
        <v>213.14969914288025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110.22541820349625</v>
      </c>
      <c r="AV93" s="21">
        <f>EXP(-LN(2)/25)*AV92+(1-EXP(-LN(2)/25))/(LN(2)/25)*Calculateur!AQ93*Calculateur!AS93*VLOOKUP('Données projet'!$B$10,Paramètres!$A$1:$I$89,3,0)*0.475*44/12</f>
        <v>50.157432479442335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160.38285068293857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-6.3550942286383367E-14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357.2406649189378</v>
      </c>
      <c r="BJ93" s="59">
        <f t="shared" si="92"/>
        <v>353.47109765343811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158.90015451840037</v>
      </c>
      <c r="BQ93" s="21">
        <f>EXP(-LN(2)/25)*BQ92+(1-EXP(-LN(2)/25))/(LN(2)/25)*Calculateur!BL93*Calculateur!BN93*VLOOKUP('Données projet'!$B$11,Paramètres!$A$1:$I$89,3,0)*0.475*44/12</f>
        <v>74.82343111024818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233.72358562864855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123.2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39.559519999999942</v>
      </c>
      <c r="D94" s="11">
        <f t="shared" si="86"/>
        <v>11.88182250132302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301.7892093410947</v>
      </c>
      <c r="H94" s="67">
        <f t="shared" si="56"/>
        <v>541.32700485647081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216.99952889049467</v>
      </c>
      <c r="T94" s="59">
        <f t="shared" si="88"/>
        <v>340.62742489103783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70.394757828094228</v>
      </c>
      <c r="AA94" s="21">
        <f>EXP(-LN(2)/25)*AA93+(1-EXP(-LN(2)/25))/(LN(2)/25)*Calculateur!V94*Calculateur!X94*VLOOKUP('Données projet'!$B$9,Paramètres!$A$1:$I$89,3,0)*0.475*44/12</f>
        <v>45.141785173136356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115.53654300123058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-6.8212102632969618E-13</v>
      </c>
      <c r="AJ94" s="13">
        <f>AI94*VLOOKUP('Données projet'!$B$10,Paramètres!$A$1:$I$89,3,0)*VLOOKUP('Données projet'!$B$10,Paramètres!$A$1:$I$89,5,0)</f>
        <v>-4.0790837374515837E-13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243.63945673917135</v>
      </c>
      <c r="AO94" s="59">
        <f t="shared" si="90"/>
        <v>213.14969914288025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108.0639649833923</v>
      </c>
      <c r="AV94" s="21">
        <f>EXP(-LN(2)/25)*AV93+(1-EXP(-LN(2)/25))/(LN(2)/25)*Calculateur!AQ94*Calculateur!AS94*VLOOKUP('Données projet'!$B$10,Paramètres!$A$1:$I$89,3,0)*0.475*44/12</f>
        <v>48.785874850627245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156.84983983401955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-6.3550942286383367E-14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357.2406649189378</v>
      </c>
      <c r="BJ94" s="59">
        <f t="shared" si="92"/>
        <v>353.47109765343811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155.7842194078188</v>
      </c>
      <c r="BQ94" s="21">
        <f>EXP(-LN(2)/25)*BQ93+(1-EXP(-LN(2)/25))/(LN(2)/25)*Calculateur!BL94*Calculateur!BN94*VLOOKUP('Données projet'!$B$11,Paramètres!$A$1:$I$89,3,0)*0.475*44/12</f>
        <v>72.777380451745216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228.56159985956401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123.2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39.994239999999941</v>
      </c>
      <c r="D95" s="11">
        <f t="shared" si="86"/>
        <v>11.99712020526637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305.01597987089576</v>
      </c>
      <c r="H95" s="67">
        <f t="shared" si="56"/>
        <v>542.28495235750552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216.99952889049467</v>
      </c>
      <c r="T95" s="59">
        <f t="shared" si="88"/>
        <v>340.62742489103783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69.014359563647943</v>
      </c>
      <c r="AA95" s="21">
        <f>EXP(-LN(2)/25)*AA94+(1-EXP(-LN(2)/25))/(LN(2)/25)*Calculateur!V95*Calculateur!X95*VLOOKUP('Données projet'!$B$9,Paramètres!$A$1:$I$89,3,0)*0.475*44/12</f>
        <v>43.90738068367363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112.92174024732157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-6.8212102632969618E-13</v>
      </c>
      <c r="AJ95" s="13">
        <f>AI95*VLOOKUP('Données projet'!$B$10,Paramètres!$A$1:$I$89,3,0)*VLOOKUP('Données projet'!$B$10,Paramètres!$A$1:$I$89,5,0)</f>
        <v>-4.0790837374515837E-13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243.63945673917135</v>
      </c>
      <c r="AO95" s="59">
        <f t="shared" si="90"/>
        <v>213.14969914288025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105.94489654257829</v>
      </c>
      <c r="AV95" s="21">
        <f>EXP(-LN(2)/25)*AV94+(1-EXP(-LN(2)/25))/(LN(2)/25)*Calculateur!AQ95*Calculateur!AS95*VLOOKUP('Données projet'!$B$10,Paramètres!$A$1:$I$89,3,0)*0.475*44/12</f>
        <v>47.451822537299186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153.39671907987747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-6.3550942286383367E-14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357.2406649189378</v>
      </c>
      <c r="BJ95" s="59">
        <f t="shared" si="92"/>
        <v>353.47109765343811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152.72938588422295</v>
      </c>
      <c r="BQ95" s="21">
        <f>EXP(-LN(2)/25)*BQ94+(1-EXP(-LN(2)/25))/(LN(2)/25)*Calculateur!BL95*Calculateur!BN95*VLOOKUP('Données projet'!$B$11,Paramètres!$A$1:$I$89,3,0)*0.475*44/12</f>
        <v>70.787279156096147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223.51666504031908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123.2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40.42895999999994</v>
      </c>
      <c r="D96" s="11">
        <f t="shared" si="86"/>
        <v>12.112272121757469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308.24189511431018</v>
      </c>
      <c r="H96" s="67">
        <f t="shared" si="56"/>
        <v>543.2426459453942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216.99952889049467</v>
      </c>
      <c r="T96" s="59">
        <f t="shared" si="88"/>
        <v>340.62742489103783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67.661030067207648</v>
      </c>
      <c r="AA96" s="21">
        <f>EXP(-LN(2)/25)*AA95+(1-EXP(-LN(2)/25))/(LN(2)/25)*Calculateur!V96*Calculateur!X96*VLOOKUP('Données projet'!$B$9,Paramètres!$A$1:$I$89,3,0)*0.475*44/12</f>
        <v>42.706731049889775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110.36776111709742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-6.8212102632969618E-13</v>
      </c>
      <c r="AJ96" s="13">
        <f>AI96*VLOOKUP('Données projet'!$B$10,Paramètres!$A$1:$I$89,3,0)*VLOOKUP('Données projet'!$B$10,Paramètres!$A$1:$I$89,5,0)</f>
        <v>-4.0790837374515837E-13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243.63945673917135</v>
      </c>
      <c r="AO96" s="59">
        <f t="shared" si="90"/>
        <v>213.14969914288025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103.86738174138452</v>
      </c>
      <c r="AV96" s="21">
        <f>EXP(-LN(2)/25)*AV95+(1-EXP(-LN(2)/25))/(LN(2)/25)*Calculateur!AQ96*Calculateur!AS96*VLOOKUP('Données projet'!$B$10,Paramètres!$A$1:$I$89,3,0)*0.475*44/12</f>
        <v>46.154249954633848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150.02163169601837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-6.3550942286383367E-14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357.2406649189378</v>
      </c>
      <c r="BJ96" s="59">
        <f t="shared" si="92"/>
        <v>353.47109765343811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149.73445578276036</v>
      </c>
      <c r="BQ96" s="21">
        <f>EXP(-LN(2)/25)*BQ95+(1-EXP(-LN(2)/25))/(LN(2)/25)*Calculateur!BL96*Calculateur!BN96*VLOOKUP('Données projet'!$B$11,Paramètres!$A$1:$I$89,3,0)*0.475*44/12</f>
        <v>68.851597285031474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218.58605306779185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123.2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40.863679999999938</v>
      </c>
      <c r="D97" s="11">
        <f t="shared" si="86"/>
        <v>12.22727999984577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311.46696533242817</v>
      </c>
      <c r="H97" s="67">
        <f t="shared" si="56"/>
        <v>544.20008866639796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216.99952889049467</v>
      </c>
      <c r="T97" s="59">
        <f t="shared" si="88"/>
        <v>340.62742489103783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66.334238536743058</v>
      </c>
      <c r="AA97" s="21">
        <f>EXP(-LN(2)/25)*AA96+(1-EXP(-LN(2)/25))/(LN(2)/25)*Calculateur!V97*Calculateur!X97*VLOOKUP('Données projet'!$B$9,Paramètres!$A$1:$I$89,3,0)*0.475*44/12</f>
        <v>41.538913243481161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107.87315178022422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-6.8212102632969618E-13</v>
      </c>
      <c r="AJ97" s="13">
        <f>AI97*VLOOKUP('Données projet'!$B$10,Paramètres!$A$1:$I$89,3,0)*VLOOKUP('Données projet'!$B$10,Paramètres!$A$1:$I$89,5,0)</f>
        <v>-4.0790837374515837E-13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243.63945673917135</v>
      </c>
      <c r="AO97" s="59">
        <f t="shared" si="90"/>
        <v>213.14969914288025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101.83060573828325</v>
      </c>
      <c r="AV97" s="21">
        <f>EXP(-LN(2)/25)*AV96+(1-EXP(-LN(2)/25))/(LN(2)/25)*Calculateur!AQ97*Calculateur!AS97*VLOOKUP('Données projet'!$B$10,Paramètres!$A$1:$I$89,3,0)*0.475*44/12</f>
        <v>44.892159562477865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146.72276530076113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-6.3550942286383367E-14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357.2406649189378</v>
      </c>
      <c r="BJ97" s="59">
        <f t="shared" si="92"/>
        <v>353.47109765343811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146.79825443386048</v>
      </c>
      <c r="BQ97" s="21">
        <f>EXP(-LN(2)/25)*BQ96+(1-EXP(-LN(2)/25))/(LN(2)/25)*Calculateur!BL97*Calculateur!BN97*VLOOKUP('Données projet'!$B$11,Paramètres!$A$1:$I$89,3,0)*0.475*44/12</f>
        <v>66.968846736524156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213.76710117038465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123.2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41.298399999999937</v>
      </c>
      <c r="D98" s="11">
        <f t="shared" si="86"/>
        <v>12.342145549223234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314.69120055544261</v>
      </c>
      <c r="H98" s="67">
        <f t="shared" si="56"/>
        <v>545.15728349823041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216.99952889049467</v>
      </c>
      <c r="T98" s="59">
        <f t="shared" si="88"/>
        <v>340.62742489103783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65.033464578927948</v>
      </c>
      <c r="AA98" s="21">
        <f>EXP(-LN(2)/25)*AA97+(1-EXP(-LN(2)/25))/(LN(2)/25)*Calculateur!V98*Calculateur!X98*VLOOKUP('Données projet'!$B$9,Paramètres!$A$1:$I$89,3,0)*0.475*44/12</f>
        <v>40.403029476401663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105.4364940553296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-6.8212102632969618E-13</v>
      </c>
      <c r="AJ98" s="13">
        <f>AI98*VLOOKUP('Données projet'!$B$10,Paramètres!$A$1:$I$89,3,0)*VLOOKUP('Données projet'!$B$10,Paramètres!$A$1:$I$89,5,0)</f>
        <v>-4.0790837374515837E-13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243.63945673917135</v>
      </c>
      <c r="AO98" s="59">
        <f t="shared" si="90"/>
        <v>213.14969914288025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99.833769670292114</v>
      </c>
      <c r="AV98" s="21">
        <f>EXP(-LN(2)/25)*AV97+(1-EXP(-LN(2)/25))/(LN(2)/25)*Calculateur!AQ98*Calculateur!AS98*VLOOKUP('Données projet'!$B$10,Paramètres!$A$1:$I$89,3,0)*0.475*44/12</f>
        <v>43.664581098465838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143.49835076875794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-6.3550942286383367E-14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357.2406649189378</v>
      </c>
      <c r="BJ98" s="59">
        <f t="shared" si="92"/>
        <v>353.47109765343811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143.91963020250654</v>
      </c>
      <c r="BQ98" s="21">
        <f>EXP(-LN(2)/25)*BQ97+(1-EXP(-LN(2)/25))/(LN(2)/25)*Calculateur!BL98*Calculateur!BN98*VLOOKUP('Données projet'!$B$11,Paramètres!$A$1:$I$89,3,0)*0.475*44/12</f>
        <v>65.13758010077531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209.05721030328186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123.2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41.733119999999936</v>
      </c>
      <c r="D99" s="11">
        <f t="shared" si="86"/>
        <v>12.456870441514701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317.91461059021924</v>
      </c>
      <c r="H99" s="67">
        <f t="shared" si="56"/>
        <v>546.11423335230472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216.99952889049467</v>
      </c>
      <c r="T99" s="59">
        <f t="shared" si="88"/>
        <v>340.62742489103783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63.758198005031822</v>
      </c>
      <c r="AA99" s="21">
        <f>EXP(-LN(2)/25)*AA98+(1-EXP(-LN(2)/25))/(LN(2)/25)*Calculateur!V99*Calculateur!X99*VLOOKUP('Données projet'!$B$9,Paramètres!$A$1:$I$89,3,0)*0.475*44/12</f>
        <v>39.298206510666482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103.0564045156983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-6.8212102632969618E-13</v>
      </c>
      <c r="AJ99" s="13">
        <f>AI99*VLOOKUP('Données projet'!$B$10,Paramètres!$A$1:$I$89,3,0)*VLOOKUP('Données projet'!$B$10,Paramètres!$A$1:$I$89,5,0)</f>
        <v>-4.0790837374515837E-13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243.63945673917135</v>
      </c>
      <c r="AO99" s="59">
        <f t="shared" si="90"/>
        <v>213.14969914288025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97.876090339644534</v>
      </c>
      <c r="AV99" s="21">
        <f>EXP(-LN(2)/25)*AV98+(1-EXP(-LN(2)/25))/(LN(2)/25)*Calculateur!AQ99*Calculateur!AS99*VLOOKUP('Données projet'!$B$10,Paramètres!$A$1:$I$89,3,0)*0.475*44/12</f>
        <v>42.470570832107768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140.34666117175232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-6.3550942286383367E-14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357.2406649189378</v>
      </c>
      <c r="BJ99" s="59">
        <f t="shared" si="92"/>
        <v>353.47109765343811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141.09745403654202</v>
      </c>
      <c r="BQ99" s="21">
        <f>EXP(-LN(2)/25)*BQ98+(1-EXP(-LN(2)/25))/(LN(2)/25)*Calculateur!BL99*Calculateur!BN99*VLOOKUP('Données projet'!$B$11,Paramètres!$A$1:$I$89,3,0)*0.475*44/12</f>
        <v>63.356389547483147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204.45384358402515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123.2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42.167839999999934</v>
      </c>
      <c r="D100" s="11">
        <f t="shared" si="86"/>
        <v>12.571456311513021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321.13720502754268</v>
      </c>
      <c r="H100" s="67">
        <f t="shared" si="56"/>
        <v>547.07094107588512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216.99952889049467</v>
      </c>
      <c r="T100" s="59">
        <f t="shared" si="88"/>
        <v>340.62742489103783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62.507938630813996</v>
      </c>
      <c r="AA100" s="21">
        <f>EXP(-LN(2)/25)*AA99+(1-EXP(-LN(2)/25))/(LN(2)/25)*Calculateur!V100*Calculateur!X100*VLOOKUP('Données projet'!$B$9,Paramètres!$A$1:$I$89,3,0)*0.475*44/12</f>
        <v>38.223594987029443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100.73153361784344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-6.8212102632969618E-13</v>
      </c>
      <c r="AJ100" s="13">
        <f>AI100*VLOOKUP('Données projet'!$B$10,Paramètres!$A$1:$I$89,3,0)*VLOOKUP('Données projet'!$B$10,Paramètres!$A$1:$I$89,5,0)</f>
        <v>-4.0790837374515837E-13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243.63945673917135</v>
      </c>
      <c r="AO100" s="59">
        <f t="shared" si="90"/>
        <v>213.14969914288025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95.956799906604473</v>
      </c>
      <c r="AV100" s="21">
        <f>EXP(-LN(2)/25)*AV99+(1-EXP(-LN(2)/25))/(LN(2)/25)*Calculateur!AQ100*Calculateur!AS100*VLOOKUP('Données projet'!$B$10,Paramètres!$A$1:$I$89,3,0)*0.475*44/12</f>
        <v>41.309210839273526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137.26601074587799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-6.3550942286383367E-14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357.2406649189378</v>
      </c>
      <c r="BJ100" s="59">
        <f t="shared" si="92"/>
        <v>353.47109765343811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138.33061902383457</v>
      </c>
      <c r="BQ100" s="21">
        <f>EXP(-LN(2)/25)*BQ99+(1-EXP(-LN(2)/25))/(LN(2)/25)*Calculateur!BL100*Calculateur!BN100*VLOOKUP('Données projet'!$B$11,Paramètres!$A$1:$I$89,3,0)*0.475*44/12</f>
        <v>61.623905743539495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199.95452476737407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123.2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42.602559999999933</v>
      </c>
      <c r="D101" s="11">
        <f t="shared" si="86"/>
        <v>12.685904758361735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324.35899324905517</v>
      </c>
      <c r="H101" s="67">
        <f t="shared" si="56"/>
        <v>548.02740945414655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216.99952889049467</v>
      </c>
      <c r="T101" s="59">
        <f t="shared" si="88"/>
        <v>340.62742489103783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61.282196080341663</v>
      </c>
      <c r="AA101" s="21">
        <f>EXP(-LN(2)/25)*AA100+(1-EXP(-LN(2)/25))/(LN(2)/25)*Calculateur!V101*Calculateur!X101*VLOOKUP('Données projet'!$B$9,Paramètres!$A$1:$I$89,3,0)*0.475*44/12</f>
        <v>37.178368772017627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98.460564852359283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-6.8212102632969618E-13</v>
      </c>
      <c r="AJ101" s="13">
        <f>AI101*VLOOKUP('Données projet'!$B$10,Paramètres!$A$1:$I$89,3,0)*VLOOKUP('Données projet'!$B$10,Paramètres!$A$1:$I$89,5,0)</f>
        <v>-4.0790837374515837E-13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243.63945673917135</v>
      </c>
      <c r="AO101" s="59">
        <f t="shared" si="90"/>
        <v>213.14969914288025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94.07514558830475</v>
      </c>
      <c r="AV101" s="21">
        <f>EXP(-LN(2)/25)*AV100+(1-EXP(-LN(2)/25))/(LN(2)/25)*Calculateur!AQ101*Calculateur!AS101*VLOOKUP('Données projet'!$B$10,Paramètres!$A$1:$I$89,3,0)*0.475*44/12</f>
        <v>40.179608296516605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134.25475388482135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-6.3550942286383367E-14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357.2406649189378</v>
      </c>
      <c r="BJ101" s="59">
        <f t="shared" si="92"/>
        <v>353.47109765343811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135.6180399581236</v>
      </c>
      <c r="BQ101" s="21">
        <f>EXP(-LN(2)/25)*BQ100+(1-EXP(-LN(2)/25))/(LN(2)/25)*Calculateur!BL101*Calculateur!BN101*VLOOKUP('Données projet'!$B$11,Paramètres!$A$1:$I$89,3,0)*0.475*44/12</f>
        <v>59.938796800322045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195.55683675844566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123.2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43.037279999999932</v>
      </c>
      <c r="D102" s="11">
        <f t="shared" si="86"/>
        <v>12.800217346688141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327.57998443390335</v>
      </c>
      <c r="H102" s="67">
        <f t="shared" si="56"/>
        <v>548.98364121214843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216.99952889049467</v>
      </c>
      <c r="T102" s="59">
        <f t="shared" si="88"/>
        <v>340.62742489103783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60.08048959365496</v>
      </c>
      <c r="AA102" s="21">
        <f>EXP(-LN(2)/25)*AA101+(1-EXP(-LN(2)/25))/(LN(2)/25)*Calculateur!V102*Calculateur!X102*VLOOKUP('Données projet'!$B$9,Paramètres!$A$1:$I$89,3,0)*0.475*44/12</f>
        <v>36.161724322821364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96.242213916476317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-6.8212102632969618E-13</v>
      </c>
      <c r="AJ102" s="13">
        <f>AI102*VLOOKUP('Données projet'!$B$10,Paramètres!$A$1:$I$89,3,0)*VLOOKUP('Données projet'!$B$10,Paramètres!$A$1:$I$89,5,0)</f>
        <v>-4.0790837374515837E-13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243.63945673917135</v>
      </c>
      <c r="AO102" s="59">
        <f t="shared" si="90"/>
        <v>213.14969914288025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92.230389363491085</v>
      </c>
      <c r="AV102" s="21">
        <f>EXP(-LN(2)/25)*AV101+(1-EXP(-LN(2)/25))/(LN(2)/25)*Calculateur!AQ102*Calculateur!AS102*VLOOKUP('Données projet'!$B$10,Paramètres!$A$1:$I$89,3,0)*0.475*44/12</f>
        <v>39.080894794694586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131.31128415818569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-6.3550942286383367E-14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357.2406649189378</v>
      </c>
      <c r="BJ102" s="59">
        <f t="shared" si="92"/>
        <v>353.47109765343811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132.95865291338137</v>
      </c>
      <c r="BQ102" s="21">
        <f>EXP(-LN(2)/25)*BQ101+(1-EXP(-LN(2)/25))/(LN(2)/25)*Calculateur!BL102*Calculateur!BN102*VLOOKUP('Données projet'!$B$11,Paramètres!$A$1:$I$89,3,0)*0.475*44/12</f>
        <v>58.299767249772906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191.25842016315428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123.2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43.47199999999993</v>
      </c>
      <c r="D103" s="11">
        <f t="shared" si="86"/>
        <v>12.914395607689219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330.8001875651097</v>
      </c>
      <c r="H103" s="67">
        <f t="shared" si="56"/>
        <v>549.93963901672532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216.99952889049467</v>
      </c>
      <c r="T103" s="59">
        <f t="shared" si="88"/>
        <v>340.62742489103783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58.902347838203596</v>
      </c>
      <c r="AA103" s="21">
        <f>EXP(-LN(2)/25)*AA102+(1-EXP(-LN(2)/25))/(LN(2)/25)*Calculateur!V103*Calculateur!X103*VLOOKUP('Données projet'!$B$9,Paramètres!$A$1:$I$89,3,0)*0.475*44/12</f>
        <v>35.172880069551383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94.075227907754979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-6.8212102632969618E-13</v>
      </c>
      <c r="AJ103" s="13">
        <f>AI103*VLOOKUP('Données projet'!$B$10,Paramètres!$A$1:$I$89,3,0)*VLOOKUP('Données projet'!$B$10,Paramètres!$A$1:$I$89,5,0)</f>
        <v>-4.0790837374515837E-13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243.63945673917135</v>
      </c>
      <c r="AO103" s="59">
        <f t="shared" si="90"/>
        <v>213.14969914288025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90.421807683055818</v>
      </c>
      <c r="AV103" s="21">
        <f>EXP(-LN(2)/25)*AV102+(1-EXP(-LN(2)/25))/(LN(2)/25)*Calculateur!AQ103*Calculateur!AS103*VLOOKUP('Données projet'!$B$10,Paramètres!$A$1:$I$89,3,0)*0.475*44/12</f>
        <v>38.012225671358728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128.43403335441454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-6.3550942286383367E-14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357.2406649189378</v>
      </c>
      <c r="BJ103" s="59">
        <f t="shared" si="92"/>
        <v>353.47109765343811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130.3514148265206</v>
      </c>
      <c r="BQ103" s="21">
        <f>EXP(-LN(2)/25)*BQ102+(1-EXP(-LN(2)/25))/(LN(2)/25)*Calculateur!BL103*Calculateur!BN103*VLOOKUP('Données projet'!$B$11,Paramètres!$A$1:$I$89,3,0)*0.475*44/12</f>
        <v>56.705557048476351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187.05697187499695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123.2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43.906719999999929</v>
      </c>
      <c r="D104" s="11">
        <f t="shared" si="86"/>
        <v>13.028441040172982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334.01961143568116</v>
      </c>
      <c r="H104" s="67">
        <f t="shared" si="56"/>
        <v>550.8954054783012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216.99952889049467</v>
      </c>
      <c r="T104" s="59">
        <f t="shared" si="88"/>
        <v>340.62742489103783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57.747308723981121</v>
      </c>
      <c r="AA104" s="21">
        <f>EXP(-LN(2)/25)*AA103+(1-EXP(-LN(2)/25))/(LN(2)/25)*Calculateur!V104*Calculateur!X104*VLOOKUP('Données projet'!$B$9,Paramètres!$A$1:$I$89,3,0)*0.475*44/12</f>
        <v>34.211075814388124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91.958384538369245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-6.8212102632969618E-13</v>
      </c>
      <c r="AJ104" s="13">
        <f>AI104*VLOOKUP('Données projet'!$B$10,Paramètres!$A$1:$I$89,3,0)*VLOOKUP('Données projet'!$B$10,Paramètres!$A$1:$I$89,5,0)</f>
        <v>-4.0790837374515837E-13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243.63945673917135</v>
      </c>
      <c r="AO104" s="59">
        <f t="shared" si="90"/>
        <v>213.14969914288025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88.648691186247987</v>
      </c>
      <c r="AV104" s="21">
        <f>EXP(-LN(2)/25)*AV103+(1-EXP(-LN(2)/25))/(LN(2)/25)*Calculateur!AQ104*Calculateur!AS104*VLOOKUP('Données projet'!$B$10,Paramètres!$A$1:$I$89,3,0)*0.475*44/12</f>
        <v>36.972779361399354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125.62147054764733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-6.3550942286383367E-14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357.2406649189378</v>
      </c>
      <c r="BJ104" s="59">
        <f t="shared" si="92"/>
        <v>353.47109765343811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127.79530308828495</v>
      </c>
      <c r="BQ104" s="21">
        <f>EXP(-LN(2)/25)*BQ103+(1-EXP(-LN(2)/25))/(LN(2)/25)*Calculateur!BL104*Calculateur!BN104*VLOOKUP('Données projet'!$B$11,Paramètres!$A$1:$I$89,3,0)*0.475*44/12</f>
        <v>55.154940608970122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182.95024369725508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123.2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44.341439999999928</v>
      </c>
      <c r="D105" s="11">
        <f t="shared" si="86"/>
        <v>13.142355111557277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337.23826465446899</v>
      </c>
      <c r="H105" s="67">
        <f t="shared" si="56"/>
        <v>551.85094315262882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216.99952889049467</v>
      </c>
      <c r="T105" s="59">
        <f t="shared" si="88"/>
        <v>340.62742489103783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56.61491922228425</v>
      </c>
      <c r="AA105" s="21">
        <f>EXP(-LN(2)/25)*AA104+(1-EXP(-LN(2)/25))/(LN(2)/25)*Calculateur!V105*Calculateur!X105*VLOOKUP('Données projet'!$B$9,Paramètres!$A$1:$I$89,3,0)*0.475*44/12</f>
        <v>33.275572147161391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89.890491369445641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-6.8212102632969618E-13</v>
      </c>
      <c r="AJ105" s="13">
        <f>AI105*VLOOKUP('Données projet'!$B$10,Paramètres!$A$1:$I$89,3,0)*VLOOKUP('Données projet'!$B$10,Paramètres!$A$1:$I$89,5,0)</f>
        <v>-4.0790837374515837E-13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243.63945673917135</v>
      </c>
      <c r="AO105" s="59">
        <f t="shared" si="90"/>
        <v>213.14969914288025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86.91034442244829</v>
      </c>
      <c r="AV105" s="21">
        <f>EXP(-LN(2)/25)*AV104+(1-EXP(-LN(2)/25))/(LN(2)/25)*Calculateur!AQ105*Calculateur!AS105*VLOOKUP('Données projet'!$B$10,Paramètres!$A$1:$I$89,3,0)*0.475*44/12</f>
        <v>35.961756765447923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122.87210118789622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-6.3550942286383367E-14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357.2406649189378</v>
      </c>
      <c r="BJ105" s="59">
        <f t="shared" si="92"/>
        <v>353.47109765343811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125.2893151421619</v>
      </c>
      <c r="BQ105" s="21">
        <f>EXP(-LN(2)/25)*BQ104+(1-EXP(-LN(2)/25))/(LN(2)/25)*Calculateur!BL105*Calculateur!BN105*VLOOKUP('Données projet'!$B$11,Paramètres!$A$1:$I$89,3,0)*0.475*44/12</f>
        <v>53.646725857545569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178.93604099970747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123.2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44.776159999999926</v>
      </c>
      <c r="D106" s="11">
        <f t="shared" si="86"/>
        <v>13.256139258828416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340.45615565179304</v>
      </c>
      <c r="H106" s="67">
        <f t="shared" si="56"/>
        <v>552.80625454245933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216.99952889049467</v>
      </c>
      <c r="T106" s="59">
        <f t="shared" si="88"/>
        <v>340.62742489103783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55.50473518802626</v>
      </c>
      <c r="AA106" s="21">
        <f>EXP(-LN(2)/25)*AA105+(1-EXP(-LN(2)/25))/(LN(2)/25)*Calculateur!V106*Calculateur!X106*VLOOKUP('Données projet'!$B$9,Paramètres!$A$1:$I$89,3,0)*0.475*44/12</f>
        <v>32.365649876910979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87.870385064937238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-6.8212102632969618E-13</v>
      </c>
      <c r="AJ106" s="13">
        <f>AI106*VLOOKUP('Données projet'!$B$10,Paramètres!$A$1:$I$89,3,0)*VLOOKUP('Données projet'!$B$10,Paramètres!$A$1:$I$89,5,0)</f>
        <v>-4.0790837374515837E-13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243.63945673917135</v>
      </c>
      <c r="AO106" s="59">
        <f t="shared" si="90"/>
        <v>213.14969914288025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85.206085578399865</v>
      </c>
      <c r="AV106" s="21">
        <f>EXP(-LN(2)/25)*AV105+(1-EXP(-LN(2)/25))/(LN(2)/25)*Calculateur!AQ106*Calculateur!AS106*VLOOKUP('Données projet'!$B$10,Paramètres!$A$1:$I$89,3,0)*0.475*44/12</f>
        <v>34.978380635550153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120.18446621395002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-6.3550942286383367E-14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357.2406649189378</v>
      </c>
      <c r="BJ106" s="59">
        <f t="shared" si="92"/>
        <v>353.47109765343811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122.83246809116059</v>
      </c>
      <c r="BQ106" s="21">
        <f>EXP(-LN(2)/25)*BQ105+(1-EXP(-LN(2)/25))/(LN(2)/25)*Calculateur!BL106*Calculateur!BN106*VLOOKUP('Données projet'!$B$11,Paramètres!$A$1:$I$89,3,0)*0.475*44/12</f>
        <v>52.179753317812285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175.01222140897289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123.2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45.210879999999925</v>
      </c>
      <c r="D107" s="11">
        <f t="shared" si="86"/>
        <v>13.369794889461412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343.67329268483985</v>
      </c>
      <c r="H107" s="67">
        <f t="shared" si="56"/>
        <v>553.76134209914517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216.99952889049467</v>
      </c>
      <c r="T107" s="59">
        <f t="shared" si="88"/>
        <v>340.62742489103783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54.41632118553467</v>
      </c>
      <c r="AA107" s="21">
        <f>EXP(-LN(2)/25)*AA106+(1-EXP(-LN(2)/25))/(LN(2)/25)*Calculateur!V107*Calculateur!X107*VLOOKUP('Données projet'!$B$9,Paramètres!$A$1:$I$89,3,0)*0.475*44/12</f>
        <v>31.480609478991294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85.896930664525968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-6.8212102632969618E-13</v>
      </c>
      <c r="AJ107" s="13">
        <f>AI107*VLOOKUP('Données projet'!$B$10,Paramètres!$A$1:$I$89,3,0)*VLOOKUP('Données projet'!$B$10,Paramètres!$A$1:$I$89,5,0)</f>
        <v>-4.0790837374515837E-13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243.63945673917135</v>
      </c>
      <c r="AO107" s="59">
        <f t="shared" si="90"/>
        <v>213.14969914288025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83.535246210787975</v>
      </c>
      <c r="AV107" s="21">
        <f>EXP(-LN(2)/25)*AV106+(1-EXP(-LN(2)/25))/(LN(2)/25)*Calculateur!AQ107*Calculateur!AS107*VLOOKUP('Données projet'!$B$10,Paramètres!$A$1:$I$89,3,0)*0.475*44/12</f>
        <v>34.021894977637942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117.55714118842592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-6.3550942286383367E-14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357.2406649189378</v>
      </c>
      <c r="BJ107" s="59">
        <f t="shared" si="92"/>
        <v>353.47109765343811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120.42379831230069</v>
      </c>
      <c r="BQ107" s="21">
        <f>EXP(-LN(2)/25)*BQ106+(1-EXP(-LN(2)/25))/(LN(2)/25)*Calculateur!BL107*Calculateur!BN107*VLOOKUP('Données projet'!$B$11,Paramètres!$A$1:$I$89,3,0)*0.475*44/12</f>
        <v>50.752895219322738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171.17669353162341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123.2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45.645599999999924</v>
      </c>
      <c r="D108" s="11">
        <f t="shared" si="86"/>
        <v>13.483323382303874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346.88968384284891</v>
      </c>
      <c r="H108" s="67">
        <f t="shared" si="56"/>
        <v>554.71620822417913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216.99952889049467</v>
      </c>
      <c r="T108" s="59">
        <f t="shared" si="88"/>
        <v>340.62742489103783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53.349250317764948</v>
      </c>
      <c r="AA108" s="21">
        <f>EXP(-LN(2)/25)*AA107+(1-EXP(-LN(2)/25))/(LN(2)/25)*Calculateur!V108*Calculateur!X108*VLOOKUP('Données projet'!$B$9,Paramètres!$A$1:$I$89,3,0)*0.475*44/12</f>
        <v>30.619770557294974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83.969020875059925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-6.8212102632969618E-13</v>
      </c>
      <c r="AJ108" s="13">
        <f>AI108*VLOOKUP('Données projet'!$B$10,Paramètres!$A$1:$I$89,3,0)*VLOOKUP('Données projet'!$B$10,Paramètres!$A$1:$I$89,5,0)</f>
        <v>-4.0790837374515837E-13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243.63945673917135</v>
      </c>
      <c r="AO108" s="59">
        <f t="shared" si="90"/>
        <v>213.14969914288025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81.897170984063578</v>
      </c>
      <c r="AV108" s="21">
        <f>EXP(-LN(2)/25)*AV107+(1-EXP(-LN(2)/25))/(LN(2)/25)*Calculateur!AQ108*Calculateur!AS108*VLOOKUP('Données projet'!$B$10,Paramètres!$A$1:$I$89,3,0)*0.475*44/12</f>
        <v>33.091564470340735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114.98873545440432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-6.3550942286383367E-14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357.2406649189378</v>
      </c>
      <c r="BJ108" s="59">
        <f t="shared" si="92"/>
        <v>353.47109765343811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118.06236107866073</v>
      </c>
      <c r="BQ108" s="21">
        <f>EXP(-LN(2)/25)*BQ107+(1-EXP(-LN(2)/25))/(LN(2)/25)*Calculateur!BL108*Calculateur!BN108*VLOOKUP('Données projet'!$B$11,Paramètres!$A$1:$I$89,3,0)*0.475*44/12</f>
        <v>49.365054630571599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167.42741570923232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123.2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46.080319999999922</v>
      </c>
      <c r="D109" s="11">
        <f t="shared" si="86"/>
        <v>13.596726088425253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350.1053370520944</v>
      </c>
      <c r="H109" s="67">
        <f t="shared" si="56"/>
        <v>555.67085527067388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216.99952889049467</v>
      </c>
      <c r="T109" s="59">
        <f t="shared" si="88"/>
        <v>340.62742489103783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52.303104058863227</v>
      </c>
      <c r="AA109" s="21">
        <f>EXP(-LN(2)/25)*AA108+(1-EXP(-LN(2)/25))/(LN(2)/25)*Calculateur!V109*Calculateur!X109*VLOOKUP('Données projet'!$B$9,Paramètres!$A$1:$I$89,3,0)*0.475*44/12</f>
        <v>29.78247132118199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82.085575380045213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-6.8212102632969618E-13</v>
      </c>
      <c r="AJ109" s="13">
        <f>AI109*VLOOKUP('Données projet'!$B$10,Paramètres!$A$1:$I$89,3,0)*VLOOKUP('Données projet'!$B$10,Paramètres!$A$1:$I$89,5,0)</f>
        <v>-4.0790837374515837E-13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243.63945673917135</v>
      </c>
      <c r="AO109" s="59">
        <f t="shared" si="90"/>
        <v>213.14969914288025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80.291217413408006</v>
      </c>
      <c r="AV109" s="21">
        <f>EXP(-LN(2)/25)*AV108+(1-EXP(-LN(2)/25))/(LN(2)/25)*Calculateur!AQ109*Calculateur!AS109*VLOOKUP('Données projet'!$B$10,Paramètres!$A$1:$I$89,3,0)*0.475*44/12</f>
        <v>32.186673899689524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112.47789131309753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-6.3550942286383367E-14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357.2406649189378</v>
      </c>
      <c r="BJ109" s="59">
        <f t="shared" si="92"/>
        <v>353.47109765343811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115.74723018883796</v>
      </c>
      <c r="BQ109" s="21">
        <f>EXP(-LN(2)/25)*BQ108+(1-EXP(-LN(2)/25))/(LN(2)/25)*Calculateur!BL109*Calculateur!BN109*VLOOKUP('Données projet'!$B$11,Paramètres!$A$1:$I$89,3,0)*0.475*44/12</f>
        <v>48.01516461570322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163.76239480454117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123.2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46.515039999999921</v>
      </c>
      <c r="D110" s="11">
        <f t="shared" si="86"/>
        <v>13.710004331933119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353.3202600806739</v>
      </c>
      <c r="H110" s="67">
        <f t="shared" si="56"/>
        <v>556.62528554478342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216.99952889049467</v>
      </c>
      <c r="T110" s="59">
        <f t="shared" si="88"/>
        <v>340.62742489103783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51.27747209001236</v>
      </c>
      <c r="AA110" s="21">
        <f>EXP(-LN(2)/25)*AA109+(1-EXP(-LN(2)/25))/(LN(2)/25)*Calculateur!V110*Calculateur!X110*VLOOKUP('Données projet'!$B$9,Paramètres!$A$1:$I$89,3,0)*0.475*44/12</f>
        <v>28.968068076712171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80.245540166724538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-6.8212102632969618E-13</v>
      </c>
      <c r="AJ110" s="13">
        <f>AI110*VLOOKUP('Données projet'!$B$10,Paramètres!$A$1:$I$89,3,0)*VLOOKUP('Données projet'!$B$10,Paramètres!$A$1:$I$89,5,0)</f>
        <v>-4.0790837374515837E-13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243.63945673917135</v>
      </c>
      <c r="AO110" s="59">
        <f t="shared" si="90"/>
        <v>213.14969914288025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78.716755612738041</v>
      </c>
      <c r="AV110" s="21">
        <f>EXP(-LN(2)/25)*AV109+(1-EXP(-LN(2)/25))/(LN(2)/25)*Calculateur!AQ110*Calculateur!AS110*VLOOKUP('Données projet'!$B$10,Paramètres!$A$1:$I$89,3,0)*0.475*44/12</f>
        <v>31.306527609278898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110.02328322201694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-6.3550942286383367E-14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357.2406649189378</v>
      </c>
      <c r="BJ110" s="59">
        <f t="shared" si="92"/>
        <v>353.47109765343811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113.47749760367421</v>
      </c>
      <c r="BQ110" s="21">
        <f>EXP(-LN(2)/25)*BQ109+(1-EXP(-LN(2)/25))/(LN(2)/25)*Calculateur!BL110*Calculateur!BN110*VLOOKUP('Données projet'!$B$11,Paramètres!$A$1:$I$89,3,0)*0.475*44/12</f>
        <v>46.702187414279052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160.17968501795326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123.2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46.94975999999992</v>
      </c>
      <c r="D111" s="11">
        <f t="shared" si="86"/>
        <v>13.823159410758038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356.53446054311343</v>
      </c>
      <c r="H111" s="67">
        <f t="shared" si="56"/>
        <v>557.57950130707013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216.99952889049467</v>
      </c>
      <c r="T111" s="59">
        <f t="shared" si="88"/>
        <v>340.62742489103783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50.271952138496928</v>
      </c>
      <c r="AA111" s="21">
        <f>EXP(-LN(2)/25)*AA110+(1-EXP(-LN(2)/25))/(LN(2)/25)*Calculateur!V111*Calculateur!X111*VLOOKUP('Données projet'!$B$9,Paramètres!$A$1:$I$89,3,0)*0.475*44/12</f>
        <v>28.175934731789983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78.447886870286908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-6.8212102632969618E-13</v>
      </c>
      <c r="AJ111" s="13">
        <f>AI111*VLOOKUP('Données projet'!$B$10,Paramètres!$A$1:$I$89,3,0)*VLOOKUP('Données projet'!$B$10,Paramètres!$A$1:$I$89,5,0)</f>
        <v>-4.0790837374515837E-13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243.63945673917135</v>
      </c>
      <c r="AO111" s="59">
        <f t="shared" si="90"/>
        <v>213.14969914288025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77.173168047652339</v>
      </c>
      <c r="AV111" s="21">
        <f>EXP(-LN(2)/25)*AV110+(1-EXP(-LN(2)/25))/(LN(2)/25)*Calculateur!AQ111*Calculateur!AS111*VLOOKUP('Données projet'!$B$10,Paramètres!$A$1:$I$89,3,0)*0.475*44/12</f>
        <v>30.450448965464432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107.62361701311677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-6.3550942286383367E-14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357.2406649189378</v>
      </c>
      <c r="BJ111" s="59">
        <f t="shared" si="92"/>
        <v>353.47109765343811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111.25227309010533</v>
      </c>
      <c r="BQ111" s="21">
        <f>EXP(-LN(2)/25)*BQ110+(1-EXP(-LN(2)/25))/(LN(2)/25)*Calculateur!BL111*Calculateur!BN111*VLOOKUP('Données projet'!$B$11,Paramètres!$A$1:$I$89,3,0)*0.475*44/12</f>
        <v>45.425113643474297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156.67738673357962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123.2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47.384479999999918</v>
      </c>
      <c r="D112" s="11">
        <f t="shared" si="86"/>
        <v>13.936192597408576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359.74794590479655</v>
      </c>
      <c r="H112" s="67">
        <f t="shared" si="56"/>
        <v>558.5335047738198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216.99952889049467</v>
      </c>
      <c r="T112" s="59">
        <f t="shared" si="88"/>
        <v>340.62742489103783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49.286149819924098</v>
      </c>
      <c r="AA112" s="21">
        <f>EXP(-LN(2)/25)*AA111+(1-EXP(-LN(2)/25))/(LN(2)/25)*Calculateur!V112*Calculateur!X112*VLOOKUP('Données projet'!$B$9,Paramètres!$A$1:$I$89,3,0)*0.475*44/12</f>
        <v>27.405462314841177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76.691612134765279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-6.8212102632969618E-13</v>
      </c>
      <c r="AJ112" s="13">
        <f>AI112*VLOOKUP('Données projet'!$B$10,Paramètres!$A$1:$I$89,3,0)*VLOOKUP('Données projet'!$B$10,Paramètres!$A$1:$I$89,5,0)</f>
        <v>-4.0790837374515837E-13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243.63945673917135</v>
      </c>
      <c r="AO112" s="59">
        <f t="shared" si="90"/>
        <v>213.14969914288025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75.659849293222507</v>
      </c>
      <c r="AV112" s="21">
        <f>EXP(-LN(2)/25)*AV111+(1-EXP(-LN(2)/25))/(LN(2)/25)*Calculateur!AQ112*Calculateur!AS112*VLOOKUP('Données projet'!$B$10,Paramètres!$A$1:$I$89,3,0)*0.475*44/12</f>
        <v>29.61777983718429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105.27762913040679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-6.3550942286383367E-14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357.2406649189378</v>
      </c>
      <c r="BJ112" s="59">
        <f t="shared" si="92"/>
        <v>353.47109765343811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109.07068387199462</v>
      </c>
      <c r="BQ112" s="21">
        <f>EXP(-LN(2)/25)*BQ111+(1-EXP(-LN(2)/25))/(LN(2)/25)*Calculateur!BL112*Calculateur!BN112*VLOOKUP('Données projet'!$B$11,Paramètres!$A$1:$I$89,3,0)*0.475*44/12</f>
        <v>44.182961522090586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153.2536453940852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123.2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47.819199999999917</v>
      </c>
      <c r="D113" s="11">
        <f t="shared" si="86"/>
        <v>14.049105139697772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362.96072348622647</v>
      </c>
      <c r="H113" s="67">
        <f t="shared" si="56"/>
        <v>559.48729811830685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216.99952889049467</v>
      </c>
      <c r="T113" s="59">
        <f t="shared" si="88"/>
        <v>340.62742489103783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48.319678483538439</v>
      </c>
      <c r="AA113" s="21">
        <f>EXP(-LN(2)/25)*AA112+(1-EXP(-LN(2)/25))/(LN(2)/25)*Calculateur!V113*Calculateur!X113*VLOOKUP('Données projet'!$B$9,Paramètres!$A$1:$I$89,3,0)*0.475*44/12</f>
        <v>26.656058506651217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74.97573699018966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-6.8212102632969618E-13</v>
      </c>
      <c r="AJ113" s="13">
        <f>AI113*VLOOKUP('Données projet'!$B$10,Paramètres!$A$1:$I$89,3,0)*VLOOKUP('Données projet'!$B$10,Paramètres!$A$1:$I$89,5,0)</f>
        <v>-4.0790837374515837E-13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243.63945673917135</v>
      </c>
      <c r="AO113" s="59">
        <f t="shared" si="90"/>
        <v>213.14969914288025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74.17620579653375</v>
      </c>
      <c r="AV113" s="21">
        <f>EXP(-LN(2)/25)*AV112+(1-EXP(-LN(2)/25))/(LN(2)/25)*Calculateur!AQ113*Calculateur!AS113*VLOOKUP('Données projet'!$B$10,Paramètres!$A$1:$I$89,3,0)*0.475*44/12</f>
        <v>28.807880090005138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102.98408588653889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-6.3550942286383367E-14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357.2406649189378</v>
      </c>
      <c r="BJ113" s="59">
        <f t="shared" si="92"/>
        <v>353.47109765343811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106.93187428781302</v>
      </c>
      <c r="BQ113" s="21">
        <f>EXP(-LN(2)/25)*BQ112+(1-EXP(-LN(2)/25))/(LN(2)/25)*Calculateur!BL113*Calculateur!BN113*VLOOKUP('Données projet'!$B$11,Paramètres!$A$1:$I$89,3,0)*0.475*44/12</f>
        <v>42.974776115788053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149.90665040360108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123.2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48.253919999999916</v>
      </c>
      <c r="D114" s="11">
        <f t="shared" si="86"/>
        <v>14.161898261442456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366.17280046712858</v>
      </c>
      <c r="H114" s="67">
        <f t="shared" si="56"/>
        <v>560.44088347201216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216.99952889049467</v>
      </c>
      <c r="T114" s="59">
        <f t="shared" si="88"/>
        <v>340.62742489103783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47.372159060569999</v>
      </c>
      <c r="AA114" s="21">
        <f>EXP(-LN(2)/25)*AA113+(1-EXP(-LN(2)/25))/(LN(2)/25)*Calculateur!V114*Calculateur!X114*VLOOKUP('Données projet'!$B$9,Paramètres!$A$1:$I$89,3,0)*0.475*44/12</f>
        <v>25.927147185005644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73.29930624557565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-6.8212102632969618E-13</v>
      </c>
      <c r="AJ114" s="13">
        <f>AI114*VLOOKUP('Données projet'!$B$10,Paramètres!$A$1:$I$89,3,0)*VLOOKUP('Données projet'!$B$10,Paramètres!$A$1:$I$89,5,0)</f>
        <v>-4.0790837374515837E-13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243.63945673917135</v>
      </c>
      <c r="AO114" s="59">
        <f t="shared" si="90"/>
        <v>213.14969914288025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72.721655643881888</v>
      </c>
      <c r="AV114" s="21">
        <f>EXP(-LN(2)/25)*AV113+(1-EXP(-LN(2)/25))/(LN(2)/25)*Calculateur!AQ114*Calculateur!AS114*VLOOKUP('Données projet'!$B$10,Paramètres!$A$1:$I$89,3,0)*0.475*44/12</f>
        <v>28.020127094003374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100.74178273788526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-6.3550942286383367E-14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357.2406649189378</v>
      </c>
      <c r="BJ114" s="59">
        <f t="shared" si="92"/>
        <v>353.47109765343811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104.83500545503217</v>
      </c>
      <c r="BQ114" s="21">
        <f>EXP(-LN(2)/25)*BQ113+(1-EXP(-LN(2)/25))/(LN(2)/25)*Calculateur!BL114*Calculateur!BN114*VLOOKUP('Données projet'!$B$11,Paramètres!$A$1:$I$89,3,0)*0.475*44/12</f>
        <v>41.799628602956574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146.63463405798876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123.2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48.688639999999914</v>
      </c>
      <c r="D115" s="11">
        <f t="shared" si="86"/>
        <v>14.274573163136663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369.38418389040135</v>
      </c>
      <c r="H115" s="67">
        <f t="shared" si="56"/>
        <v>561.39426292579617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216.99952889049467</v>
      </c>
      <c r="T115" s="59">
        <f t="shared" si="88"/>
        <v>340.62742489103783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46.443219915556185</v>
      </c>
      <c r="AA115" s="21">
        <f>EXP(-LN(2)/25)*AA114+(1-EXP(-LN(2)/25))/(LN(2)/25)*Calculateur!V115*Calculateur!X115*VLOOKUP('Données projet'!$B$9,Paramètres!$A$1:$I$89,3,0)*0.475*44/12</f>
        <v>25.218167981782251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71.661387897338443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-6.8212102632969618E-13</v>
      </c>
      <c r="AJ115" s="13">
        <f>AI115*VLOOKUP('Données projet'!$B$10,Paramètres!$A$1:$I$89,3,0)*VLOOKUP('Données projet'!$B$10,Paramètres!$A$1:$I$89,5,0)</f>
        <v>-4.0790837374515837E-13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243.63945673917135</v>
      </c>
      <c r="AO115" s="59">
        <f t="shared" si="90"/>
        <v>213.14969914288025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71.295628332535529</v>
      </c>
      <c r="AV115" s="21">
        <f>EXP(-LN(2)/25)*AV114+(1-EXP(-LN(2)/25))/(LN(2)/25)*Calculateur!AQ115*Calculateur!AS115*VLOOKUP('Données projet'!$B$10,Paramètres!$A$1:$I$89,3,0)*0.475*44/12</f>
        <v>27.253915245103411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98.549543577638943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-6.3550942286383367E-14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357.2406649189378</v>
      </c>
      <c r="BJ115" s="59">
        <f t="shared" si="92"/>
        <v>353.47109765343811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102.77925494109847</v>
      </c>
      <c r="BQ115" s="21">
        <f>EXP(-LN(2)/25)*BQ114+(1-EXP(-LN(2)/25))/(LN(2)/25)*Calculateur!BL115*Calculateur!BN115*VLOOKUP('Données projet'!$B$11,Paramètres!$A$1:$I$89,3,0)*0.475*44/12</f>
        <v>40.656615560661791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143.43587050176026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123.2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49.123359999999913</v>
      </c>
      <c r="D116" s="11">
        <f t="shared" si="86"/>
        <v>14.387131022600245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372.59488066592093</v>
      </c>
      <c r="H116" s="67">
        <f t="shared" si="56"/>
        <v>562.34743853102862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216.99952889049467</v>
      </c>
      <c r="T116" s="59">
        <f t="shared" si="88"/>
        <v>340.62742489103783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45.532496700579159</v>
      </c>
      <c r="AA116" s="21">
        <f>EXP(-LN(2)/25)*AA115+(1-EXP(-LN(2)/25))/(LN(2)/25)*Calculateur!V116*Calculateur!X116*VLOOKUP('Données projet'!$B$9,Paramètres!$A$1:$I$89,3,0)*0.475*44/12</f>
        <v>24.528575852154599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70.061072552733762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-6.8212102632969618E-13</v>
      </c>
      <c r="AJ116" s="13">
        <f>AI116*VLOOKUP('Données projet'!$B$10,Paramètres!$A$1:$I$89,3,0)*VLOOKUP('Données projet'!$B$10,Paramètres!$A$1:$I$89,5,0)</f>
        <v>-4.0790837374515837E-13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243.63945673917135</v>
      </c>
      <c r="AO116" s="59">
        <f t="shared" si="90"/>
        <v>213.14969914288025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69.897564546973896</v>
      </c>
      <c r="AV116" s="21">
        <f>EXP(-LN(2)/25)*AV115+(1-EXP(-LN(2)/25))/(LN(2)/25)*Calculateur!AQ116*Calculateur!AS116*VLOOKUP('Données projet'!$B$10,Paramètres!$A$1:$I$89,3,0)*0.475*44/12</f>
        <v>26.508655499504943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96.406220046478836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-6.3550942286383367E-14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357.2406649189378</v>
      </c>
      <c r="BJ116" s="59">
        <f t="shared" si="92"/>
        <v>353.47109765343811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100.763816440859</v>
      </c>
      <c r="BQ116" s="21">
        <f>EXP(-LN(2)/25)*BQ115+(1-EXP(-LN(2)/25))/(LN(2)/25)*Calculateur!BL116*Calculateur!BN116*VLOOKUP('Données projet'!$B$11,Paramètres!$A$1:$I$89,3,0)*0.475*44/12</f>
        <v>39.544858270117004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140.30867471097599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123.2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49.558079999999912</v>
      </c>
      <c r="D117" s="11">
        <f t="shared" si="86"/>
        <v>14.499572995603941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375.80489757420929</v>
      </c>
      <c r="H117" s="67">
        <f t="shared" si="56"/>
        <v>563.30041230067673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216.99952889049467</v>
      </c>
      <c r="T117" s="59">
        <f t="shared" si="88"/>
        <v>340.62742489103783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44.639632212361526</v>
      </c>
      <c r="AA117" s="21">
        <f>EXP(-LN(2)/25)*AA116+(1-EXP(-LN(2)/25))/(LN(2)/25)*Calculateur!V117*Calculateur!X117*VLOOKUP('Données projet'!$B$9,Paramètres!$A$1:$I$89,3,0)*0.475*44/12</f>
        <v>23.857840655575689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68.497472867937219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-6.8212102632969618E-13</v>
      </c>
      <c r="AJ117" s="13">
        <f>AI117*VLOOKUP('Données projet'!$B$10,Paramètres!$A$1:$I$89,3,0)*VLOOKUP('Données projet'!$B$10,Paramètres!$A$1:$I$89,5,0)</f>
        <v>-4.0790837374515837E-13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243.63945673917135</v>
      </c>
      <c r="AO117" s="59">
        <f t="shared" si="90"/>
        <v>213.14969914288025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68.526915939512421</v>
      </c>
      <c r="AV117" s="21">
        <f>EXP(-LN(2)/25)*AV116+(1-EXP(-LN(2)/25))/(LN(2)/25)*Calculateur!AQ117*Calculateur!AS117*VLOOKUP('Données projet'!$B$10,Paramètres!$A$1:$I$89,3,0)*0.475*44/12</f>
        <v>25.783774920841374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94.310690860353787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-6.3550942286383367E-14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357.2406649189378</v>
      </c>
      <c r="BJ117" s="59">
        <f t="shared" si="92"/>
        <v>353.47109765343811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98.787899460313128</v>
      </c>
      <c r="BQ117" s="21">
        <f>EXP(-LN(2)/25)*BQ116+(1-EXP(-LN(2)/25))/(LN(2)/25)*Calculateur!BL117*Calculateur!BN117*VLOOKUP('Données projet'!$B$11,Paramètres!$A$1:$I$89,3,0)*0.475*44/12</f>
        <v>38.463502041146938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137.25140150146007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123.2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49.99279999999991</v>
      </c>
      <c r="D118" s="11">
        <f t="shared" si="86"/>
        <v>14.611900216471854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379.01424126996773</v>
      </c>
      <c r="H118" s="67">
        <f t="shared" si="56"/>
        <v>564.25318621035501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216.99952889049467</v>
      </c>
      <c r="T118" s="59">
        <f t="shared" si="88"/>
        <v>340.62742489103783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43.764276252164272</v>
      </c>
      <c r="AA118" s="21">
        <f>EXP(-LN(2)/25)*AA117+(1-EXP(-LN(2)/25))/(LN(2)/25)*Calculateur!V118*Calculateur!X118*VLOOKUP('Données projet'!$B$9,Paramètres!$A$1:$I$89,3,0)*0.475*44/12</f>
        <v>23.205446748219661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66.969723000383937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-6.8212102632969618E-13</v>
      </c>
      <c r="AJ118" s="13">
        <f>AI118*VLOOKUP('Données projet'!$B$10,Paramètres!$A$1:$I$89,3,0)*VLOOKUP('Données projet'!$B$10,Paramètres!$A$1:$I$89,5,0)</f>
        <v>-4.0790837374515837E-13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243.63945673917135</v>
      </c>
      <c r="AO118" s="59">
        <f t="shared" si="90"/>
        <v>213.14969914288025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67.183144915230159</v>
      </c>
      <c r="AV118" s="21">
        <f>EXP(-LN(2)/25)*AV117+(1-EXP(-LN(2)/25))/(LN(2)/25)*Calculateur!AQ118*Calculateur!AS118*VLOOKUP('Données projet'!$B$10,Paramètres!$A$1:$I$89,3,0)*0.475*44/12</f>
        <v>25.078716239721174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92.261861154951333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-6.3550942286383367E-14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357.2406649189378</v>
      </c>
      <c r="BJ118" s="59">
        <f t="shared" si="92"/>
        <v>353.47109765343811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96.850729006565402</v>
      </c>
      <c r="BQ118" s="21">
        <f>EXP(-LN(2)/25)*BQ117+(1-EXP(-LN(2)/25))/(LN(2)/25)*Calculateur!BL118*Calculateur!BN118*VLOOKUP('Données projet'!$B$11,Paramètres!$A$1:$I$89,3,0)*0.475*44/12</f>
        <v>37.411715555124111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134.26244456168951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123.2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50.427519999999909</v>
      </c>
      <c r="D119" s="11">
        <f t="shared" si="86"/>
        <v>14.724113798662325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382.22291828548509</v>
      </c>
      <c r="H119" s="67">
        <f t="shared" si="56"/>
        <v>565.20576219933673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216.99952889049467</v>
      </c>
      <c r="T119" s="59">
        <f t="shared" si="88"/>
        <v>340.62742489103783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42.906085488432076</v>
      </c>
      <c r="AA119" s="21">
        <f>EXP(-LN(2)/25)*AA118+(1-EXP(-LN(2)/25))/(LN(2)/25)*Calculateur!V119*Calculateur!X119*VLOOKUP('Données projet'!$B$9,Paramètres!$A$1:$I$89,3,0)*0.475*44/12</f>
        <v>22.570892586568185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65.476978075000261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-6.8212102632969618E-13</v>
      </c>
      <c r="AJ119" s="13">
        <f>AI119*VLOOKUP('Données projet'!$B$10,Paramètres!$A$1:$I$89,3,0)*VLOOKUP('Données projet'!$B$10,Paramètres!$A$1:$I$89,5,0)</f>
        <v>-4.0790837374515837E-13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243.63945673917135</v>
      </c>
      <c r="AO119" s="59">
        <f t="shared" si="90"/>
        <v>213.14969914288025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65.865724421114678</v>
      </c>
      <c r="AV119" s="21">
        <f>EXP(-LN(2)/25)*AV118+(1-EXP(-LN(2)/25))/(LN(2)/25)*Calculateur!AQ119*Calculateur!AS119*VLOOKUP('Données projet'!$B$10,Paramètres!$A$1:$I$89,3,0)*0.475*44/12</f>
        <v>24.39293742531363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90.258661846428311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-6.3550942286383367E-14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357.2406649189378</v>
      </c>
      <c r="BJ119" s="59">
        <f t="shared" si="92"/>
        <v>353.47109765343811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94.951545283858366</v>
      </c>
      <c r="BQ119" s="21">
        <f>EXP(-LN(2)/25)*BQ118+(1-EXP(-LN(2)/25))/(LN(2)/25)*Calculateur!BL119*Calculateur!BN119*VLOOKUP('Données projet'!$B$11,Paramètres!$A$1:$I$89,3,0)*0.475*44/12</f>
        <v>36.388690225872629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131.340235509731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123.2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50.862239999999908</v>
      </c>
      <c r="D120" s="11">
        <f t="shared" si="86"/>
        <v>14.836214835328319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385.43093503392561</v>
      </c>
      <c r="H120" s="67">
        <f t="shared" si="56"/>
        <v>566.15814217153002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216.99952889049467</v>
      </c>
      <c r="T120" s="59">
        <f t="shared" si="88"/>
        <v>340.62742489103783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42.064723322131982</v>
      </c>
      <c r="AA120" s="21">
        <f>EXP(-LN(2)/25)*AA119+(1-EXP(-LN(2)/25))/(LN(2)/25)*Calculateur!V120*Calculateur!X120*VLOOKUP('Données projet'!$B$9,Paramètres!$A$1:$I$89,3,0)*0.475*44/12</f>
        <v>21.953690341836822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64.018413663968801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-6.8212102632969618E-13</v>
      </c>
      <c r="AJ120" s="13">
        <f>AI120*VLOOKUP('Données projet'!$B$10,Paramètres!$A$1:$I$89,3,0)*VLOOKUP('Données projet'!$B$10,Paramètres!$A$1:$I$89,5,0)</f>
        <v>-4.0790837374515837E-13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243.63945673917135</v>
      </c>
      <c r="AO120" s="59">
        <f t="shared" si="90"/>
        <v>213.14969914288025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64.574137739341651</v>
      </c>
      <c r="AV120" s="21">
        <f>EXP(-LN(2)/25)*AV119+(1-EXP(-LN(2)/25))/(LN(2)/25)*Calculateur!AQ120*Calculateur!AS120*VLOOKUP('Données projet'!$B$10,Paramètres!$A$1:$I$89,3,0)*0.475*44/12</f>
        <v>23.7259112686496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88.300049007991248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-6.3550942286383367E-14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357.2406649189378</v>
      </c>
      <c r="BJ120" s="59">
        <f t="shared" si="92"/>
        <v>353.47109765343811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93.089603395565916</v>
      </c>
      <c r="BQ120" s="21">
        <f>EXP(-LN(2)/25)*BQ119+(1-EXP(-LN(2)/25))/(LN(2)/25)*Calculateur!BL120*Calculateur!BN120*VLOOKUP('Données projet'!$B$11,Paramètres!$A$1:$I$89,3,0)*0.475*44/12</f>
        <v>35.393639578048088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128.48324297361401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123.2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51.296959999999906</v>
      </c>
      <c r="D121" s="11">
        <f t="shared" si="86"/>
        <v>14.948204399857985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388.63829781249962</v>
      </c>
      <c r="H121" s="67">
        <f t="shared" si="56"/>
        <v>567.11032799641919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216.99952889049467</v>
      </c>
      <c r="T121" s="59">
        <f t="shared" si="88"/>
        <v>340.62742489103783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41.239859754732791</v>
      </c>
      <c r="AA121" s="21">
        <f>EXP(-LN(2)/25)*AA120+(1-EXP(-LN(2)/25))/(LN(2)/25)*Calculateur!V121*Calculateur!X121*VLOOKUP('Données projet'!$B$9,Paramètres!$A$1:$I$89,3,0)*0.475*44/12</f>
        <v>21.353365524944895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62.593225279677682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-6.8212102632969618E-13</v>
      </c>
      <c r="AJ121" s="13">
        <f>AI121*VLOOKUP('Données projet'!$B$10,Paramètres!$A$1:$I$89,3,0)*VLOOKUP('Données projet'!$B$10,Paramètres!$A$1:$I$89,5,0)</f>
        <v>-4.0790837374515837E-13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243.63945673917135</v>
      </c>
      <c r="AO121" s="59">
        <f t="shared" si="90"/>
        <v>213.14969914288025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63.307878284608108</v>
      </c>
      <c r="AV121" s="21">
        <f>EXP(-LN(2)/25)*AV120+(1-EXP(-LN(2)/25))/(LN(2)/25)*Calculateur!AQ121*Calculateur!AS121*VLOOKUP('Données projet'!$B$10,Paramètres!$A$1:$I$89,3,0)*0.475*44/12</f>
        <v>23.077124977316931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86.385003261925036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-6.3550942286383367E-14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357.2406649189378</v>
      </c>
      <c r="BJ121" s="59">
        <f t="shared" si="92"/>
        <v>353.47109765343811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91.264173052030472</v>
      </c>
      <c r="BQ121" s="21">
        <f>EXP(-LN(2)/25)*BQ120+(1-EXP(-LN(2)/25))/(LN(2)/25)*Calculateur!BL121*Calculateur!BN121*VLOOKUP('Données projet'!$B$11,Paramètres!$A$1:$I$89,3,0)*0.475*44/12</f>
        <v>34.425798642515751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125.68997169454622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123.2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51.731679999999905</v>
      </c>
      <c r="D122" s="11">
        <f t="shared" si="86"/>
        <v>15.060083546396426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391.84501280552513</v>
      </c>
      <c r="H122" s="67">
        <f t="shared" si="56"/>
        <v>568.06232150997357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216.99952889049467</v>
      </c>
      <c r="T122" s="59">
        <f t="shared" si="88"/>
        <v>340.62742489103783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40.431171258773198</v>
      </c>
      <c r="AA122" s="21">
        <f>EXP(-LN(2)/25)*AA121+(1-EXP(-LN(2)/25))/(LN(2)/25)*Calculateur!V122*Calculateur!X122*VLOOKUP('Données projet'!$B$9,Paramètres!$A$1:$I$89,3,0)*0.475*44/12</f>
        <v>20.769456621740588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61.200627880513785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-6.8212102632969618E-13</v>
      </c>
      <c r="AJ122" s="13">
        <f>AI122*VLOOKUP('Données projet'!$B$10,Paramètres!$A$1:$I$89,3,0)*VLOOKUP('Données projet'!$B$10,Paramètres!$A$1:$I$89,5,0)</f>
        <v>-4.0790837374515837E-13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243.63945673917135</v>
      </c>
      <c r="AO122" s="59">
        <f t="shared" si="90"/>
        <v>213.14969914288025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62.066449405439883</v>
      </c>
      <c r="AV122" s="21">
        <f>EXP(-LN(2)/25)*AV121+(1-EXP(-LN(2)/25))/(LN(2)/25)*Calculateur!AQ122*Calculateur!AS122*VLOOKUP('Données projet'!$B$10,Paramètres!$A$1:$I$89,3,0)*0.475*44/12</f>
        <v>22.446079781238939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84.512529186678819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-6.3550942286383367E-14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357.2406649189378</v>
      </c>
      <c r="BJ122" s="59">
        <f t="shared" si="92"/>
        <v>353.47109765343811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89.474538284129196</v>
      </c>
      <c r="BQ122" s="21">
        <f>EXP(-LN(2)/25)*BQ121+(1-EXP(-LN(2)/25))/(LN(2)/25)*Calculateur!BL122*Calculateur!BN122*VLOOKUP('Données projet'!$B$11,Paramètres!$A$1:$I$89,3,0)*0.475*44/12</f>
        <v>33.484423368262085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122.95896165239128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123.2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52.166399999999904</v>
      </c>
      <c r="D123" s="11">
        <f t="shared" si="86"/>
        <v>15.171853310349414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395.05108608738266</v>
      </c>
      <c r="H123" s="67">
        <f t="shared" si="56"/>
        <v>569.01412451552505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216.99952889049467</v>
      </c>
      <c r="T123" s="59">
        <f t="shared" si="88"/>
        <v>340.62742489103783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39.63834065096809</v>
      </c>
      <c r="AA123" s="21">
        <f>EXP(-LN(2)/25)*AA122+(1-EXP(-LN(2)/25))/(LN(2)/25)*Calculateur!V123*Calculateur!X123*VLOOKUP('Données projet'!$B$9,Paramètres!$A$1:$I$89,3,0)*0.475*44/12</f>
        <v>20.201514738200839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59.839855389168932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-6.8212102632969618E-13</v>
      </c>
      <c r="AJ123" s="13">
        <f>AI123*VLOOKUP('Données projet'!$B$10,Paramètres!$A$1:$I$89,3,0)*VLOOKUP('Données projet'!$B$10,Paramètres!$A$1:$I$89,5,0)</f>
        <v>-4.0790837374515837E-13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243.63945673917135</v>
      </c>
      <c r="AO123" s="59">
        <f t="shared" si="90"/>
        <v>213.14969914288025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60.849364189395295</v>
      </c>
      <c r="AV123" s="21">
        <f>EXP(-LN(2)/25)*AV122+(1-EXP(-LN(2)/25))/(LN(2)/25)*Calculateur!AQ123*Calculateur!AS123*VLOOKUP('Données projet'!$B$10,Paramètres!$A$1:$I$89,3,0)*0.475*44/12</f>
        <v>21.832290549232926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82.681654738628225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-6.3550942286383367E-14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357.2406649189378</v>
      </c>
      <c r="BJ123" s="59">
        <f t="shared" si="92"/>
        <v>353.47109765343811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87.719997162457034</v>
      </c>
      <c r="BQ123" s="21">
        <f>EXP(-LN(2)/25)*BQ122+(1-EXP(-LN(2)/25))/(LN(2)/25)*Calculateur!BL123*Calculateur!BN123*VLOOKUP('Données projet'!$B$11,Paramètres!$A$1:$I$89,3,0)*0.475*44/12</f>
        <v>32.568790050387662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120.2887872128447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123.2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52.601119999999902</v>
      </c>
      <c r="D124" s="11">
        <f t="shared" si="86"/>
        <v>15.283514708869852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398.25652362536925</v>
      </c>
      <c r="H124" s="67">
        <f t="shared" si="56"/>
        <v>569.96573878461481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216.99952889049467</v>
      </c>
      <c r="T124" s="59">
        <f t="shared" si="88"/>
        <v>340.62742489103783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38.861056967803123</v>
      </c>
      <c r="AA124" s="21">
        <f>EXP(-LN(2)/25)*AA123+(1-EXP(-LN(2)/25))/(LN(2)/25)*Calculateur!V124*Calculateur!X124*VLOOKUP('Données projet'!$B$9,Paramètres!$A$1:$I$89,3,0)*0.475*44/12</f>
        <v>19.649103255333248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58.510160223136367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-6.8212102632969618E-13</v>
      </c>
      <c r="AJ124" s="13">
        <f>AI124*VLOOKUP('Données projet'!$B$10,Paramètres!$A$1:$I$89,3,0)*VLOOKUP('Données projet'!$B$10,Paramètres!$A$1:$I$89,5,0)</f>
        <v>-4.0790837374515837E-13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243.63945673917135</v>
      </c>
      <c r="AO124" s="59">
        <f t="shared" si="90"/>
        <v>213.14969914288025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59.656145272088665</v>
      </c>
      <c r="AV124" s="21">
        <f>EXP(-LN(2)/25)*AV123+(1-EXP(-LN(2)/25))/(LN(2)/25)*Calculateur!AQ124*Calculateur!AS124*VLOOKUP('Données projet'!$B$10,Paramètres!$A$1:$I$89,3,0)*0.475*44/12</f>
        <v>21.235285416053891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80.891430688142549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-6.3550942286383367E-14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357.2406649189378</v>
      </c>
      <c r="BJ124" s="59">
        <f t="shared" si="92"/>
        <v>353.47109765343811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85.999861522016445</v>
      </c>
      <c r="BQ124" s="21">
        <f>EXP(-LN(2)/25)*BQ123+(1-EXP(-LN(2)/25))/(LN(2)/25)*Calculateur!BL124*Calculateur!BN124*VLOOKUP('Données projet'!$B$11,Paramètres!$A$1:$I$89,3,0)*0.475*44/12</f>
        <v>31.678194773741581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117.67805629575803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123.2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53.035839999999901</v>
      </c>
      <c r="D125" s="11">
        <f t="shared" si="86"/>
        <v>15.395068741327664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401.46133128245509</v>
      </c>
      <c r="H125" s="67">
        <f t="shared" si="56"/>
        <v>570.91716605781221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216.99952889049467</v>
      </c>
      <c r="T125" s="59">
        <f t="shared" si="88"/>
        <v>340.62742489103783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38.099015343568787</v>
      </c>
      <c r="AA125" s="21">
        <f>EXP(-LN(2)/25)*AA124+(1-EXP(-LN(2)/25))/(LN(2)/25)*Calculateur!V125*Calculateur!X125*VLOOKUP('Données projet'!$B$9,Paramètres!$A$1:$I$89,3,0)*0.475*44/12</f>
        <v>19.111797493514729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57.210812837083516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-6.8212102632969618E-13</v>
      </c>
      <c r="AJ125" s="13">
        <f>AI125*VLOOKUP('Données projet'!$B$10,Paramètres!$A$1:$I$89,3,0)*VLOOKUP('Données projet'!$B$10,Paramètres!$A$1:$I$89,5,0)</f>
        <v>-4.0790837374515837E-13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243.63945673917135</v>
      </c>
      <c r="AO125" s="59">
        <f t="shared" si="90"/>
        <v>213.14969914288025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58.486324649958739</v>
      </c>
      <c r="AV125" s="21">
        <f>EXP(-LN(2)/25)*AV124+(1-EXP(-LN(2)/25))/(LN(2)/25)*Calculateur!AQ125*Calculateur!AS125*VLOOKUP('Données projet'!$B$10,Paramètres!$A$1:$I$89,3,0)*0.475*44/12</f>
        <v>20.65460541963677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79.140930069595512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-6.3550942286383367E-14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357.2406649189378</v>
      </c>
      <c r="BJ125" s="59">
        <f t="shared" si="92"/>
        <v>353.47109765343811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84.313456692305763</v>
      </c>
      <c r="BQ125" s="21">
        <f>EXP(-LN(2)/25)*BQ124+(1-EXP(-LN(2)/25))/(LN(2)/25)*Calculateur!BL125*Calculateur!BN125*VLOOKUP('Données projet'!$B$11,Paramètres!$A$1:$I$89,3,0)*0.475*44/12</f>
        <v>30.811952871769755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115.12540956407551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123.2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53.4705599999999</v>
      </c>
      <c r="D126" s="11">
        <f t="shared" si="86"/>
        <v>15.506516389763854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404.6655148199473</v>
      </c>
      <c r="H126" s="67">
        <f t="shared" si="56"/>
        <v>571.86840804550525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216.99952889049467</v>
      </c>
      <c r="T126" s="59">
        <f t="shared" si="88"/>
        <v>340.62742489103783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37.351916890786192</v>
      </c>
      <c r="AA126" s="21">
        <f>EXP(-LN(2)/25)*AA125+(1-EXP(-LN(2)/25))/(LN(2)/25)*Calculateur!V126*Calculateur!X126*VLOOKUP('Données projet'!$B$9,Paramètres!$A$1:$I$89,3,0)*0.475*44/12</f>
        <v>18.589184386008817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55.94110127679501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-6.8212102632969618E-13</v>
      </c>
      <c r="AJ126" s="13">
        <f>AI126*VLOOKUP('Données projet'!$B$10,Paramètres!$A$1:$I$89,3,0)*VLOOKUP('Données projet'!$B$10,Paramètres!$A$1:$I$89,5,0)</f>
        <v>-4.0790837374515837E-13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243.63945673917135</v>
      </c>
      <c r="AO126" s="59">
        <f t="shared" si="90"/>
        <v>213.14969914288025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57.339443496708654</v>
      </c>
      <c r="AV126" s="21">
        <f>EXP(-LN(2)/25)*AV125+(1-EXP(-LN(2)/25))/(LN(2)/25)*Calculateur!AQ126*Calculateur!AS126*VLOOKUP('Données projet'!$B$10,Paramètres!$A$1:$I$89,3,0)*0.475*44/12</f>
        <v>20.08980414825831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77.429247644966964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-6.3550942286383367E-14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357.2406649189378</v>
      </c>
      <c r="BJ126" s="59">
        <f t="shared" si="92"/>
        <v>353.47109765343811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82.66012123270032</v>
      </c>
      <c r="BQ126" s="21">
        <f>EXP(-LN(2)/25)*BQ125+(1-EXP(-LN(2)/25))/(LN(2)/25)*Calculateur!BL126*Calculateur!BN126*VLOOKUP('Données projet'!$B$11,Paramètres!$A$1:$I$89,3,0)*0.475*44/12</f>
        <v>29.96939840016103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112.62951963286135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123.2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53.905279999999898</v>
      </c>
      <c r="D127" s="11">
        <f t="shared" si="86"/>
        <v>15.617858619329379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407.86907990006512</v>
      </c>
      <c r="H127" s="67">
        <f t="shared" si="56"/>
        <v>572.81946642866512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216.99952889049467</v>
      </c>
      <c r="T127" s="59">
        <f t="shared" si="88"/>
        <v>340.62742489103783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36.619468582977603</v>
      </c>
      <c r="AA127" s="21">
        <f>EXP(-LN(2)/25)*AA126+(1-EXP(-LN(2)/25))/(LN(2)/25)*Calculateur!V127*Calculateur!X127*VLOOKUP('Données projet'!$B$9,Paramètres!$A$1:$I$89,3,0)*0.475*44/12</f>
        <v>18.080862161410685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54.700330744388289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-6.8212102632969618E-13</v>
      </c>
      <c r="AJ127" s="13">
        <f>AI127*VLOOKUP('Données projet'!$B$10,Paramètres!$A$1:$I$89,3,0)*VLOOKUP('Données projet'!$B$10,Paramètres!$A$1:$I$89,5,0)</f>
        <v>-4.0790837374515837E-13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243.63945673917135</v>
      </c>
      <c r="AO127" s="59">
        <f t="shared" si="90"/>
        <v>213.14969914288025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56.215051983345376</v>
      </c>
      <c r="AV127" s="21">
        <f>EXP(-LN(2)/25)*AV126+(1-EXP(-LN(2)/25))/(LN(2)/25)*Calculateur!AQ127*Calculateur!AS127*VLOOKUP('Données projet'!$B$10,Paramètres!$A$1:$I$89,3,0)*0.475*44/12</f>
        <v>19.5404473973473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75.755499380692669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-6.3550942286383367E-14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357.2406649189378</v>
      </c>
      <c r="BJ127" s="59">
        <f t="shared" si="92"/>
        <v>353.47109765343811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81.03920667302269</v>
      </c>
      <c r="BQ127" s="21">
        <f>EXP(-LN(2)/25)*BQ126+(1-EXP(-LN(2)/25))/(LN(2)/25)*Calculateur!BL127*Calculateur!BN127*VLOOKUP('Données projet'!$B$11,Paramètres!$A$1:$I$89,3,0)*0.475*44/12</f>
        <v>29.14988362488646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110.18909029790915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123.2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54.339999999999897</v>
      </c>
      <c r="D128" s="11">
        <f t="shared" si="86"/>
        <v>15.729096378709444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411.07203208842816</v>
      </c>
      <c r="H128" s="67">
        <f t="shared" si="56"/>
        <v>573.77034285958553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216.99952889049467</v>
      </c>
      <c r="T128" s="59">
        <f t="shared" si="88"/>
        <v>340.62742489103783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35.901383139735785</v>
      </c>
      <c r="AA128" s="21">
        <f>EXP(-LN(2)/25)*AA127+(1-EXP(-LN(2)/25))/(LN(2)/25)*Calculateur!V128*Calculateur!X128*VLOOKUP('Données projet'!$B$9,Paramètres!$A$1:$I$89,3,0)*0.475*44/12</f>
        <v>17.586440034775695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53.487823174511476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-6.8212102632969618E-13</v>
      </c>
      <c r="AJ128" s="13">
        <f>AI128*VLOOKUP('Données projet'!$B$10,Paramètres!$A$1:$I$89,3,0)*VLOOKUP('Données projet'!$B$10,Paramètres!$A$1:$I$89,5,0)</f>
        <v>-4.0790837374515837E-13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243.63945673917135</v>
      </c>
      <c r="AO128" s="59">
        <f t="shared" si="90"/>
        <v>213.14969914288025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55.112709101748045</v>
      </c>
      <c r="AV128" s="21">
        <f>EXP(-LN(2)/25)*AV127+(1-EXP(-LN(2)/25))/(LN(2)/25)*Calculateur!AQ128*Calculateur!AS128*VLOOKUP('Données projet'!$B$10,Paramètres!$A$1:$I$89,3,0)*0.475*44/12</f>
        <v>19.006112835679371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74.118821937427413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-6.3550942286383367E-14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357.2406649189378</v>
      </c>
      <c r="BJ128" s="59">
        <f t="shared" si="92"/>
        <v>353.47109765343811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79.450077259200071</v>
      </c>
      <c r="BQ128" s="21">
        <f>EXP(-LN(2)/25)*BQ127+(1-EXP(-LN(2)/25))/(LN(2)/25)*Calculateur!BL128*Calculateur!BN128*VLOOKUP('Données projet'!$B$11,Paramètres!$A$1:$I$89,3,0)*0.475*44/12</f>
        <v>28.352778524238182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107.80285578343825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123.2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54.774719999999895</v>
      </c>
      <c r="D129" s="11">
        <f t="shared" si="86"/>
        <v>15.840230600533843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414.2743768564647</v>
      </c>
      <c r="H129" s="67">
        <f t="shared" si="56"/>
        <v>574.72103896259625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216.99952889049467</v>
      </c>
      <c r="T129" s="59">
        <f t="shared" si="88"/>
        <v>340.62742489103783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35.197378914047064</v>
      </c>
      <c r="AA129" s="21">
        <f>EXP(-LN(2)/25)*AA128+(1-EXP(-LN(2)/25))/(LN(2)/25)*Calculateur!V129*Calculateur!X129*VLOOKUP('Données projet'!$B$9,Paramètres!$A$1:$I$89,3,0)*0.475*44/12</f>
        <v>17.105537907194066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52.302916821241126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-6.8212102632969618E-13</v>
      </c>
      <c r="AJ129" s="13">
        <f>AI129*VLOOKUP('Données projet'!$B$10,Paramètres!$A$1:$I$89,3,0)*VLOOKUP('Données projet'!$B$10,Paramètres!$A$1:$I$89,5,0)</f>
        <v>-4.0790837374515837E-13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243.63945673917135</v>
      </c>
      <c r="AO129" s="59">
        <f t="shared" si="90"/>
        <v>213.14969914288025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54.03198249169607</v>
      </c>
      <c r="AV129" s="21">
        <f>EXP(-LN(2)/25)*AV128+(1-EXP(-LN(2)/25))/(LN(2)/25)*Calculateur!AQ129*Calculateur!AS129*VLOOKUP('Données projet'!$B$10,Paramètres!$A$1:$I$89,3,0)*0.475*44/12</f>
        <v>18.486389680699684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72.518372172395758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-6.3550942286383367E-14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357.2406649189378</v>
      </c>
      <c r="BJ129" s="59">
        <f t="shared" si="92"/>
        <v>353.47109765343811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77.892109703909284</v>
      </c>
      <c r="BQ129" s="21">
        <f>EXP(-LN(2)/25)*BQ128+(1-EXP(-LN(2)/25))/(LN(2)/25)*Calculateur!BL129*Calculateur!BN129*VLOOKUP('Données projet'!$B$11,Paramètres!$A$1:$I$89,3,0)*0.475*44/12</f>
        <v>27.577470304485068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105.46958000839436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123.2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55.209439999999894</v>
      </c>
      <c r="D130" s="11">
        <f t="shared" si="86"/>
        <v>15.951262201773911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417.47611958373972</v>
      </c>
      <c r="H130" s="67">
        <f t="shared" si="56"/>
        <v>575.67155633475602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216.99952889049467</v>
      </c>
      <c r="T130" s="59">
        <f t="shared" si="88"/>
        <v>340.62742489103783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34.507179781823922</v>
      </c>
      <c r="AA130" s="21">
        <f>EXP(-LN(2)/25)*AA129+(1-EXP(-LN(2)/25))/(LN(2)/25)*Calculateur!V130*Calculateur!X130*VLOOKUP('Données projet'!$B$9,Paramètres!$A$1:$I$89,3,0)*0.475*44/12</f>
        <v>16.637786073580699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51.144965855404621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-6.8212102632969618E-13</v>
      </c>
      <c r="AJ130" s="13">
        <f>AI130*VLOOKUP('Données projet'!$B$10,Paramètres!$A$1:$I$89,3,0)*VLOOKUP('Données projet'!$B$10,Paramètres!$A$1:$I$89,5,0)</f>
        <v>-4.0790837374515837E-13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243.63945673917135</v>
      </c>
      <c r="AO130" s="59">
        <f t="shared" si="90"/>
        <v>213.14969914288025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52.972448271289068</v>
      </c>
      <c r="AV130" s="21">
        <f>EXP(-LN(2)/25)*AV129+(1-EXP(-LN(2)/25))/(LN(2)/25)*Calculateur!AQ130*Calculateur!AS130*VLOOKUP('Données projet'!$B$10,Paramètres!$A$1:$I$89,3,0)*0.475*44/12</f>
        <v>17.980878382723969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70.95332665401304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-6.3550942286383367E-14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357.2406649189378</v>
      </c>
      <c r="BJ130" s="59">
        <f t="shared" si="92"/>
        <v>353.47109765343811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76.364692942111375</v>
      </c>
      <c r="BQ130" s="21">
        <f>EXP(-LN(2)/25)*BQ129+(1-EXP(-LN(2)/25))/(LN(2)/25)*Calculateur!BL130*Calculateur!BN130*VLOOKUP('Données projet'!$B$11,Paramètres!$A$1:$I$89,3,0)*0.475*44/12</f>
        <v>26.823362928772791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103.18805587088417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123.2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55.644159999999893</v>
      </c>
      <c r="D131" s="11">
        <f t="shared" si="86"/>
        <v>16.062192084126568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420.67726556020858</v>
      </c>
      <c r="H131" s="67">
        <f t="shared" si="56"/>
        <v>576.62189654652025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216.99952889049467</v>
      </c>
      <c r="T131" s="59">
        <f t="shared" si="88"/>
        <v>340.62742489103783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33.830515033603774</v>
      </c>
      <c r="AA131" s="21">
        <f>EXP(-LN(2)/25)*AA130+(1-EXP(-LN(2)/25))/(LN(2)/25)*Calculateur!V131*Calculateur!X131*VLOOKUP('Données projet'!$B$9,Paramètres!$A$1:$I$89,3,0)*0.475*44/12</f>
        <v>16.182824938455493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50.013339972059271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-6.8212102632969618E-13</v>
      </c>
      <c r="AJ131" s="13">
        <f>AI131*VLOOKUP('Données projet'!$B$10,Paramètres!$A$1:$I$89,3,0)*VLOOKUP('Données projet'!$B$10,Paramètres!$A$1:$I$89,5,0)</f>
        <v>-4.0790837374515837E-13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243.63945673917135</v>
      </c>
      <c r="AO131" s="59">
        <f t="shared" si="90"/>
        <v>213.14969914288025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51.933690870692189</v>
      </c>
      <c r="AV131" s="21">
        <f>EXP(-LN(2)/25)*AV130+(1-EXP(-LN(2)/25))/(LN(2)/25)*Calculateur!AQ131*Calculateur!AS131*VLOOKUP('Données projet'!$B$10,Paramètres!$A$1:$I$89,3,0)*0.475*44/12</f>
        <v>17.489190317775083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69.422881188467272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-6.3550942286383367E-14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357.2406649189378</v>
      </c>
      <c r="BJ131" s="59">
        <f t="shared" si="92"/>
        <v>353.47109765343811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74.867227891380082</v>
      </c>
      <c r="BQ131" s="21">
        <f>EXP(-LN(2)/25)*BQ130+(1-EXP(-LN(2)/25))/(LN(2)/25)*Calculateur!BL131*Calculateur!BN131*VLOOKUP('Données projet'!$B$11,Paramètres!$A$1:$I$89,3,0)*0.475*44/12</f>
        <v>26.089876658906149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100.95710455028623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123.2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56.078879999999891</v>
      </c>
      <c r="D132" s="11">
        <f t="shared" si="86"/>
        <v>16.173021134386065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423.87781998839768</v>
      </c>
      <c r="H132" s="67">
        <f t="shared" ref="H132:H195" si="110">(B132+E132+F132)*44/12+(C132+D132)*0.475*44/12</f>
        <v>577.57206114238886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216.99952889049467</v>
      </c>
      <c r="T132" s="59">
        <f t="shared" si="88"/>
        <v>340.62742489103783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33.167119268371479</v>
      </c>
      <c r="AA132" s="21">
        <f>EXP(-LN(2)/25)*AA131+(1-EXP(-LN(2)/25))/(LN(2)/25)*Calculateur!V132*Calculateur!X132*VLOOKUP('Données projet'!$B$9,Paramètres!$A$1:$I$89,3,0)*0.475*44/12</f>
        <v>15.740304739495651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48.907424007867128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-6.8212102632969618E-13</v>
      </c>
      <c r="AJ132" s="13">
        <f>AI132*VLOOKUP('Données projet'!$B$10,Paramètres!$A$1:$I$89,3,0)*VLOOKUP('Données projet'!$B$10,Paramètres!$A$1:$I$89,5,0)</f>
        <v>-4.0790837374515837E-13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243.63945673917135</v>
      </c>
      <c r="AO132" s="59">
        <f t="shared" si="90"/>
        <v>213.14969914288025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50.915302869141556</v>
      </c>
      <c r="AV132" s="21">
        <f>EXP(-LN(2)/25)*AV131+(1-EXP(-LN(2)/25))/(LN(2)/25)*Calculateur!AQ132*Calculateur!AS132*VLOOKUP('Données projet'!$B$10,Paramètres!$A$1:$I$89,3,0)*0.475*44/12</f>
        <v>17.010947488818978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67.926250357960527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-6.3550942286383367E-14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357.2406649189378</v>
      </c>
      <c r="BJ132" s="59">
        <f t="shared" si="92"/>
        <v>353.47109765343811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73.39912721693014</v>
      </c>
      <c r="BQ132" s="21">
        <f>EXP(-LN(2)/25)*BQ131+(1-EXP(-LN(2)/25))/(LN(2)/25)*Calculateur!BL132*Calculateur!BN132*VLOOKUP('Données projet'!$B$11,Paramètres!$A$1:$I$89,3,0)*0.475*44/12</f>
        <v>25.376447609661376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98.775574826591509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123.2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56.51359999999989</v>
      </c>
      <c r="D133" s="11">
        <f t="shared" ref="D133:D196" si="140">IFERROR(EXP(-1.0587+0.8836*LN(C133)+0.284),0)</f>
        <v>16.283750224803871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427.07778798551544</v>
      </c>
      <c r="H133" s="67">
        <f t="shared" si="110"/>
        <v>578.52205164153327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216.99952889049467</v>
      </c>
      <c r="T133" s="59">
        <f t="shared" ref="T133:T196" si="142">$T$3</f>
        <v>340.62742489103783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32.516732289463924</v>
      </c>
      <c r="AA133" s="21">
        <f>EXP(-LN(2)/25)*AA132+(1-EXP(-LN(2)/25))/(LN(2)/25)*Calculateur!V133*Calculateur!X133*VLOOKUP('Données projet'!$B$9,Paramètres!$A$1:$I$89,3,0)*0.475*44/12</f>
        <v>15.30988527864749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47.826617568111416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-6.8212102632969618E-13</v>
      </c>
      <c r="AJ133" s="13">
        <f>AI133*VLOOKUP('Données projet'!$B$10,Paramètres!$A$1:$I$89,3,0)*VLOOKUP('Données projet'!$B$10,Paramètres!$A$1:$I$89,5,0)</f>
        <v>-4.0790837374515837E-13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243.63945673917135</v>
      </c>
      <c r="AO133" s="59">
        <f t="shared" ref="AO133:AO196" si="144">$AO$3</f>
        <v>213.14969914288025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49.916884835145986</v>
      </c>
      <c r="AV133" s="21">
        <f>EXP(-LN(2)/25)*AV132+(1-EXP(-LN(2)/25))/(LN(2)/25)*Calculateur!AQ133*Calculateur!AS133*VLOOKUP('Données projet'!$B$10,Paramètres!$A$1:$I$89,3,0)*0.475*44/12</f>
        <v>16.545782235170375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66.462667070316357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-6.3550942286383367E-14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357.2406649189378</v>
      </c>
      <c r="BJ133" s="59">
        <f t="shared" ref="BJ133:BJ196" si="146">$BJ$3</f>
        <v>353.47109765343811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71.95981510125317</v>
      </c>
      <c r="BQ133" s="21">
        <f>EXP(-LN(2)/25)*BQ132+(1-EXP(-LN(2)/25))/(LN(2)/25)*Calculateur!BL133*Calculateur!BN133*VLOOKUP('Données projet'!$B$11,Paramètres!$A$1:$I$89,3,0)*0.475*44/12</f>
        <v>24.682527315285803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96.64234241653898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123.2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56.948319999999889</v>
      </c>
      <c r="D134" s="11">
        <f t="shared" si="140"/>
        <v>16.394380213437156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430.27717458549733</v>
      </c>
      <c r="H134" s="67">
        <f t="shared" si="110"/>
        <v>579.47186953840287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216.99952889049467</v>
      </c>
      <c r="T134" s="59">
        <f t="shared" si="142"/>
        <v>340.62742489103783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31.879099002515861</v>
      </c>
      <c r="AA134" s="21">
        <f>EXP(-LN(2)/25)*AA133+(1-EXP(-LN(2)/25))/(LN(2)/25)*Calculateur!V134*Calculateur!X134*VLOOKUP('Données projet'!$B$9,Paramètres!$A$1:$I$89,3,0)*0.475*44/12</f>
        <v>14.891235660590999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46.770334663106858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-6.8212102632969618E-13</v>
      </c>
      <c r="AJ134" s="13">
        <f>AI134*VLOOKUP('Données projet'!$B$10,Paramètres!$A$1:$I$89,3,0)*VLOOKUP('Données projet'!$B$10,Paramètres!$A$1:$I$89,5,0)</f>
        <v>-4.0790837374515837E-13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243.63945673917135</v>
      </c>
      <c r="AO134" s="59">
        <f t="shared" si="144"/>
        <v>213.14969914288025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48.938045169822203</v>
      </c>
      <c r="AV134" s="21">
        <f>EXP(-LN(2)/25)*AV133+(1-EXP(-LN(2)/25))/(LN(2)/25)*Calculateur!AQ134*Calculateur!AS134*VLOOKUP('Données projet'!$B$10,Paramètres!$A$1:$I$89,3,0)*0.475*44/12</f>
        <v>16.093336949844769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65.031382119666972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-6.3550942286383367E-14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357.2406649189378</v>
      </c>
      <c r="BJ134" s="59">
        <f t="shared" si="146"/>
        <v>353.47109765343811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70.54872701827091</v>
      </c>
      <c r="BQ134" s="21">
        <f>EXP(-LN(2)/25)*BQ133+(1-EXP(-LN(2)/25))/(LN(2)/25)*Calculateur!BL134*Calculateur!BN134*VLOOKUP('Données projet'!$B$11,Paramètres!$A$1:$I$89,3,0)*0.475*44/12</f>
        <v>24.007582307851614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94.556309326122516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123.2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57.383039999999887</v>
      </c>
      <c r="D135" s="11">
        <f t="shared" si="140"/>
        <v>16.504911944486263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433.47598474098544</v>
      </c>
      <c r="H135" s="67">
        <f t="shared" si="110"/>
        <v>580.42151630331341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216.99952889049467</v>
      </c>
      <c r="T135" s="59">
        <f t="shared" si="142"/>
        <v>340.62742489103783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31.253969315406948</v>
      </c>
      <c r="AA135" s="21">
        <f>EXP(-LN(2)/25)*AA134+(1-EXP(-LN(2)/25))/(LN(2)/25)*Calculateur!V135*Calculateur!X135*VLOOKUP('Données projet'!$B$9,Paramètres!$A$1:$I$89,3,0)*0.475*44/12</f>
        <v>14.484034038356089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45.738003353763034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-6.8212102632969618E-13</v>
      </c>
      <c r="AJ135" s="13">
        <f>AI135*VLOOKUP('Données projet'!$B$10,Paramètres!$A$1:$I$89,3,0)*VLOOKUP('Données projet'!$B$10,Paramètres!$A$1:$I$89,5,0)</f>
        <v>-4.0790837374515837E-13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243.63945673917135</v>
      </c>
      <c r="AO135" s="59">
        <f t="shared" si="144"/>
        <v>213.14969914288025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47.978399953302173</v>
      </c>
      <c r="AV135" s="21">
        <f>EXP(-LN(2)/25)*AV134+(1-EXP(-LN(2)/25))/(LN(2)/25)*Calculateur!AQ135*Calculateur!AS135*VLOOKUP('Données projet'!$B$10,Paramètres!$A$1:$I$89,3,0)*0.475*44/12</f>
        <v>15.653263804639455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63.631663757941624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-6.3550942286383367E-14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357.2406649189378</v>
      </c>
      <c r="BJ135" s="59">
        <f t="shared" si="146"/>
        <v>353.47109765343811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69.165309511917187</v>
      </c>
      <c r="BQ135" s="21">
        <f>EXP(-LN(2)/25)*BQ134+(1-EXP(-LN(2)/25))/(LN(2)/25)*Calculateur!BL135*Calculateur!BN135*VLOOKUP('Données projet'!$B$11,Paramètres!$A$1:$I$89,3,0)*0.475*44/12</f>
        <v>23.351093707139526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92.516403219056713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123.2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57.817759999999886</v>
      </c>
      <c r="D136" s="11">
        <f t="shared" si="140"/>
        <v>16.615346248621801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436.67422332524717</v>
      </c>
      <c r="H136" s="67">
        <f t="shared" si="110"/>
        <v>581.37099338301607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216.99952889049467</v>
      </c>
      <c r="T136" s="59">
        <f t="shared" si="142"/>
        <v>340.62742489103783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30.641098040170782</v>
      </c>
      <c r="AA136" s="21">
        <f>EXP(-LN(2)/25)*AA135+(1-EXP(-LN(2)/25))/(LN(2)/25)*Calculateur!V136*Calculateur!X136*VLOOKUP('Données projet'!$B$9,Paramètres!$A$1:$I$89,3,0)*0.475*44/12</f>
        <v>14.087967365894995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44.729065406065779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-6.8212102632969618E-13</v>
      </c>
      <c r="AJ136" s="13">
        <f>AI136*VLOOKUP('Données projet'!$B$10,Paramètres!$A$1:$I$89,3,0)*VLOOKUP('Données projet'!$B$10,Paramètres!$A$1:$I$89,5,0)</f>
        <v>-4.0790837374515837E-13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243.63945673917135</v>
      </c>
      <c r="AO136" s="59">
        <f t="shared" si="144"/>
        <v>213.14969914288025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47.037572794152318</v>
      </c>
      <c r="AV136" s="21">
        <f>EXP(-LN(2)/25)*AV135+(1-EXP(-LN(2)/25))/(LN(2)/25)*Calculateur!AQ136*Calculateur!AS136*VLOOKUP('Données projet'!$B$10,Paramètres!$A$1:$I$89,3,0)*0.475*44/12</f>
        <v>15.225224482732221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62.262797276884541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-6.3550942286383367E-14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357.2406649189378</v>
      </c>
      <c r="BJ136" s="59">
        <f t="shared" si="146"/>
        <v>353.47109765343811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67.809019979061702</v>
      </c>
      <c r="BQ136" s="21">
        <f>EXP(-LN(2)/25)*BQ135+(1-EXP(-LN(2)/25))/(LN(2)/25)*Calculateur!BL136*Calculateur!BN136*VLOOKUP('Données projet'!$B$11,Paramètres!$A$1:$I$89,3,0)*0.475*44/12</f>
        <v>22.712556821737149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90.521576800798854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123.2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58.252479999999885</v>
      </c>
      <c r="D137" s="11">
        <f t="shared" si="140"/>
        <v>16.72568394330154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439.87189513403501</v>
      </c>
      <c r="H137" s="67">
        <f t="shared" si="110"/>
        <v>582.32030220125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216.99952889049467</v>
      </c>
      <c r="T137" s="59">
        <f t="shared" si="142"/>
        <v>340.62742489103783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30.04024479682743</v>
      </c>
      <c r="AA137" s="21">
        <f>EXP(-LN(2)/25)*AA136+(1-EXP(-LN(2)/25))/(LN(2)/25)*Calculateur!V137*Calculateur!X137*VLOOKUP('Données projet'!$B$9,Paramètres!$A$1:$I$89,3,0)*0.475*44/12</f>
        <v>13.70273115742059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43.742975954248024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-6.8212102632969618E-13</v>
      </c>
      <c r="AJ137" s="13">
        <f>AI137*VLOOKUP('Données projet'!$B$10,Paramètres!$A$1:$I$89,3,0)*VLOOKUP('Données projet'!$B$10,Paramètres!$A$1:$I$89,5,0)</f>
        <v>-4.0790837374515837E-13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243.63945673917135</v>
      </c>
      <c r="AO137" s="59">
        <f t="shared" si="144"/>
        <v>213.14969914288025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46.115194681745486</v>
      </c>
      <c r="AV137" s="21">
        <f>EXP(-LN(2)/25)*AV136+(1-EXP(-LN(2)/25))/(LN(2)/25)*Calculateur!AQ137*Calculateur!AS137*VLOOKUP('Données projet'!$B$10,Paramètres!$A$1:$I$89,3,0)*0.475*44/12</f>
        <v>14.808889918592151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60.924084600337636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-6.3550942286383367E-14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357.2406649189378</v>
      </c>
      <c r="BJ137" s="59">
        <f t="shared" si="146"/>
        <v>353.47109765343811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66.479326456690586</v>
      </c>
      <c r="BQ137" s="21">
        <f>EXP(-LN(2)/25)*BQ136+(1-EXP(-LN(2)/25))/(LN(2)/25)*Calculateur!BL137*Calculateur!BN137*VLOOKUP('Données projet'!$B$11,Paramètres!$A$1:$I$89,3,0)*0.475*44/12</f>
        <v>22.091480761045293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88.570807217735876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123.2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58.687199999999883</v>
      </c>
      <c r="D138" s="11">
        <f t="shared" si="140"/>
        <v>16.835925833077511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443.06900488738734</v>
      </c>
      <c r="H138" s="67">
        <f t="shared" si="110"/>
        <v>583.26944415927642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216.99952889049467</v>
      </c>
      <c r="T138" s="59">
        <f t="shared" si="142"/>
        <v>340.62742489103783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29.451173919101748</v>
      </c>
      <c r="AA138" s="21">
        <f>EXP(-LN(2)/25)*AA137+(1-EXP(-LN(2)/25))/(LN(2)/25)*Calculateur!V138*Calculateur!X138*VLOOKUP('Données projet'!$B$9,Paramètres!$A$1:$I$89,3,0)*0.475*44/12</f>
        <v>13.32802925332561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42.779203172427358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-6.8212102632969618E-13</v>
      </c>
      <c r="AJ138" s="13">
        <f>AI138*VLOOKUP('Données projet'!$B$10,Paramètres!$A$1:$I$89,3,0)*VLOOKUP('Données projet'!$B$10,Paramètres!$A$1:$I$89,5,0)</f>
        <v>-4.0790837374515837E-13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243.63945673917135</v>
      </c>
      <c r="AO138" s="59">
        <f t="shared" si="144"/>
        <v>213.14969914288025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45.210903841527852</v>
      </c>
      <c r="AV138" s="21">
        <f>EXP(-LN(2)/25)*AV137+(1-EXP(-LN(2)/25))/(LN(2)/25)*Calculateur!AQ138*Calculateur!AS138*VLOOKUP('Données projet'!$B$10,Paramètres!$A$1:$I$89,3,0)*0.475*44/12</f>
        <v>14.403940045002573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59.614843886530423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-6.3550942286383367E-14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357.2406649189378</v>
      </c>
      <c r="BJ138" s="59">
        <f t="shared" si="146"/>
        <v>353.47109765343811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65.175707413260199</v>
      </c>
      <c r="BQ138" s="21">
        <f>EXP(-LN(2)/25)*BQ137+(1-EXP(-LN(2)/25))/(LN(2)/25)*Calculateur!BL138*Calculateur!BN138*VLOOKUP('Données projet'!$B$11,Paramètres!$A$1:$I$89,3,0)*0.475*44/12</f>
        <v>21.487388057894027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86.663095471154222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123.2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59.121919999999882</v>
      </c>
      <c r="D139" s="11">
        <f t="shared" si="140"/>
        <v>16.946072709893858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446.26555723137659</v>
      </c>
      <c r="H139" s="67">
        <f t="shared" si="110"/>
        <v>584.21842063639826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216.99952889049467</v>
      </c>
      <c r="T139" s="59">
        <f t="shared" si="142"/>
        <v>340.62742489103783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28.873654361990511</v>
      </c>
      <c r="AA139" s="21">
        <f>EXP(-LN(2)/25)*AA138+(1-EXP(-LN(2)/25))/(LN(2)/25)*Calculateur!V139*Calculateur!X139*VLOOKUP('Données projet'!$B$9,Paramètres!$A$1:$I$89,3,0)*0.475*44/12</f>
        <v>12.963573592502824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41.837227954493336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-6.8212102632969618E-13</v>
      </c>
      <c r="AJ139" s="13">
        <f>AI139*VLOOKUP('Données projet'!$B$10,Paramètres!$A$1:$I$89,3,0)*VLOOKUP('Données projet'!$B$10,Paramètres!$A$1:$I$89,5,0)</f>
        <v>-4.0790837374515837E-13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243.63945673917135</v>
      </c>
      <c r="AO139" s="59">
        <f t="shared" si="144"/>
        <v>213.14969914288025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44.324345593123937</v>
      </c>
      <c r="AV139" s="21">
        <f>EXP(-LN(2)/25)*AV138+(1-EXP(-LN(2)/25))/(LN(2)/25)*Calculateur!AQ139*Calculateur!AS139*VLOOKUP('Données projet'!$B$10,Paramètres!$A$1:$I$89,3,0)*0.475*44/12</f>
        <v>14.010063547001691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58.334409140125629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-6.3550942286383367E-14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357.2406649189378</v>
      </c>
      <c r="BJ139" s="59">
        <f t="shared" si="146"/>
        <v>353.47109765343811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63.897651544142377</v>
      </c>
      <c r="BQ139" s="21">
        <f>EXP(-LN(2)/25)*BQ138+(1-EXP(-LN(2)/25))/(LN(2)/25)*Calculateur!BL139*Calculateur!BN139*VLOOKUP('Données projet'!$B$11,Paramètres!$A$1:$I$89,3,0)*0.475*44/12</f>
        <v>20.899814301478287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84.797465845620664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123.2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59.556639999999881</v>
      </c>
      <c r="D140" s="11">
        <f t="shared" si="140"/>
        <v>17.056125353375609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449.46155673980297</v>
      </c>
      <c r="H140" s="67">
        <f t="shared" si="110"/>
        <v>585.16723299046237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216.99952889049467</v>
      </c>
      <c r="T140" s="59">
        <f t="shared" si="142"/>
        <v>340.62742489103783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28.307459611142075</v>
      </c>
      <c r="AA140" s="21">
        <f>EXP(-LN(2)/25)*AA139+(1-EXP(-LN(2)/25))/(LN(2)/25)*Calculateur!V140*Calculateur!X140*VLOOKUP('Données projet'!$B$9,Paramètres!$A$1:$I$89,3,0)*0.475*44/12</f>
        <v>12.609083990891127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40.916543602033201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-6.8212102632969618E-13</v>
      </c>
      <c r="AJ140" s="13">
        <f>AI140*VLOOKUP('Données projet'!$B$10,Paramètres!$A$1:$I$89,3,0)*VLOOKUP('Données projet'!$B$10,Paramètres!$A$1:$I$89,5,0)</f>
        <v>-4.0790837374515837E-13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243.63945673917135</v>
      </c>
      <c r="AO140" s="59">
        <f t="shared" si="144"/>
        <v>213.14969914288025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43.455172211224088</v>
      </c>
      <c r="AV140" s="21">
        <f>EXP(-LN(2)/25)*AV139+(1-EXP(-LN(2)/25))/(LN(2)/25)*Calculateur!AQ140*Calculateur!AS140*VLOOKUP('Données projet'!$B$10,Paramètres!$A$1:$I$89,3,0)*0.475*44/12</f>
        <v>13.626957622551709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57.082129833775795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-6.3550942286383367E-14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357.2406649189378</v>
      </c>
      <c r="BJ140" s="59">
        <f t="shared" si="146"/>
        <v>353.47109765343811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62.644657571080849</v>
      </c>
      <c r="BQ140" s="21">
        <f>EXP(-LN(2)/25)*BQ139+(1-EXP(-LN(2)/25))/(LN(2)/25)*Calculateur!BL140*Calculateur!BN140*VLOOKUP('Données projet'!$B$11,Paramètres!$A$1:$I$89,3,0)*0.475*44/12</f>
        <v>20.328307780330896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82.972965351411744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123.2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59.991359999999879</v>
      </c>
      <c r="D141" s="11">
        <f t="shared" si="140"/>
        <v>17.166084531108837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452.65700791583794</v>
      </c>
      <c r="H141" s="67">
        <f t="shared" si="110"/>
        <v>586.11588255834772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216.99952889049467</v>
      </c>
      <c r="T141" s="59">
        <f t="shared" si="142"/>
        <v>340.62742489103783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27.75236759401308</v>
      </c>
      <c r="AA141" s="21">
        <f>EXP(-LN(2)/25)*AA140+(1-EXP(-LN(2)/25))/(LN(2)/25)*Calculateur!V141*Calculateur!X141*VLOOKUP('Données projet'!$B$9,Paramètres!$A$1:$I$89,3,0)*0.475*44/12</f>
        <v>12.264287926077301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40.016655520090382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-6.8212102632969618E-13</v>
      </c>
      <c r="AJ141" s="13">
        <f>AI141*VLOOKUP('Données projet'!$B$10,Paramètres!$A$1:$I$89,3,0)*VLOOKUP('Données projet'!$B$10,Paramètres!$A$1:$I$89,5,0)</f>
        <v>-4.0790837374515837E-13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243.63945673917135</v>
      </c>
      <c r="AO141" s="59">
        <f t="shared" si="144"/>
        <v>213.14969914288025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42.603042789199876</v>
      </c>
      <c r="AV141" s="21">
        <f>EXP(-LN(2)/25)*AV140+(1-EXP(-LN(2)/25))/(LN(2)/25)*Calculateur!AQ141*Calculateur!AS141*VLOOKUP('Données projet'!$B$10,Paramètres!$A$1:$I$89,3,0)*0.475*44/12</f>
        <v>13.254327749752475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55.857370538952352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-6.3550942286383367E-14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357.2406649189378</v>
      </c>
      <c r="BJ141" s="59">
        <f t="shared" si="146"/>
        <v>353.47109765343811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61.416234045580197</v>
      </c>
      <c r="BQ141" s="21">
        <f>EXP(-LN(2)/25)*BQ140+(1-EXP(-LN(2)/25))/(LN(2)/25)*Calculateur!BL141*Calculateur!BN141*VLOOKUP('Données projet'!$B$11,Paramètres!$A$1:$I$89,3,0)*0.475*44/12</f>
        <v>19.772429135058502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81.188663180638699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123.2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60.426079999999878</v>
      </c>
      <c r="D142" s="11">
        <f t="shared" si="140"/>
        <v>17.27595099891235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455.85191519361842</v>
      </c>
      <c r="H142" s="67">
        <f t="shared" si="110"/>
        <v>587.06437065643877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216.99952889049467</v>
      </c>
      <c r="T142" s="59">
        <f t="shared" si="142"/>
        <v>340.62742489103783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27.208160592767285</v>
      </c>
      <c r="AA142" s="21">
        <f>EXP(-LN(2)/25)*AA141+(1-EXP(-LN(2)/25))/(LN(2)/25)*Calculateur!V142*Calculateur!X142*VLOOKUP('Données projet'!$B$9,Paramètres!$A$1:$I$89,3,0)*0.475*44/12</f>
        <v>11.928920327787846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39.137080920555135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-6.8212102632969618E-13</v>
      </c>
      <c r="AJ142" s="13">
        <f>AI142*VLOOKUP('Données projet'!$B$10,Paramètres!$A$1:$I$89,3,0)*VLOOKUP('Données projet'!$B$10,Paramètres!$A$1:$I$89,5,0)</f>
        <v>-4.0790837374515837E-13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243.63945673917135</v>
      </c>
      <c r="AO142" s="59">
        <f t="shared" si="144"/>
        <v>213.14969914288025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41.76762310539393</v>
      </c>
      <c r="AV142" s="21">
        <f>EXP(-LN(2)/25)*AV141+(1-EXP(-LN(2)/25))/(LN(2)/25)*Calculateur!AQ142*Calculateur!AS142*VLOOKUP('Données projet'!$B$10,Paramètres!$A$1:$I$89,3,0)*0.475*44/12</f>
        <v>12.891887460420691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54.659510565814621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-6.3550942286383367E-14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357.2406649189378</v>
      </c>
      <c r="BJ142" s="59">
        <f t="shared" si="146"/>
        <v>353.47109765343811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60.211899156150245</v>
      </c>
      <c r="BQ142" s="21">
        <f>EXP(-LN(2)/25)*BQ141+(1-EXP(-LN(2)/25))/(LN(2)/25)*Calculateur!BL142*Calculateur!BN142*VLOOKUP('Données projet'!$B$11,Paramètres!$A$1:$I$89,3,0)*0.475*44/12</f>
        <v>19.231751020573469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79.443650176723708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123.2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60.860799999999877</v>
      </c>
      <c r="D143" s="11">
        <f t="shared" si="140"/>
        <v>17.385725501101529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459.04628293979493</v>
      </c>
      <c r="H143" s="67">
        <f t="shared" si="110"/>
        <v>588.01269858108492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216.99952889049467</v>
      </c>
      <c r="T143" s="59">
        <f t="shared" si="142"/>
        <v>340.62742489103783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26.674625158882428</v>
      </c>
      <c r="AA143" s="21">
        <f>EXP(-LN(2)/25)*AA142+(1-EXP(-LN(2)/25))/(LN(2)/25)*Calculateur!V143*Calculateur!X143*VLOOKUP('Données projet'!$B$9,Paramètres!$A$1:$I$89,3,0)*0.475*44/12</f>
        <v>11.602723374109832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38.277348532992264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-6.8212102632969618E-13</v>
      </c>
      <c r="AJ143" s="13">
        <f>AI143*VLOOKUP('Données projet'!$B$10,Paramètres!$A$1:$I$89,3,0)*VLOOKUP('Données projet'!$B$10,Paramètres!$A$1:$I$89,5,0)</f>
        <v>-4.0790837374515837E-13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243.63945673917135</v>
      </c>
      <c r="AO143" s="59">
        <f t="shared" si="144"/>
        <v>213.14969914288025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40.948585492031732</v>
      </c>
      <c r="AV143" s="21">
        <f>EXP(-LN(2)/25)*AV142+(1-EXP(-LN(2)/25))/(LN(2)/25)*Calculateur!AQ143*Calculateur!AS143*VLOOKUP('Données projet'!$B$10,Paramètres!$A$1:$I$89,3,0)*0.475*44/12</f>
        <v>12.539358119860591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53.487943611892319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-6.3550942286383367E-14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357.2406649189378</v>
      </c>
      <c r="BJ143" s="59">
        <f t="shared" si="146"/>
        <v>353.47109765343811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59.031180539330272</v>
      </c>
      <c r="BQ143" s="21">
        <f>EXP(-LN(2)/25)*BQ142+(1-EXP(-LN(2)/25))/(LN(2)/25)*Calculateur!BL143*Calculateur!BN143*VLOOKUP('Données projet'!$B$11,Paramètres!$A$1:$I$89,3,0)*0.475*44/12</f>
        <v>18.705857777562056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77.737038316892324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123.2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61.295519999999875</v>
      </c>
      <c r="D144" s="11">
        <f t="shared" si="140"/>
        <v>17.495408770744131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462.24011545503146</v>
      </c>
      <c r="H144" s="67">
        <f t="shared" si="110"/>
        <v>588.96086760904586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216.99952889049467</v>
      </c>
      <c r="T144" s="59">
        <f t="shared" si="142"/>
        <v>340.62742489103783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26.151552029431571</v>
      </c>
      <c r="AA144" s="21">
        <f>EXP(-LN(2)/25)*AA143+(1-EXP(-LN(2)/25))/(LN(2)/25)*Calculateur!V144*Calculateur!X144*VLOOKUP('Données projet'!$B$9,Paramètres!$A$1:$I$89,3,0)*0.475*44/12</f>
        <v>11.285446293284094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37.436998322715667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-6.8212102632969618E-13</v>
      </c>
      <c r="AJ144" s="13">
        <f>AI144*VLOOKUP('Données projet'!$B$10,Paramètres!$A$1:$I$89,3,0)*VLOOKUP('Données projet'!$B$10,Paramètres!$A$1:$I$89,5,0)</f>
        <v>-4.0790837374515837E-13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243.63945673917135</v>
      </c>
      <c r="AO144" s="59">
        <f t="shared" si="144"/>
        <v>213.14969914288025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40.145608706703946</v>
      </c>
      <c r="AV144" s="21">
        <f>EXP(-LN(2)/25)*AV143+(1-EXP(-LN(2)/25))/(LN(2)/25)*Calculateur!AQ144*Calculateur!AS144*VLOOKUP('Données projet'!$B$10,Paramètres!$A$1:$I$89,3,0)*0.475*44/12</f>
        <v>12.196468712656818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52.342077419360763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-6.3550942286383367E-14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357.2406649189378</v>
      </c>
      <c r="BJ144" s="59">
        <f t="shared" si="146"/>
        <v>353.47109765343811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57.873615094418888</v>
      </c>
      <c r="BQ144" s="21">
        <f>EXP(-LN(2)/25)*BQ143+(1-EXP(-LN(2)/25))/(LN(2)/25)*Calculateur!BL144*Calculateur!BN144*VLOOKUP('Données projet'!$B$11,Paramètres!$A$1:$I$89,3,0)*0.475*44/12</f>
        <v>18.194345112936315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76.067960207355199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123.2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61.730239999999874</v>
      </c>
      <c r="D145" s="11">
        <f t="shared" si="140"/>
        <v>17.605001529908971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465.43341697546526</v>
      </c>
      <c r="H145" s="67">
        <f t="shared" si="110"/>
        <v>589.9088789979246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216.99952889049467</v>
      </c>
      <c r="T145" s="59">
        <f t="shared" si="142"/>
        <v>340.62742489103783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25.638736045006137</v>
      </c>
      <c r="AA145" s="21">
        <f>EXP(-LN(2)/25)*AA144+(1-EXP(-LN(2)/25))/(LN(2)/25)*Calculateur!V145*Calculateur!X145*VLOOKUP('Données projet'!$B$9,Paramètres!$A$1:$I$89,3,0)*0.475*44/12</f>
        <v>10.976845170918413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36.61558121592455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-6.8212102632969618E-13</v>
      </c>
      <c r="AJ145" s="13">
        <f>AI145*VLOOKUP('Données projet'!$B$10,Paramètres!$A$1:$I$89,3,0)*VLOOKUP('Données projet'!$B$10,Paramètres!$A$1:$I$89,5,0)</f>
        <v>-4.0790837374515837E-13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243.63945673917135</v>
      </c>
      <c r="AO145" s="59">
        <f t="shared" si="144"/>
        <v>213.14969914288025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39.358377806368964</v>
      </c>
      <c r="AV145" s="21">
        <f>EXP(-LN(2)/25)*AV144+(1-EXP(-LN(2)/25))/(LN(2)/25)*Calculateur!AQ145*Calculateur!AS145*VLOOKUP('Données projet'!$B$10,Paramètres!$A$1:$I$89,3,0)*0.475*44/12</f>
        <v>11.862955634324804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51.221333440693769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-6.3550942286383367E-14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357.2406649189378</v>
      </c>
      <c r="BJ145" s="59">
        <f t="shared" si="146"/>
        <v>353.47109765343811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56.738748801837012</v>
      </c>
      <c r="BQ145" s="21">
        <f>EXP(-LN(2)/25)*BQ144+(1-EXP(-LN(2)/25))/(LN(2)/25)*Calculateur!BL145*Calculateur!BN145*VLOOKUP('Données projet'!$B$11,Paramètres!$A$1:$I$89,3,0)*0.475*44/12</f>
        <v>17.696819789024044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74.435568590861052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123.2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62.164959999999873</v>
      </c>
      <c r="D146" s="11">
        <f t="shared" si="140"/>
        <v>17.714504489907071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468.62619167412078</v>
      </c>
      <c r="H146" s="67">
        <f t="shared" si="110"/>
        <v>590.85673398658798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216.99952889049467</v>
      </c>
      <c r="T146" s="59">
        <f t="shared" si="142"/>
        <v>340.62742489103783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25.135976069248422</v>
      </c>
      <c r="AA146" s="21">
        <f>EXP(-LN(2)/25)*AA145+(1-EXP(-LN(2)/25))/(LN(2)/25)*Calculateur!V146*Calculateur!X146*VLOOKUP('Données projet'!$B$9,Paramètres!$A$1:$I$89,3,0)*0.475*44/12</f>
        <v>10.676682762472449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35.812658831720867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-6.8212102632969618E-13</v>
      </c>
      <c r="AJ146" s="13">
        <f>AI146*VLOOKUP('Données projet'!$B$10,Paramètres!$A$1:$I$89,3,0)*VLOOKUP('Données projet'!$B$10,Paramètres!$A$1:$I$89,5,0)</f>
        <v>-4.0790837374515837E-13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243.63945673917135</v>
      </c>
      <c r="AO146" s="59">
        <f t="shared" si="144"/>
        <v>213.14969914288025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38.586584023826113</v>
      </c>
      <c r="AV146" s="21">
        <f>EXP(-LN(2)/25)*AV145+(1-EXP(-LN(2)/25))/(LN(2)/25)*Calculateur!AQ146*Calculateur!AS146*VLOOKUP('Données projet'!$B$10,Paramètres!$A$1:$I$89,3,0)*0.475*44/12</f>
        <v>11.538562488658469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50.125146512484584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-6.3550942286383367E-14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357.2406649189378</v>
      </c>
      <c r="BJ146" s="59">
        <f t="shared" si="146"/>
        <v>353.47109765343811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55.626136545052582</v>
      </c>
      <c r="BQ146" s="21">
        <f>EXP(-LN(2)/25)*BQ145+(1-EXP(-LN(2)/25))/(LN(2)/25)*Calculateur!BL146*Calculateur!BN146*VLOOKUP('Données projet'!$B$11,Paramètres!$A$1:$I$89,3,0)*0.475*44/12</f>
        <v>17.212899321257876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72.839035866310454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123.2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62.599679999999871</v>
      </c>
      <c r="D147" s="11">
        <f t="shared" si="140"/>
        <v>17.823918351526142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471.81844366228597</v>
      </c>
      <c r="H147" s="67">
        <f t="shared" si="110"/>
        <v>591.80443379557448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216.99952889049467</v>
      </c>
      <c r="T147" s="59">
        <f t="shared" si="142"/>
        <v>340.62742489103783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24.64307490996201</v>
      </c>
      <c r="AA147" s="21">
        <f>EXP(-LN(2)/25)*AA146+(1-EXP(-LN(2)/25))/(LN(2)/25)*Calculateur!V147*Calculateur!X147*VLOOKUP('Données projet'!$B$9,Paramètres!$A$1:$I$89,3,0)*0.475*44/12</f>
        <v>10.384728310870296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35.027803220832304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-6.8212102632969618E-13</v>
      </c>
      <c r="AJ147" s="13">
        <f>AI147*VLOOKUP('Données projet'!$B$10,Paramètres!$A$1:$I$89,3,0)*VLOOKUP('Données projet'!$B$10,Paramètres!$A$1:$I$89,5,0)</f>
        <v>-4.0790837374515837E-13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243.63945673917135</v>
      </c>
      <c r="AO147" s="59">
        <f t="shared" si="144"/>
        <v>213.14969914288025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37.829924646611204</v>
      </c>
      <c r="AV147" s="21">
        <f>EXP(-LN(2)/25)*AV146+(1-EXP(-LN(2)/25))/(LN(2)/25)*Calculateur!AQ147*Calculateur!AS147*VLOOKUP('Données projet'!$B$10,Paramètres!$A$1:$I$89,3,0)*0.475*44/12</f>
        <v>11.223039890619473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49.052964537230679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-6.3550942286383367E-14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357.2406649189378</v>
      </c>
      <c r="BJ147" s="59">
        <f t="shared" si="146"/>
        <v>353.47109765343811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54.535341935997224</v>
      </c>
      <c r="BQ147" s="21">
        <f>EXP(-LN(2)/25)*BQ146+(1-EXP(-LN(2)/25))/(LN(2)/25)*Calculateur!BL147*Calculateur!BN147*VLOOKUP('Données projet'!$B$11,Paramètres!$A$1:$I$89,3,0)*0.475*44/12</f>
        <v>16.742211684131043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71.277553620128259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123.2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63.03439999999987</v>
      </c>
      <c r="D148" s="11">
        <f t="shared" si="140"/>
        <v>17.933243805258112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475.0101769908469</v>
      </c>
      <c r="H148" s="67">
        <f t="shared" si="110"/>
        <v>592.75197962749098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216.99952889049467</v>
      </c>
      <c r="T148" s="59">
        <f t="shared" si="142"/>
        <v>340.62742489103783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24.159839241769184</v>
      </c>
      <c r="AA148" s="21">
        <f>EXP(-LN(2)/25)*AA147+(1-EXP(-LN(2)/25))/(LN(2)/25)*Calculateur!V148*Calculateur!X148*VLOOKUP('Données projet'!$B$9,Paramètres!$A$1:$I$89,3,0)*0.475*44/12</f>
        <v>10.100757369100419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34.260596610869605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-6.8212102632969618E-13</v>
      </c>
      <c r="AJ148" s="13">
        <f>AI148*VLOOKUP('Données projet'!$B$10,Paramètres!$A$1:$I$89,3,0)*VLOOKUP('Données projet'!$B$10,Paramètres!$A$1:$I$89,5,0)</f>
        <v>-4.0790837374515837E-13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243.63945673917135</v>
      </c>
      <c r="AO148" s="59">
        <f t="shared" si="144"/>
        <v>213.14969914288025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37.088102898266825</v>
      </c>
      <c r="AV148" s="21">
        <f>EXP(-LN(2)/25)*AV147+(1-EXP(-LN(2)/25))/(LN(2)/25)*Calculateur!AQ148*Calculateur!AS148*VLOOKUP('Données projet'!$B$10,Paramètres!$A$1:$I$89,3,0)*0.475*44/12</f>
        <v>10.916145274616467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48.004248172883294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-6.3550942286383367E-14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357.2406649189378</v>
      </c>
      <c r="BJ148" s="59">
        <f t="shared" si="146"/>
        <v>353.47109765343811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53.465937143906423</v>
      </c>
      <c r="BQ148" s="21">
        <f>EXP(-LN(2)/25)*BQ147+(1-EXP(-LN(2)/25))/(LN(2)/25)*Calculateur!BL148*Calculateur!BN148*VLOOKUP('Données projet'!$B$11,Paramètres!$A$1:$I$89,3,0)*0.475*44/12</f>
        <v>16.284395025193831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69.750332169100261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123.2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63.469119999999869</v>
      </c>
      <c r="D149" s="11">
        <f t="shared" si="140"/>
        <v>18.042481531520448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478.20139565158593</v>
      </c>
      <c r="H149" s="67">
        <f t="shared" si="110"/>
        <v>593.69937266739794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216.99952889049467</v>
      </c>
      <c r="T149" s="59">
        <f t="shared" si="142"/>
        <v>340.62742489103783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23.686079530284964</v>
      </c>
      <c r="AA149" s="21">
        <f>EXP(-LN(2)/25)*AA148+(1-EXP(-LN(2)/25))/(LN(2)/25)*Calculateur!V149*Calculateur!X149*VLOOKUP('Données projet'!$B$9,Paramètres!$A$1:$I$89,3,0)*0.475*44/12</f>
        <v>9.824551627666624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33.510631157951586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-6.8212102632969618E-13</v>
      </c>
      <c r="AJ149" s="13">
        <f>AI149*VLOOKUP('Données projet'!$B$10,Paramètres!$A$1:$I$89,3,0)*VLOOKUP('Données projet'!$B$10,Paramètres!$A$1:$I$89,5,0)</f>
        <v>-4.0790837374515837E-13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243.63945673917135</v>
      </c>
      <c r="AO149" s="59">
        <f t="shared" si="144"/>
        <v>213.14969914288025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36.360827821940894</v>
      </c>
      <c r="AV149" s="21">
        <f>EXP(-LN(2)/25)*AV148+(1-EXP(-LN(2)/25))/(LN(2)/25)*Calculateur!AQ149*Calculateur!AS149*VLOOKUP('Données projet'!$B$10,Paramètres!$A$1:$I$89,3,0)*0.475*44/12</f>
        <v>10.617642708026949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46.978470529967844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-6.3550942286383367E-14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357.2406649189378</v>
      </c>
      <c r="BJ149" s="59">
        <f t="shared" si="146"/>
        <v>353.47109765343811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52.417502727516009</v>
      </c>
      <c r="BQ149" s="21">
        <f>EXP(-LN(2)/25)*BQ148+(1-EXP(-LN(2)/25))/(LN(2)/25)*Calculateur!BL149*Calculateur!BN149*VLOOKUP('Données projet'!$B$11,Paramètres!$A$1:$I$89,3,0)*0.475*44/12</f>
        <v>15.83909738687079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68.256600114386799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123.2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63.903839999999867</v>
      </c>
      <c r="D150" s="11">
        <f t="shared" si="140"/>
        <v>18.151632200871013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481.39210357844257</v>
      </c>
      <c r="H150" s="67">
        <f t="shared" si="110"/>
        <v>594.64661408318352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216.99952889049467</v>
      </c>
      <c r="T150" s="59">
        <f t="shared" si="142"/>
        <v>340.62742489103783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23.221609957778057</v>
      </c>
      <c r="AA150" s="21">
        <f>EXP(-LN(2)/25)*AA149+(1-EXP(-LN(2)/25))/(LN(2)/25)*Calculateur!V150*Calculateur!X150*VLOOKUP('Données projet'!$B$9,Paramètres!$A$1:$I$89,3,0)*0.475*44/12</f>
        <v>9.5558987467573644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32.777508704535421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-6.8212102632969618E-13</v>
      </c>
      <c r="AJ150" s="13">
        <f>AI150*VLOOKUP('Données projet'!$B$10,Paramètres!$A$1:$I$89,3,0)*VLOOKUP('Données projet'!$B$10,Paramètres!$A$1:$I$89,5,0)</f>
        <v>-4.0790837374515837E-13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243.63945673917135</v>
      </c>
      <c r="AO150" s="59">
        <f t="shared" si="144"/>
        <v>213.14969914288025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35.647814166267715</v>
      </c>
      <c r="AV150" s="21">
        <f>EXP(-LN(2)/25)*AV149+(1-EXP(-LN(2)/25))/(LN(2)/25)*Calculateur!AQ150*Calculateur!AS150*VLOOKUP('Données projet'!$B$10,Paramètres!$A$1:$I$89,3,0)*0.475*44/12</f>
        <v>10.327302709818388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45.975116876086105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-6.3550942286383367E-14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357.2406649189378</v>
      </c>
      <c r="BJ150" s="59">
        <f t="shared" si="146"/>
        <v>353.47109765343811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51.389627470549158</v>
      </c>
      <c r="BQ150" s="21">
        <f>EXP(-LN(2)/25)*BQ149+(1-EXP(-LN(2)/25))/(LN(2)/25)*Calculateur!BL150*Calculateur!BN150*VLOOKUP('Données projet'!$B$11,Paramètres!$A$1:$I$89,3,0)*0.475*44/12</f>
        <v>15.405976435884877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66.795603906434039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123.2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64.338559999999873</v>
      </c>
      <c r="D151" s="11">
        <f t="shared" si="140"/>
        <v>18.260696474217127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484.58230464873981</v>
      </c>
      <c r="H151" s="67">
        <f t="shared" si="110"/>
        <v>595.59370502592799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216.99952889049467</v>
      </c>
      <c r="T151" s="59">
        <f t="shared" si="142"/>
        <v>340.62742489103783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22.766248350289548</v>
      </c>
      <c r="AA151" s="21">
        <f>EXP(-LN(2)/25)*AA150+(1-EXP(-LN(2)/25))/(LN(2)/25)*Calculateur!V151*Calculateur!X151*VLOOKUP('Données projet'!$B$9,Paramètres!$A$1:$I$89,3,0)*0.475*44/12</f>
        <v>9.2945921930044086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32.060840543293956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-6.8212102632969618E-13</v>
      </c>
      <c r="AJ151" s="13">
        <f>AI151*VLOOKUP('Données projet'!$B$10,Paramètres!$A$1:$I$89,3,0)*VLOOKUP('Données projet'!$B$10,Paramètres!$A$1:$I$89,5,0)</f>
        <v>-4.0790837374515837E-13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243.63945673917135</v>
      </c>
      <c r="AO151" s="59">
        <f t="shared" si="144"/>
        <v>213.14969914288025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34.948782273486898</v>
      </c>
      <c r="AV151" s="21">
        <f>EXP(-LN(2)/25)*AV150+(1-EXP(-LN(2)/25))/(LN(2)/25)*Calculateur!AQ151*Calculateur!AS151*VLOOKUP('Données projet'!$B$10,Paramètres!$A$1:$I$89,3,0)*0.475*44/12</f>
        <v>10.044902074129158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44.993684347616053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-6.3550942286383367E-14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357.2406649189378</v>
      </c>
      <c r="BJ151" s="59">
        <f t="shared" si="146"/>
        <v>353.47109765343811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50.381908220429423</v>
      </c>
      <c r="BQ151" s="21">
        <f>EXP(-LN(2)/25)*BQ150+(1-EXP(-LN(2)/25))/(LN(2)/25)*Calculateur!BL151*Calculateur!BN151*VLOOKUP('Données projet'!$B$11,Paramètres!$A$1:$I$89,3,0)*0.475*44/12</f>
        <v>14.984699200080515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65.366607420509936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123.2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64.773279999999872</v>
      </c>
      <c r="D152" s="11">
        <f t="shared" si="140"/>
        <v>18.369675003018539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487.77200268437474</v>
      </c>
      <c r="H152" s="67">
        <f t="shared" si="110"/>
        <v>596.54064663025702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216.99952889049467</v>
      </c>
      <c r="T152" s="59">
        <f t="shared" si="142"/>
        <v>340.62742489103783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22.319816106180731</v>
      </c>
      <c r="AA152" s="21">
        <f>EXP(-LN(2)/25)*AA151+(1-EXP(-LN(2)/25))/(LN(2)/25)*Calculateur!V152*Calculateur!X152*VLOOKUP('Données projet'!$B$9,Paramètres!$A$1:$I$89,3,0)*0.475*44/12</f>
        <v>9.0404310807053427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31.360247186886074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-6.8212102632969618E-13</v>
      </c>
      <c r="AJ152" s="13">
        <f>AI152*VLOOKUP('Données projet'!$B$10,Paramètres!$A$1:$I$89,3,0)*VLOOKUP('Données projet'!$B$10,Paramètres!$A$1:$I$89,5,0)</f>
        <v>-4.0790837374515837E-13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243.63945673917135</v>
      </c>
      <c r="AO152" s="59">
        <f t="shared" si="144"/>
        <v>213.14969914288025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34.263457969756161</v>
      </c>
      <c r="AV152" s="21">
        <f>EXP(-LN(2)/25)*AV151+(1-EXP(-LN(2)/25))/(LN(2)/25)*Calculateur!AQ152*Calculateur!AS152*VLOOKUP('Données projet'!$B$10,Paramètres!$A$1:$I$89,3,0)*0.475*44/12</f>
        <v>9.7702236986736537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44.033681668429814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-6.3550942286383367E-14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357.2406649189378</v>
      </c>
      <c r="BJ152" s="59">
        <f t="shared" si="146"/>
        <v>353.47109765343811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49.393949730156486</v>
      </c>
      <c r="BQ152" s="21">
        <f>EXP(-LN(2)/25)*BQ151+(1-EXP(-LN(2)/25))/(LN(2)/25)*Calculateur!BL152*Calculateur!BN152*VLOOKUP('Données projet'!$B$11,Paramètres!$A$1:$I$89,3,0)*0.475*44/12</f>
        <v>14.57494181244323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63.968891542599714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123.2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65.207999999999871</v>
      </c>
      <c r="D153" s="11">
        <f t="shared" si="140"/>
        <v>18.478568429485165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490.96120145297891</v>
      </c>
      <c r="H153" s="67">
        <f t="shared" si="110"/>
        <v>597.4874400146864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216.99952889049467</v>
      </c>
      <c r="T153" s="59">
        <f t="shared" si="142"/>
        <v>340.62742489103783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21.882138126082108</v>
      </c>
      <c r="AA153" s="21">
        <f>EXP(-LN(2)/25)*AA152+(1-EXP(-LN(2)/25))/(LN(2)/25)*Calculateur!V153*Calculateur!X153*VLOOKUP('Données projet'!$B$9,Paramètres!$A$1:$I$89,3,0)*0.475*44/12</f>
        <v>8.7932200173878474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30.675358143469957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-6.8212102632969618E-13</v>
      </c>
      <c r="AJ153" s="13">
        <f>AI153*VLOOKUP('Données projet'!$B$10,Paramètres!$A$1:$I$89,3,0)*VLOOKUP('Données projet'!$B$10,Paramètres!$A$1:$I$89,5,0)</f>
        <v>-4.0790837374515837E-13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243.63945673917135</v>
      </c>
      <c r="AO153" s="59">
        <f t="shared" si="144"/>
        <v>213.14969914288025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33.591572457615037</v>
      </c>
      <c r="AV153" s="21">
        <f>EXP(-LN(2)/25)*AV152+(1-EXP(-LN(2)/25))/(LN(2)/25)*Calculateur!AQ153*Calculateur!AS153*VLOOKUP('Données projet'!$B$10,Paramètres!$A$1:$I$89,3,0)*0.475*44/12</f>
        <v>9.503056417839689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43.094628875454724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-6.3550942286383367E-14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357.2406649189378</v>
      </c>
      <c r="BJ153" s="59">
        <f t="shared" si="146"/>
        <v>353.47109765343811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48.425364503282623</v>
      </c>
      <c r="BQ153" s="21">
        <f>EXP(-LN(2)/25)*BQ152+(1-EXP(-LN(2)/25))/(LN(2)/25)*Calculateur!BL153*Calculateur!BN153*VLOOKUP('Données projet'!$B$11,Paramètres!$A$1:$I$89,3,0)*0.475*44/12</f>
        <v>14.176389262119091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62.60175376540171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123.2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65.642719999999869</v>
      </c>
      <c r="D154" s="11">
        <f t="shared" si="140"/>
        <v>18.587377386769006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494.14990466904419</v>
      </c>
      <c r="H154" s="67">
        <f t="shared" si="110"/>
        <v>598.43408628195584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216.99952889049467</v>
      </c>
      <c r="T154" s="59">
        <f t="shared" si="142"/>
        <v>340.62742489103783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21.45304274421601</v>
      </c>
      <c r="AA154" s="21">
        <f>EXP(-LN(2)/25)*AA153+(1-EXP(-LN(2)/25))/(LN(2)/25)*Calculateur!V154*Calculateur!X154*VLOOKUP('Données projet'!$B$9,Paramètres!$A$1:$I$89,3,0)*0.475*44/12</f>
        <v>8.5527689535970328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30.005811697813044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-6.8212102632969618E-13</v>
      </c>
      <c r="AJ154" s="13">
        <f>AI154*VLOOKUP('Données projet'!$B$10,Paramètres!$A$1:$I$89,3,0)*VLOOKUP('Données projet'!$B$10,Paramètres!$A$1:$I$89,5,0)</f>
        <v>-4.0790837374515837E-13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243.63945673917135</v>
      </c>
      <c r="AO154" s="59">
        <f t="shared" si="144"/>
        <v>213.14969914288025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32.932862210557303</v>
      </c>
      <c r="AV154" s="21">
        <f>EXP(-LN(2)/25)*AV153+(1-EXP(-LN(2)/25))/(LN(2)/25)*Calculateur!AQ154*Calculateur!AS154*VLOOKUP('Données projet'!$B$10,Paramètres!$A$1:$I$89,3,0)*0.475*44/12</f>
        <v>9.2431948403498456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42.176057050907147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-6.3550942286383367E-14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357.2406649189378</v>
      </c>
      <c r="BJ154" s="59">
        <f t="shared" si="146"/>
        <v>353.47109765343811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47.475772641929105</v>
      </c>
      <c r="BQ154" s="21">
        <f>EXP(-LN(2)/25)*BQ153+(1-EXP(-LN(2)/25))/(LN(2)/25)*Calculateur!BL154*Calculateur!BN154*VLOOKUP('Données projet'!$B$11,Paramètres!$A$1:$I$89,3,0)*0.475*44/12</f>
        <v>13.788735152242534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61.264507794171635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123.2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66.077439999999868</v>
      </c>
      <c r="D155" s="11">
        <f t="shared" si="140"/>
        <v>18.696102499151142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497.33811599501934</v>
      </c>
      <c r="H155" s="67">
        <f t="shared" si="110"/>
        <v>599.38058651935467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216.99952889049467</v>
      </c>
      <c r="T155" s="59">
        <f t="shared" si="142"/>
        <v>340.62742489103783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21.032361661065966</v>
      </c>
      <c r="AA155" s="21">
        <f>EXP(-LN(2)/25)*AA154+(1-EXP(-LN(2)/25))/(LN(2)/25)*Calculateur!V155*Calculateur!X155*VLOOKUP('Données projet'!$B$9,Paramètres!$A$1:$I$89,3,0)*0.475*44/12</f>
        <v>8.3188930367903495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29.351254697856316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-6.8212102632969618E-13</v>
      </c>
      <c r="AJ155" s="13">
        <f>AI155*VLOOKUP('Données projet'!$B$10,Paramètres!$A$1:$I$89,3,0)*VLOOKUP('Données projet'!$B$10,Paramètres!$A$1:$I$89,5,0)</f>
        <v>-4.0790837374515837E-13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243.63945673917135</v>
      </c>
      <c r="AO155" s="59">
        <f t="shared" si="144"/>
        <v>213.14969914288025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32.28706886967079</v>
      </c>
      <c r="AV155" s="21">
        <f>EXP(-LN(2)/25)*AV154+(1-EXP(-LN(2)/25))/(LN(2)/25)*Calculateur!AQ155*Calculateur!AS155*VLOOKUP('Données projet'!$B$10,Paramètres!$A$1:$I$89,3,0)*0.475*44/12</f>
        <v>8.9904391913619879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41.277508061032776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-6.3550942286383367E-14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357.2406649189378</v>
      </c>
      <c r="BJ155" s="59">
        <f t="shared" si="146"/>
        <v>353.47109765343811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46.544801697782887</v>
      </c>
      <c r="BQ155" s="21">
        <f>EXP(-LN(2)/25)*BQ154+(1-EXP(-LN(2)/25))/(LN(2)/25)*Calculateur!BL155*Calculateur!BN155*VLOOKUP('Données projet'!$B$11,Paramètres!$A$1:$I$89,3,0)*0.475*44/12</f>
        <v>13.411681464386396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59.956483162169285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123.2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66.512159999999866</v>
      </c>
      <c r="D156" s="11">
        <f t="shared" si="140"/>
        <v>18.804744382223468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500.52583904237684</v>
      </c>
      <c r="H156" s="67">
        <f t="shared" si="110"/>
        <v>600.32694179903899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216.99952889049467</v>
      </c>
      <c r="T156" s="59">
        <f t="shared" si="142"/>
        <v>340.62742489103783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20.619929877366371</v>
      </c>
      <c r="AA156" s="21">
        <f>EXP(-LN(2)/25)*AA155+(1-EXP(-LN(2)/25))/(LN(2)/25)*Calculateur!V156*Calculateur!X156*VLOOKUP('Données projet'!$B$9,Paramètres!$A$1:$I$89,3,0)*0.475*44/12</f>
        <v>8.0914124692277465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28.711342346594115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-6.8212102632969618E-13</v>
      </c>
      <c r="AJ156" s="13">
        <f>AI156*VLOOKUP('Données projet'!$B$10,Paramètres!$A$1:$I$89,3,0)*VLOOKUP('Données projet'!$B$10,Paramètres!$A$1:$I$89,5,0)</f>
        <v>-4.0790837374515837E-13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243.63945673917135</v>
      </c>
      <c r="AO156" s="59">
        <f t="shared" si="144"/>
        <v>213.14969914288025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31.653939142304019</v>
      </c>
      <c r="AV156" s="21">
        <f>EXP(-LN(2)/25)*AV155+(1-EXP(-LN(2)/25))/(LN(2)/25)*Calculateur!AQ156*Calculateur!AS156*VLOOKUP('Données projet'!$B$10,Paramètres!$A$1:$I$89,3,0)*0.475*44/12</f>
        <v>8.7445951588875452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40.39853430119156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-6.3550942286383367E-14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357.2406649189378</v>
      </c>
      <c r="BJ156" s="59">
        <f t="shared" si="146"/>
        <v>353.47109765343811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45.632086526015165</v>
      </c>
      <c r="BQ156" s="21">
        <f>EXP(-LN(2)/25)*BQ155+(1-EXP(-LN(2)/25))/(LN(2)/25)*Calculateur!BL156*Calculateur!BN156*VLOOKUP('Données projet'!$B$11,Paramètres!$A$1:$I$89,3,0)*0.475*44/12</f>
        <v>13.044938329453075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58.67702485546824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123.2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66.946879999999865</v>
      </c>
      <c r="D157" s="11">
        <f t="shared" si="140"/>
        <v>18.913303643065696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503.71307737265124</v>
      </c>
      <c r="H157" s="67">
        <f t="shared" si="110"/>
        <v>601.27315317833916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216.99952889049467</v>
      </c>
      <c r="T157" s="59">
        <f t="shared" si="142"/>
        <v>340.62742489103783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20.215585629386574</v>
      </c>
      <c r="AA157" s="21">
        <f>EXP(-LN(2)/25)*AA156+(1-EXP(-LN(2)/25))/(LN(2)/25)*Calculateur!V157*Calculateur!X157*VLOOKUP('Données projet'!$B$9,Paramètres!$A$1:$I$89,3,0)*0.475*44/12</f>
        <v>7.8701523697478253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28.085737999134398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-6.8212102632969618E-13</v>
      </c>
      <c r="AJ157" s="13">
        <f>AI157*VLOOKUP('Données projet'!$B$10,Paramètres!$A$1:$I$89,3,0)*VLOOKUP('Données projet'!$B$10,Paramètres!$A$1:$I$89,5,0)</f>
        <v>-4.0790837374515837E-13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243.63945673917135</v>
      </c>
      <c r="AO157" s="59">
        <f t="shared" si="144"/>
        <v>213.14969914288025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31.033224702719906</v>
      </c>
      <c r="AV157" s="21">
        <f>EXP(-LN(2)/25)*AV156+(1-EXP(-LN(2)/25))/(LN(2)/25)*Calculateur!AQ157*Calculateur!AS157*VLOOKUP('Données projet'!$B$10,Paramètres!$A$1:$I$89,3,0)*0.475*44/12</f>
        <v>8.5054737444094926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39.538698447129399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-6.3550942286383367E-14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357.2406649189378</v>
      </c>
      <c r="BJ157" s="59">
        <f t="shared" si="146"/>
        <v>353.47109765343811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44.737269142064527</v>
      </c>
      <c r="BQ157" s="21">
        <f>EXP(-LN(2)/25)*BQ156+(1-EXP(-LN(2)/25))/(LN(2)/25)*Calculateur!BL157*Calculateur!BN157*VLOOKUP('Données projet'!$B$11,Paramètres!$A$1:$I$89,3,0)*0.475*44/12</f>
        <v>12.688223804830688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57.425492946895218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123.2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67.381599999999864</v>
      </c>
      <c r="D158" s="11">
        <f t="shared" si="140"/>
        <v>19.021780880417445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506.89983449844817</v>
      </c>
      <c r="H158" s="67">
        <f t="shared" si="110"/>
        <v>602.21922170006019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216.99952889049467</v>
      </c>
      <c r="T158" s="59">
        <f t="shared" si="142"/>
        <v>340.62742489103783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19.819170325484023</v>
      </c>
      <c r="AA158" s="21">
        <f>EXP(-LN(2)/25)*AA157+(1-EXP(-LN(2)/25))/(LN(2)/25)*Calculateur!V158*Calculateur!X158*VLOOKUP('Données projet'!$B$9,Paramètres!$A$1:$I$89,3,0)*0.475*44/12</f>
        <v>7.6549426393237452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27.47411296480777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-6.8212102632969618E-13</v>
      </c>
      <c r="AJ158" s="13">
        <f>AI158*VLOOKUP('Données projet'!$B$10,Paramètres!$A$1:$I$89,3,0)*VLOOKUP('Données projet'!$B$10,Paramètres!$A$1:$I$89,5,0)</f>
        <v>-4.0790837374515837E-13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243.63945673917135</v>
      </c>
      <c r="AO158" s="59">
        <f t="shared" si="144"/>
        <v>213.14969914288025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30.424682094697612</v>
      </c>
      <c r="AV158" s="21">
        <f>EXP(-LN(2)/25)*AV157+(1-EXP(-LN(2)/25))/(LN(2)/25)*Calculateur!AQ158*Calculateur!AS158*VLOOKUP('Données projet'!$B$10,Paramètres!$A$1:$I$89,3,0)*0.475*44/12</f>
        <v>8.2728911175851909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38.697573212282805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-6.3550942286383367E-14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357.2406649189378</v>
      </c>
      <c r="BJ158" s="59">
        <f t="shared" si="146"/>
        <v>353.47109765343811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43.859998581228446</v>
      </c>
      <c r="BQ158" s="21">
        <f>EXP(-LN(2)/25)*BQ157+(1-EXP(-LN(2)/25))/(LN(2)/25)*Calculateur!BL158*Calculateur!BN158*VLOOKUP('Données projet'!$B$11,Paramètres!$A$1:$I$89,3,0)*0.475*44/12</f>
        <v>12.341263657642902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56.201262238871351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123.2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67.816319999999862</v>
      </c>
      <c r="D159" s="11">
        <f t="shared" si="140"/>
        <v>19.130176684845988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510.08611388442904</v>
      </c>
      <c r="H159" s="67">
        <f t="shared" si="110"/>
        <v>603.16514839277318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216.99952889049467</v>
      </c>
      <c r="T159" s="59">
        <f t="shared" si="142"/>
        <v>340.62742489103783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19.43052848390154</v>
      </c>
      <c r="AA159" s="21">
        <f>EXP(-LN(2)/25)*AA158+(1-EXP(-LN(2)/25))/(LN(2)/25)*Calculateur!V159*Calculateur!X159*VLOOKUP('Données projet'!$B$9,Paramètres!$A$1:$I$89,3,0)*0.475*44/12</f>
        <v>7.4456178302954994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26.87614631419704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-6.8212102632969618E-13</v>
      </c>
      <c r="AJ159" s="13">
        <f>AI159*VLOOKUP('Données projet'!$B$10,Paramètres!$A$1:$I$89,3,0)*VLOOKUP('Données projet'!$B$10,Paramètres!$A$1:$I$89,5,0)</f>
        <v>-4.0790837374515837E-13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243.63945673917135</v>
      </c>
      <c r="AO159" s="59">
        <f t="shared" si="144"/>
        <v>213.14969914288025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29.828072636044297</v>
      </c>
      <c r="AV159" s="21">
        <f>EXP(-LN(2)/25)*AV158+(1-EXP(-LN(2)/25))/(LN(2)/25)*Calculateur!AQ159*Calculateur!AS159*VLOOKUP('Données projet'!$B$10,Paramètres!$A$1:$I$89,3,0)*0.475*44/12</f>
        <v>8.046668474922388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37.874741110966681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-6.3550942286383367E-14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357.2406649189378</v>
      </c>
      <c r="BJ159" s="59">
        <f t="shared" si="146"/>
        <v>353.47109765343811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42.999930761008152</v>
      </c>
      <c r="BQ159" s="21">
        <f>EXP(-LN(2)/25)*BQ158+(1-EXP(-LN(2)/25))/(LN(2)/25)*Calculateur!BL159*Calculateur!BN159*VLOOKUP('Données projet'!$B$11,Paramètres!$A$1:$I$89,3,0)*0.475*44/12</f>
        <v>12.003791153925807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55.003721914933962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123.2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68.251039999999861</v>
      </c>
      <c r="D160" s="11">
        <f t="shared" si="140"/>
        <v>19.238491638909377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513.27191894826763</v>
      </c>
      <c r="H160" s="67">
        <f t="shared" si="110"/>
        <v>604.11093427110029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216.99952889049467</v>
      </c>
      <c r="T160" s="59">
        <f t="shared" si="142"/>
        <v>340.62742489103783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19.049507671784372</v>
      </c>
      <c r="AA160" s="21">
        <f>EXP(-LN(2)/25)*AA159+(1-EXP(-LN(2)/25))/(LN(2)/25)*Calculateur!V160*Calculateur!X160*VLOOKUP('Données projet'!$B$9,Paramètres!$A$1:$I$89,3,0)*0.475*44/12</f>
        <v>7.2420170191780446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26.291524690962419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-6.8212102632969618E-13</v>
      </c>
      <c r="AJ160" s="13">
        <f>AI160*VLOOKUP('Données projet'!$B$10,Paramètres!$A$1:$I$89,3,0)*VLOOKUP('Données projet'!$B$10,Paramètres!$A$1:$I$89,5,0)</f>
        <v>-4.0790837374515837E-13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243.63945673917135</v>
      </c>
      <c r="AO160" s="59">
        <f t="shared" si="144"/>
        <v>213.14969914288025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29.243162324979334</v>
      </c>
      <c r="AV160" s="21">
        <f>EXP(-LN(2)/25)*AV159+(1-EXP(-LN(2)/25))/(LN(2)/25)*Calculateur!AQ160*Calculateur!AS160*VLOOKUP('Données projet'!$B$10,Paramètres!$A$1:$I$89,3,0)*0.475*44/12</f>
        <v>7.8266319023197308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37.069794227299063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-6.3550942286383367E-14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357.2406649189378</v>
      </c>
      <c r="BJ160" s="59">
        <f t="shared" si="146"/>
        <v>353.47109765343811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42.156728346152811</v>
      </c>
      <c r="BQ160" s="21">
        <f>EXP(-LN(2)/25)*BQ159+(1-EXP(-LN(2)/25))/(LN(2)/25)*Calculateur!BL160*Calculateur!BN160*VLOOKUP('Données projet'!$B$11,Paramètres!$A$1:$I$89,3,0)*0.475*44/12</f>
        <v>11.675546853569763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53.832275199722574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123.2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68.68575999999986</v>
      </c>
      <c r="D161" s="11">
        <f t="shared" si="140"/>
        <v>19.346726317315351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516.45725306158261</v>
      </c>
      <c r="H161" s="67">
        <f t="shared" si="110"/>
        <v>605.0565803359907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216.99952889049467</v>
      </c>
      <c r="T161" s="59">
        <f t="shared" si="142"/>
        <v>340.62742489103783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18.675958445393075</v>
      </c>
      <c r="AA161" s="21">
        <f>EXP(-LN(2)/25)*AA160+(1-EXP(-LN(2)/25))/(LN(2)/25)*Calculateur!V161*Calculateur!X161*VLOOKUP('Données projet'!$B$9,Paramètres!$A$1:$I$89,3,0)*0.475*44/12</f>
        <v>7.0439836829474975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25.719942128340573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-6.8212102632969618E-13</v>
      </c>
      <c r="AJ161" s="13">
        <f>AI161*VLOOKUP('Données projet'!$B$10,Paramètres!$A$1:$I$89,3,0)*VLOOKUP('Données projet'!$B$10,Paramètres!$A$1:$I$89,5,0)</f>
        <v>-4.0790837374515837E-13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243.63945673917135</v>
      </c>
      <c r="AO161" s="59">
        <f t="shared" si="144"/>
        <v>213.14969914288025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28.669721748354291</v>
      </c>
      <c r="AV161" s="21">
        <f>EXP(-LN(2)/25)*AV160+(1-EXP(-LN(2)/25))/(LN(2)/25)*Calculateur!AQ161*Calculateur!AS161*VLOOKUP('Données projet'!$B$10,Paramètres!$A$1:$I$89,3,0)*0.475*44/12</f>
        <v>7.6126122413661141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36.282333989720406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-6.3550942286383367E-14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357.2406649189378</v>
      </c>
      <c r="BJ161" s="59">
        <f t="shared" si="146"/>
        <v>353.47109765343811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41.330060616350089</v>
      </c>
      <c r="BQ161" s="21">
        <f>EXP(-LN(2)/25)*BQ160+(1-EXP(-LN(2)/25))/(LN(2)/25)*Calculateur!BL161*Calculateur!BN161*VLOOKUP('Données projet'!$B$11,Paramètres!$A$1:$I$89,3,0)*0.475*44/12</f>
        <v>11.356278410868574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52.686339027218665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123.2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69.120479999999858</v>
      </c>
      <c r="D162" s="11">
        <f t="shared" si="140"/>
        <v>19.454881287076212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519.64211955084636</v>
      </c>
      <c r="H162" s="67">
        <f t="shared" si="110"/>
        <v>606.00208757499081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216.99952889049467</v>
      </c>
      <c r="T162" s="59">
        <f t="shared" si="142"/>
        <v>340.62742489103783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18.30973429148878</v>
      </c>
      <c r="AA162" s="21">
        <f>EXP(-LN(2)/25)*AA161+(1-EXP(-LN(2)/25))/(LN(2)/25)*Calculateur!V162*Calculateur!X162*VLOOKUP('Données projet'!$B$9,Paramètres!$A$1:$I$89,3,0)*0.475*44/12</f>
        <v>6.8513655787102952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25.161099870199074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-6.8212102632969618E-13</v>
      </c>
      <c r="AJ162" s="13">
        <f>AI162*VLOOKUP('Données projet'!$B$10,Paramètres!$A$1:$I$89,3,0)*VLOOKUP('Données projet'!$B$10,Paramètres!$A$1:$I$89,5,0)</f>
        <v>-4.0790837374515837E-13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243.63945673917135</v>
      </c>
      <c r="AO162" s="59">
        <f t="shared" si="144"/>
        <v>213.14969914288025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28.107525991672652</v>
      </c>
      <c r="AV162" s="21">
        <f>EXP(-LN(2)/25)*AV161+(1-EXP(-LN(2)/25))/(LN(2)/25)*Calculateur!AQ162*Calculateur!AS162*VLOOKUP('Données projet'!$B$10,Paramètres!$A$1:$I$89,3,0)*0.475*44/12</f>
        <v>7.4044449592960788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35.511970950968731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-6.3550942286383367E-14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357.2406649189378</v>
      </c>
      <c r="BJ162" s="59">
        <f t="shared" si="146"/>
        <v>353.47109765343811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40.519603336511274</v>
      </c>
      <c r="BQ162" s="21">
        <f>EXP(-LN(2)/25)*BQ161+(1-EXP(-LN(2)/25))/(LN(2)/25)*Calculateur!BL162*Calculateur!BN162*VLOOKUP('Données projet'!$B$11,Paramètres!$A$1:$I$89,3,0)*0.475*44/12</f>
        <v>11.045740380522647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51.565343717033919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123.2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69.555199999999857</v>
      </c>
      <c r="D163" s="11">
        <f t="shared" si="140"/>
        <v>19.562957107659514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522.82652169826827</v>
      </c>
      <c r="H163" s="67">
        <f t="shared" si="110"/>
        <v>606.94745696250675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216.99952889049467</v>
      </c>
      <c r="T163" s="59">
        <f t="shared" si="142"/>
        <v>340.62742489103783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17.950691569867871</v>
      </c>
      <c r="AA163" s="21">
        <f>EXP(-LN(2)/25)*AA162+(1-EXP(-LN(2)/25))/(LN(2)/25)*Calculateur!V163*Calculateur!X163*VLOOKUP('Données projet'!$B$9,Paramètres!$A$1:$I$89,3,0)*0.475*44/12</f>
        <v>6.6640146266628051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24.614706196530676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-6.8212102632969618E-13</v>
      </c>
      <c r="AJ163" s="13">
        <f>AI163*VLOOKUP('Données projet'!$B$10,Paramètres!$A$1:$I$89,3,0)*VLOOKUP('Données projet'!$B$10,Paramètres!$A$1:$I$89,5,0)</f>
        <v>-4.0790837374515837E-13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243.63945673917135</v>
      </c>
      <c r="AO163" s="59">
        <f t="shared" si="144"/>
        <v>213.14969914288025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27.556354550873987</v>
      </c>
      <c r="AV163" s="21">
        <f>EXP(-LN(2)/25)*AV162+(1-EXP(-LN(2)/25))/(LN(2)/25)*Calculateur!AQ163*Calculateur!AS163*VLOOKUP('Données projet'!$B$10,Paramètres!$A$1:$I$89,3,0)*0.475*44/12</f>
        <v>7.2019700225012899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34.758324573375276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-6.3550942286383367E-14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357.2406649189378</v>
      </c>
      <c r="BJ163" s="59">
        <f t="shared" si="146"/>
        <v>353.47109765343811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39.725038629599965</v>
      </c>
      <c r="BQ163" s="21">
        <f>EXP(-LN(2)/25)*BQ162+(1-EXP(-LN(2)/25))/(LN(2)/25)*Calculateur!BL163*Calculateur!BN163*VLOOKUP('Données projet'!$B$11,Paramètres!$A$1:$I$89,3,0)*0.475*44/12</f>
        <v>10.743694028947013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50.468732658546976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123.2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69.989919999999856</v>
      </c>
      <c r="D164" s="11">
        <f t="shared" si="140"/>
        <v>19.670954331135036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526.01046274265809</v>
      </c>
      <c r="H164" s="67">
        <f t="shared" si="110"/>
        <v>607.89268946005996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216.99952889049467</v>
      </c>
      <c r="T164" s="59">
        <f t="shared" si="142"/>
        <v>340.62742489103783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17.598689457023511</v>
      </c>
      <c r="AA164" s="21">
        <f>EXP(-LN(2)/25)*AA163+(1-EXP(-LN(2)/25))/(LN(2)/25)*Calculateur!V164*Calculateur!X164*VLOOKUP('Données projet'!$B$9,Paramètres!$A$1:$I$89,3,0)*0.475*44/12</f>
        <v>6.481786796251412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24.080476253274924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-6.8212102632969618E-13</v>
      </c>
      <c r="AJ164" s="13">
        <f>AI164*VLOOKUP('Données projet'!$B$10,Paramètres!$A$1:$I$89,3,0)*VLOOKUP('Données projet'!$B$10,Paramètres!$A$1:$I$89,5,0)</f>
        <v>-4.0790837374515837E-13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243.63945673917135</v>
      </c>
      <c r="AO164" s="59">
        <f t="shared" si="144"/>
        <v>213.14969914288025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27.015991245847999</v>
      </c>
      <c r="AV164" s="21">
        <f>EXP(-LN(2)/25)*AV163+(1-EXP(-LN(2)/25))/(LN(2)/25)*Calculateur!AQ164*Calculateur!AS164*VLOOKUP('Données projet'!$B$10,Paramètres!$A$1:$I$89,3,0)*0.475*44/12</f>
        <v>7.0050317735008489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34.021023019348846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-6.3550942286383367E-14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357.2406649189378</v>
      </c>
      <c r="BJ164" s="59">
        <f t="shared" si="146"/>
        <v>353.47109765343811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38.946054851954571</v>
      </c>
      <c r="BQ164" s="21">
        <f>EXP(-LN(2)/25)*BQ163+(1-EXP(-LN(2)/25))/(LN(2)/25)*Calculateur!BL164*Calculateur!BN164*VLOOKUP('Données projet'!$B$11,Paramètres!$A$1:$I$89,3,0)*0.475*44/12</f>
        <v>10.449907150739143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49.395962002693715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123.2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70.424639999999854</v>
      </c>
      <c r="D165" s="11">
        <f t="shared" si="140"/>
        <v>19.778873502317861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529.1939458802641</v>
      </c>
      <c r="H165" s="67">
        <f t="shared" si="110"/>
        <v>608.83778601653671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216.99952889049467</v>
      </c>
      <c r="T165" s="59">
        <f t="shared" si="142"/>
        <v>340.62742489103783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17.25358989091194</v>
      </c>
      <c r="AA165" s="21">
        <f>EXP(-LN(2)/25)*AA164+(1-EXP(-LN(2)/25))/(LN(2)/25)*Calculateur!V165*Calculateur!X165*VLOOKUP('Données projet'!$B$9,Paramètres!$A$1:$I$89,3,0)*0.475*44/12</f>
        <v>6.3045419954455637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23.558131886357504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-6.8212102632969618E-13</v>
      </c>
      <c r="AJ165" s="13">
        <f>AI165*VLOOKUP('Données projet'!$B$10,Paramètres!$A$1:$I$89,3,0)*VLOOKUP('Données projet'!$B$10,Paramètres!$A$1:$I$89,5,0)</f>
        <v>-4.0790837374515837E-13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243.63945673917135</v>
      </c>
      <c r="AO165" s="59">
        <f t="shared" si="144"/>
        <v>213.14969914288025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26.486224135644502</v>
      </c>
      <c r="AV165" s="21">
        <f>EXP(-LN(2)/25)*AV164+(1-EXP(-LN(2)/25))/(LN(2)/25)*Calculateur!AQ165*Calculateur!AS165*VLOOKUP('Données projet'!$B$10,Paramètres!$A$1:$I$89,3,0)*0.475*44/12</f>
        <v>6.8134788112758571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33.299702946920362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-6.3550942286383367E-14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357.2406649189378</v>
      </c>
      <c r="BJ165" s="59">
        <f t="shared" si="146"/>
        <v>353.47109765343811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38.182346471055617</v>
      </c>
      <c r="BQ165" s="21">
        <f>EXP(-LN(2)/25)*BQ164+(1-EXP(-LN(2)/25))/(LN(2)/25)*Calculateur!BL165*Calculateur!BN165*VLOOKUP('Données projet'!$B$11,Paramètres!$A$1:$I$89,3,0)*0.475*44/12</f>
        <v>10.164153890165448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48.346500361221061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123.2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70.859359999999853</v>
      </c>
      <c r="D166" s="11">
        <f t="shared" si="140"/>
        <v>19.886715158907911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532.37697426559214</v>
      </c>
      <c r="H166" s="67">
        <f t="shared" si="110"/>
        <v>609.78274756843098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216.99952889049467</v>
      </c>
      <c r="T166" s="59">
        <f t="shared" si="142"/>
        <v>340.62742489103783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16.915257516801866</v>
      </c>
      <c r="AA166" s="21">
        <f>EXP(-LN(2)/25)*AA165+(1-EXP(-LN(2)/25))/(LN(2)/25)*Calculateur!V166*Calculateur!X166*VLOOKUP('Données projet'!$B$9,Paramètres!$A$1:$I$89,3,0)*0.475*44/12</f>
        <v>6.1321439630386507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23.047401479840516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-6.8212102632969618E-13</v>
      </c>
      <c r="AJ166" s="13">
        <f>AI166*VLOOKUP('Données projet'!$B$10,Paramètres!$A$1:$I$89,3,0)*VLOOKUP('Données projet'!$B$10,Paramètres!$A$1:$I$89,5,0)</f>
        <v>-4.0790837374515837E-13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243.63945673917135</v>
      </c>
      <c r="AO166" s="59">
        <f t="shared" si="144"/>
        <v>213.14969914288025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25.966845435346062</v>
      </c>
      <c r="AV166" s="21">
        <f>EXP(-LN(2)/25)*AV165+(1-EXP(-LN(2)/25))/(LN(2)/25)*Calculateur!AQ166*Calculateur!AS166*VLOOKUP('Données projet'!$B$10,Paramètres!$A$1:$I$89,3,0)*0.475*44/12</f>
        <v>6.6271638748762403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32.594009310222305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-6.3550942286383367E-14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357.2406649189378</v>
      </c>
      <c r="BJ166" s="59">
        <f t="shared" si="146"/>
        <v>353.47109765343811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37.43361394568997</v>
      </c>
      <c r="BQ166" s="21">
        <f>EXP(-LN(2)/25)*BQ165+(1-EXP(-LN(2)/25))/(LN(2)/25)*Calculateur!BL166*Calculateur!BN166*VLOOKUP('Données projet'!$B$11,Paramètres!$A$1:$I$89,3,0)*0.475*44/12</f>
        <v>9.886214567529251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47.319828513219221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123.2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71.294079999999852</v>
      </c>
      <c r="D167" s="11">
        <f t="shared" si="140"/>
        <v>19.99447983162602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535.55955101220513</v>
      </c>
      <c r="H167" s="67">
        <f t="shared" si="110"/>
        <v>610.72757504008177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216.99952889049467</v>
      </c>
      <c r="T167" s="59">
        <f t="shared" si="142"/>
        <v>340.62742489103783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16.583559634185718</v>
      </c>
      <c r="AA167" s="21">
        <f>EXP(-LN(2)/25)*AA166+(1-EXP(-LN(2)/25))/(LN(2)/25)*Calculateur!V167*Calculateur!X167*VLOOKUP('Données projet'!$B$9,Paramètres!$A$1:$I$89,3,0)*0.475*44/12</f>
        <v>5.9644601638939232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22.548019798079643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-6.8212102632969618E-13</v>
      </c>
      <c r="AJ167" s="13">
        <f>AI167*VLOOKUP('Données projet'!$B$10,Paramètres!$A$1:$I$89,3,0)*VLOOKUP('Données projet'!$B$10,Paramètres!$A$1:$I$89,5,0)</f>
        <v>-4.0790837374515837E-13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243.63945673917135</v>
      </c>
      <c r="AO167" s="59">
        <f t="shared" si="144"/>
        <v>213.14969914288025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25.457651434570749</v>
      </c>
      <c r="AV167" s="21">
        <f>EXP(-LN(2)/25)*AV166+(1-EXP(-LN(2)/25))/(LN(2)/25)*Calculateur!AQ167*Calculateur!AS167*VLOOKUP('Données projet'!$B$10,Paramètres!$A$1:$I$89,3,0)*0.475*44/12</f>
        <v>6.4459437302103479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31.903595164781098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-6.3550942286383367E-14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357.2406649189378</v>
      </c>
      <c r="BJ167" s="59">
        <f t="shared" si="146"/>
        <v>353.47109765343811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36.699563608464999</v>
      </c>
      <c r="BQ167" s="21">
        <f>EXP(-LN(2)/25)*BQ166+(1-EXP(-LN(2)/25))/(LN(2)/25)*Calculateur!BL167*Calculateur!BN167*VLOOKUP('Données projet'!$B$11,Paramètres!$A$1:$I$89,3,0)*0.475*44/12</f>
        <v>9.6158755102867346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46.315439118751733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123.2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71.72879999999985</v>
      </c>
      <c r="D168" s="11">
        <f t="shared" si="140"/>
        <v>20.102168044346346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538.74167919349782</v>
      </c>
      <c r="H168" s="67">
        <f t="shared" si="110"/>
        <v>611.67226934390294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216.99952889049467</v>
      </c>
      <c r="T168" s="59">
        <f t="shared" si="142"/>
        <v>340.62742489103783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16.258366144731944</v>
      </c>
      <c r="AA168" s="21">
        <f>EXP(-LN(2)/25)*AA167+(1-EXP(-LN(2)/25))/(LN(2)/25)*Calculateur!V168*Calculateur!X168*VLOOKUP('Données projet'!$B$9,Paramètres!$A$1:$I$89,3,0)*0.475*44/12</f>
        <v>5.8013616870549161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22.059727831786859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-6.8212102632969618E-13</v>
      </c>
      <c r="AJ168" s="13">
        <f>AI168*VLOOKUP('Données projet'!$B$10,Paramètres!$A$1:$I$89,3,0)*VLOOKUP('Données projet'!$B$10,Paramètres!$A$1:$I$89,5,0)</f>
        <v>-4.0790837374515837E-13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243.63945673917135</v>
      </c>
      <c r="AO168" s="59">
        <f t="shared" si="144"/>
        <v>213.14969914288025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24.958442417572964</v>
      </c>
      <c r="AV168" s="21">
        <f>EXP(-LN(2)/25)*AV167+(1-EXP(-LN(2)/25))/(LN(2)/25)*Calculateur!AQ168*Calculateur!AS168*VLOOKUP('Données projet'!$B$10,Paramètres!$A$1:$I$89,3,0)*0.475*44/12</f>
        <v>6.2696790599302972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31.228121477503262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-6.3550942286383367E-14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357.2406649189378</v>
      </c>
      <c r="BJ168" s="59">
        <f t="shared" si="146"/>
        <v>353.47109765343811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35.979907550626514</v>
      </c>
      <c r="BQ168" s="21">
        <f>EXP(-LN(2)/25)*BQ167+(1-EXP(-LN(2)/25))/(LN(2)/25)*Calculateur!BL168*Calculateur!BN168*VLOOKUP('Données projet'!$B$11,Paramètres!$A$1:$I$89,3,0)*0.475*44/12</f>
        <v>9.3529288887810278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45.332836439407544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123.2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72.163519999999849</v>
      </c>
      <c r="D169" s="11">
        <f t="shared" si="140"/>
        <v>20.209780314225831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541.92336184345731</v>
      </c>
      <c r="H169" s="67">
        <f t="shared" si="110"/>
        <v>612.61683138060971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216.99952889049467</v>
      </c>
      <c r="T169" s="59">
        <f t="shared" si="142"/>
        <v>340.62742489103783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15.939549501257915</v>
      </c>
      <c r="AA169" s="21">
        <f>EXP(-LN(2)/25)*AA168+(1-EXP(-LN(2)/25))/(LN(2)/25)*Calculateur!V169*Calculateur!X169*VLOOKUP('Données projet'!$B$9,Paramètres!$A$1:$I$89,3,0)*0.475*44/12</f>
        <v>5.6427231466420471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21.582272647899963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-6.8212102632969618E-13</v>
      </c>
      <c r="AJ169" s="13">
        <f>AI169*VLOOKUP('Données projet'!$B$10,Paramètres!$A$1:$I$89,3,0)*VLOOKUP('Données projet'!$B$10,Paramètres!$A$1:$I$89,5,0)</f>
        <v>-4.0790837374515837E-13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243.63945673917135</v>
      </c>
      <c r="AO169" s="59">
        <f t="shared" si="144"/>
        <v>213.14969914288025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24.469022584911073</v>
      </c>
      <c r="AV169" s="21">
        <f>EXP(-LN(2)/25)*AV168+(1-EXP(-LN(2)/25))/(LN(2)/25)*Calculateur!AQ169*Calculateur!AS169*VLOOKUP('Données projet'!$B$10,Paramètres!$A$1:$I$89,3,0)*0.475*44/12</f>
        <v>6.0982343563284109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30.567256941239485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-6.3550942286383367E-14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357.2406649189378</v>
      </c>
      <c r="BJ169" s="59">
        <f t="shared" si="146"/>
        <v>353.47109765343811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35.274363509135391</v>
      </c>
      <c r="BQ169" s="21">
        <f>EXP(-LN(2)/25)*BQ168+(1-EXP(-LN(2)/25))/(LN(2)/25)*Calculateur!BL169*Calculateur!BN169*VLOOKUP('Données projet'!$B$11,Paramètres!$A$1:$I$89,3,0)*0.475*44/12</f>
        <v>9.0971725564681574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44.37153606560355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123.2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72.598239999999848</v>
      </c>
      <c r="D170" s="11">
        <f t="shared" si="140"/>
        <v>20.317317151830082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545.10460195740234</v>
      </c>
      <c r="H170" s="67">
        <f t="shared" si="110"/>
        <v>613.56126203943711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216.99952889049467</v>
      </c>
      <c r="T170" s="59">
        <f t="shared" si="142"/>
        <v>340.62742489103783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15.626984657703458</v>
      </c>
      <c r="AA170" s="21">
        <f>EXP(-LN(2)/25)*AA169+(1-EXP(-LN(2)/25))/(LN(2)/25)*Calculateur!V170*Calculateur!X170*VLOOKUP('Données projet'!$B$9,Paramètres!$A$1:$I$89,3,0)*0.475*44/12</f>
        <v>5.4884225854592064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21.115407243162664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-6.8212102632969618E-13</v>
      </c>
      <c r="AJ170" s="13">
        <f>AI170*VLOOKUP('Données projet'!$B$10,Paramètres!$A$1:$I$89,3,0)*VLOOKUP('Données projet'!$B$10,Paramètres!$A$1:$I$89,5,0)</f>
        <v>-4.0790837374515837E-13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243.63945673917135</v>
      </c>
      <c r="AO170" s="59">
        <f t="shared" si="144"/>
        <v>213.14969914288025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23.989199976651058</v>
      </c>
      <c r="AV170" s="21">
        <f>EXP(-LN(2)/25)*AV169+(1-EXP(-LN(2)/25))/(LN(2)/25)*Calculateur!AQ170*Calculateur!AS170*VLOOKUP('Données projet'!$B$10,Paramètres!$A$1:$I$89,3,0)*0.475*44/12</f>
        <v>5.9314778171624036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29.920677793813461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-6.3550942286383367E-14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357.2406649189378</v>
      </c>
      <c r="BJ170" s="59">
        <f t="shared" si="146"/>
        <v>353.47109765343811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34.582654755958536</v>
      </c>
      <c r="BQ170" s="21">
        <f>EXP(-LN(2)/25)*BQ169+(1-EXP(-LN(2)/25))/(LN(2)/25)*Calculateur!BL170*Calculateur!BN170*VLOOKUP('Données projet'!$B$11,Paramètres!$A$1:$I$89,3,0)*0.475*44/12</f>
        <v>8.848409894512022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43.43106465047056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123.2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73.032959999999846</v>
      </c>
      <c r="D171" s="11">
        <f t="shared" si="140"/>
        <v>20.424779061256473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548.28540249270384</v>
      </c>
      <c r="H171" s="67">
        <f t="shared" si="110"/>
        <v>614.50556219835471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216.99952889049467</v>
      </c>
      <c r="T171" s="59">
        <f t="shared" si="142"/>
        <v>340.62742489103783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15.320549020085375</v>
      </c>
      <c r="AA171" s="21">
        <f>EXP(-LN(2)/25)*AA170+(1-EXP(-LN(2)/25))/(LN(2)/25)*Calculateur!V171*Calculateur!X171*VLOOKUP('Données projet'!$B$9,Paramètres!$A$1:$I$89,3,0)*0.475*44/12</f>
        <v>5.3383413812362246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20.658890401321599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-6.8212102632969618E-13</v>
      </c>
      <c r="AJ171" s="13">
        <f>AI171*VLOOKUP('Données projet'!$B$10,Paramètres!$A$1:$I$89,3,0)*VLOOKUP('Données projet'!$B$10,Paramètres!$A$1:$I$89,5,0)</f>
        <v>-4.0790837374515837E-13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243.63945673917135</v>
      </c>
      <c r="AO171" s="59">
        <f t="shared" si="144"/>
        <v>213.14969914288025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23.518786397076131</v>
      </c>
      <c r="AV171" s="21">
        <f>EXP(-LN(2)/25)*AV170+(1-EXP(-LN(2)/25))/(LN(2)/25)*Calculateur!AQ171*Calculateur!AS171*VLOOKUP('Données projet'!$B$10,Paramètres!$A$1:$I$89,3,0)*0.475*44/12</f>
        <v>5.7692812443292363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29.288067641405366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-6.3550942286383367E-14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357.2406649189378</v>
      </c>
      <c r="BJ171" s="59">
        <f t="shared" si="146"/>
        <v>353.47109765343811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33.904509989530794</v>
      </c>
      <c r="BQ171" s="21">
        <f>EXP(-LN(2)/25)*BQ170+(1-EXP(-LN(2)/25))/(LN(2)/25)*Calculateur!BL171*Calculateur!BN171*VLOOKUP('Données projet'!$B$11,Paramètres!$A$1:$I$89,3,0)*0.475*44/12</f>
        <v>8.6064496606289378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42.510959650159734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123.2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73.467679999999845</v>
      </c>
      <c r="D172" s="11">
        <f t="shared" si="140"/>
        <v>20.53216654025405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551.46576636948953</v>
      </c>
      <c r="H172" s="67">
        <f t="shared" si="110"/>
        <v>615.44973272427558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216.99952889049467</v>
      </c>
      <c r="T172" s="59">
        <f t="shared" si="142"/>
        <v>340.62742489103783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15.020122398413699</v>
      </c>
      <c r="AA172" s="21">
        <f>EXP(-LN(2)/25)*AA171+(1-EXP(-LN(2)/25))/(LN(2)/25)*Calculateur!V172*Calculateur!X172*VLOOKUP('Données projet'!$B$9,Paramètres!$A$1:$I$89,3,0)*0.475*44/12</f>
        <v>5.1923641554351478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20.212486553848848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-6.8212102632969618E-13</v>
      </c>
      <c r="AJ172" s="13">
        <f>AI172*VLOOKUP('Données projet'!$B$10,Paramètres!$A$1:$I$89,3,0)*VLOOKUP('Données projet'!$B$10,Paramètres!$A$1:$I$89,5,0)</f>
        <v>-4.0790837374515837E-13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243.63945673917135</v>
      </c>
      <c r="AO172" s="59">
        <f t="shared" si="144"/>
        <v>213.14969914288025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23.057597340872714</v>
      </c>
      <c r="AV172" s="21">
        <f>EXP(-LN(2)/25)*AV171+(1-EXP(-LN(2)/25))/(LN(2)/25)*Calculateur!AQ172*Calculateur!AS172*VLOOKUP('Données projet'!$B$10,Paramètres!$A$1:$I$89,3,0)*0.475*44/12</f>
        <v>5.6115199453097384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28.669117286182452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-6.3550942286383367E-14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357.2406649189378</v>
      </c>
      <c r="BJ172" s="59">
        <f t="shared" si="146"/>
        <v>353.47109765343811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33.239663228345236</v>
      </c>
      <c r="BQ172" s="21">
        <f>EXP(-LN(2)/25)*BQ171+(1-EXP(-LN(2)/25))/(LN(2)/25)*Calculateur!BL172*Calculateur!BN172*VLOOKUP('Données projet'!$B$11,Paramètres!$A$1:$I$89,3,0)*0.475*44/12</f>
        <v>8.3711058420655213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41.610769070410754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123.2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73.902399999999844</v>
      </c>
      <c r="D173" s="11">
        <f t="shared" si="140"/>
        <v>20.639480080340498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554.6456964713301</v>
      </c>
      <c r="H173" s="67">
        <f t="shared" si="110"/>
        <v>616.39377447325944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216.99952889049467</v>
      </c>
      <c r="T173" s="59">
        <f t="shared" si="142"/>
        <v>340.62742489103783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14.72558695955086</v>
      </c>
      <c r="AA173" s="21">
        <f>EXP(-LN(2)/25)*AA172+(1-EXP(-LN(2)/25))/(LN(2)/25)*Calculateur!V173*Calculateur!X173*VLOOKUP('Données projet'!$B$9,Paramètres!$A$1:$I$89,3,0)*0.475*44/12</f>
        <v>5.0503786845502097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19.77596564410107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-6.8212102632969618E-13</v>
      </c>
      <c r="AJ173" s="13">
        <f>AI173*VLOOKUP('Données projet'!$B$10,Paramètres!$A$1:$I$89,3,0)*VLOOKUP('Données projet'!$B$10,Paramètres!$A$1:$I$89,5,0)</f>
        <v>-4.0790837374515837E-13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243.63945673917135</v>
      </c>
      <c r="AO173" s="59">
        <f t="shared" si="144"/>
        <v>213.14969914288025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22.605451920763898</v>
      </c>
      <c r="AV173" s="21">
        <f>EXP(-LN(2)/25)*AV172+(1-EXP(-LN(2)/25))/(LN(2)/25)*Calculateur!AQ173*Calculateur!AS173*VLOOKUP('Données projet'!$B$10,Paramètres!$A$1:$I$89,3,0)*0.475*44/12</f>
        <v>5.4580726373082351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28.063524558072132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-6.3550942286383367E-14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357.2406649189378</v>
      </c>
      <c r="BJ173" s="59">
        <f t="shared" si="146"/>
        <v>353.47109765343811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32.587853706630042</v>
      </c>
      <c r="BQ173" s="21">
        <f>EXP(-LN(2)/25)*BQ172+(1-EXP(-LN(2)/25))/(LN(2)/25)*Calculateur!BL173*Calculateur!BN173*VLOOKUP('Données projet'!$B$11,Paramètres!$A$1:$I$89,3,0)*0.475*44/12</f>
        <v>8.1421975125969155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40.730051219226958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123.2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74.337119999999842</v>
      </c>
      <c r="D174" s="11">
        <f t="shared" si="140"/>
        <v>20.746720166916429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557.82519564590882</v>
      </c>
      <c r="H174" s="67">
        <f t="shared" si="110"/>
        <v>617.33768829071255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216.99952889049467</v>
      </c>
      <c r="T174" s="59">
        <f t="shared" si="142"/>
        <v>340.62742489103783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14.436827180995241</v>
      </c>
      <c r="AA174" s="21">
        <f>EXP(-LN(2)/25)*AA173+(1-EXP(-LN(2)/25))/(LN(2)/25)*Calculateur!V174*Calculateur!X174*VLOOKUP('Données projet'!$B$9,Paramètres!$A$1:$I$89,3,0)*0.475*44/12</f>
        <v>4.912275813833312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19.349102994828552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-6.8212102632969618E-13</v>
      </c>
      <c r="AJ174" s="13">
        <f>AI174*VLOOKUP('Données projet'!$B$10,Paramètres!$A$1:$I$89,3,0)*VLOOKUP('Données projet'!$B$10,Paramètres!$A$1:$I$89,5,0)</f>
        <v>-4.0790837374515837E-13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243.63945673917135</v>
      </c>
      <c r="AO174" s="59">
        <f t="shared" si="144"/>
        <v>213.14969914288025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22.16217279656194</v>
      </c>
      <c r="AV174" s="21">
        <f>EXP(-LN(2)/25)*AV173+(1-EXP(-LN(2)/25))/(LN(2)/25)*Calculateur!AQ174*Calculateur!AS174*VLOOKUP('Données projet'!$B$10,Paramètres!$A$1:$I$89,3,0)*0.475*44/12</f>
        <v>5.3088213540134763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27.470994150575414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-6.3550942286383367E-14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357.2406649189378</v>
      </c>
      <c r="BJ174" s="59">
        <f t="shared" si="146"/>
        <v>353.47109765343811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31.948825772071135</v>
      </c>
      <c r="BQ174" s="21">
        <f>EXP(-LN(2)/25)*BQ173+(1-EXP(-LN(2)/25))/(LN(2)/25)*Calculateur!BL174*Calculateur!BN174*VLOOKUP('Données projet'!$B$11,Paramètres!$A$1:$I$89,3,0)*0.475*44/12</f>
        <v>7.9195486934353951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39.868374465506534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123.2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74.771839999999841</v>
      </c>
      <c r="D175" s="11">
        <f t="shared" si="140"/>
        <v>20.853887279376742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561.00426670567595</v>
      </c>
      <c r="H175" s="67">
        <f t="shared" si="110"/>
        <v>618.28147501158082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216.99952889049467</v>
      </c>
      <c r="T175" s="59">
        <f t="shared" si="142"/>
        <v>340.62742489103783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14.153729805571025</v>
      </c>
      <c r="AA175" s="21">
        <f>EXP(-LN(2)/25)*AA174+(1-EXP(-LN(2)/25))/(LN(2)/25)*Calculateur!V175*Calculateur!X175*VLOOKUP('Données projet'!$B$9,Paramètres!$A$1:$I$89,3,0)*0.475*44/12</f>
        <v>4.7779493733786822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18.931679178949707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-6.8212102632969618E-13</v>
      </c>
      <c r="AJ175" s="13">
        <f>AI175*VLOOKUP('Données projet'!$B$10,Paramètres!$A$1:$I$89,3,0)*VLOOKUP('Données projet'!$B$10,Paramètres!$A$1:$I$89,5,0)</f>
        <v>-4.0790837374515837E-13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243.63945673917135</v>
      </c>
      <c r="AO175" s="59">
        <f t="shared" si="144"/>
        <v>213.14969914288025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21.727586105612016</v>
      </c>
      <c r="AV175" s="21">
        <f>EXP(-LN(2)/25)*AV174+(1-EXP(-LN(2)/25))/(LN(2)/25)*Calculateur!AQ175*Calculateur!AS175*VLOOKUP('Données projet'!$B$10,Paramètres!$A$1:$I$89,3,0)*0.475*44/12</f>
        <v>5.163651354909196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26.891237460521211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-6.3550942286383367E-14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357.2406649189378</v>
      </c>
      <c r="BJ175" s="59">
        <f t="shared" si="146"/>
        <v>353.47109765343811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31.322328785540375</v>
      </c>
      <c r="BQ175" s="21">
        <f>EXP(-LN(2)/25)*BQ174+(1-EXP(-LN(2)/25))/(LN(2)/25)*Calculateur!BL175*Calculateur!BN175*VLOOKUP('Données projet'!$B$11,Paramètres!$A$1:$I$89,3,0)*0.475*44/12</f>
        <v>7.7029882179424387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39.025317003482812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123.2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75.20655999999984</v>
      </c>
      <c r="D176" s="11">
        <f t="shared" si="140"/>
        <v>20.960981891219522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564.18291242848693</v>
      </c>
      <c r="H176" s="67">
        <f t="shared" si="110"/>
        <v>619.2251354605404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216.99952889049467</v>
      </c>
      <c r="T176" s="59">
        <f t="shared" si="142"/>
        <v>340.62742489103783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13.876183797006529</v>
      </c>
      <c r="AA176" s="21">
        <f>EXP(-LN(2)/25)*AA175+(1-EXP(-LN(2)/25))/(LN(2)/25)*Calculateur!V176*Calculateur!X176*VLOOKUP('Données projet'!$B$9,Paramètres!$A$1:$I$89,3,0)*0.475*44/12</f>
        <v>4.6472960965022043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18.523479893508735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-6.8212102632969618E-13</v>
      </c>
      <c r="AJ176" s="13">
        <f>AI176*VLOOKUP('Données projet'!$B$10,Paramètres!$A$1:$I$89,3,0)*VLOOKUP('Données projet'!$B$10,Paramètres!$A$1:$I$89,5,0)</f>
        <v>-4.0790837374515837E-13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243.63945673917135</v>
      </c>
      <c r="AO176" s="59">
        <f t="shared" si="144"/>
        <v>213.14969914288025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21.301521394599909</v>
      </c>
      <c r="AV176" s="21">
        <f>EXP(-LN(2)/25)*AV175+(1-EXP(-LN(2)/25))/(LN(2)/25)*Calculateur!AQ176*Calculateur!AS176*VLOOKUP('Données projet'!$B$10,Paramètres!$A$1:$I$89,3,0)*0.475*44/12</f>
        <v>5.022451037064581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26.32397243166449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-6.3550942286383367E-14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357.2406649189378</v>
      </c>
      <c r="BJ176" s="59">
        <f t="shared" si="146"/>
        <v>353.47109765343811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30.708117022790052</v>
      </c>
      <c r="BQ176" s="21">
        <f>EXP(-LN(2)/25)*BQ175+(1-EXP(-LN(2)/25))/(LN(2)/25)*Calculateur!BL176*Calculateur!BN176*VLOOKUP('Données projet'!$B$11,Paramètres!$A$1:$I$89,3,0)*0.475*44/12</f>
        <v>7.4923496000402574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38.200466622830312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123.2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75.641279999999838</v>
      </c>
      <c r="D177" s="11">
        <f t="shared" si="140"/>
        <v>21.068004470152065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567.36113555822442</v>
      </c>
      <c r="H177" s="67">
        <f t="shared" si="110"/>
        <v>620.16867045218123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216.99952889049467</v>
      </c>
      <c r="T177" s="59">
        <f t="shared" si="142"/>
        <v>340.62742489103783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13.604080296383632</v>
      </c>
      <c r="AA177" s="21">
        <f>EXP(-LN(2)/25)*AA176+(1-EXP(-LN(2)/25))/(LN(2)/25)*Calculateur!V177*Calculateur!X177*VLOOKUP('Données projet'!$B$9,Paramètres!$A$1:$I$89,3,0)*0.475*44/12</f>
        <v>4.5202155403526714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18.124295836736302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-6.8212102632969618E-13</v>
      </c>
      <c r="AJ177" s="13">
        <f>AI177*VLOOKUP('Données projet'!$B$10,Paramètres!$A$1:$I$89,3,0)*VLOOKUP('Données projet'!$B$10,Paramètres!$A$1:$I$89,5,0)</f>
        <v>-4.0790837374515837E-13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243.63945673917135</v>
      </c>
      <c r="AO177" s="59">
        <f t="shared" si="144"/>
        <v>213.14969914288025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20.88381155269694</v>
      </c>
      <c r="AV177" s="21">
        <f>EXP(-LN(2)/25)*AV176+(1-EXP(-LN(2)/25))/(LN(2)/25)*Calculateur!AQ177*Calculateur!AS177*VLOOKUP('Données projet'!$B$10,Paramètres!$A$1:$I$89,3,0)*0.475*44/12</f>
        <v>4.8851118493368286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25.768923402033771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-6.3550942286383367E-14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357.2406649189378</v>
      </c>
      <c r="BJ177" s="59">
        <f t="shared" si="146"/>
        <v>353.47109765343811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30.10594957807508</v>
      </c>
      <c r="BQ177" s="21">
        <f>EXP(-LN(2)/25)*BQ176+(1-EXP(-LN(2)/25))/(LN(2)/25)*Calculateur!BL177*Calculateur!BN177*VLOOKUP('Données projet'!$B$11,Paramètres!$A$1:$I$89,3,0)*0.475*44/12</f>
        <v>7.287470906221615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37.393420484296698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123.2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76.075999999999837</v>
      </c>
      <c r="D178" s="11">
        <f t="shared" si="140"/>
        <v>21.174955478194718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570.53893880540818</v>
      </c>
      <c r="H178" s="67">
        <f t="shared" si="110"/>
        <v>621.11208079118887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216.99952889049467</v>
      </c>
      <c r="T178" s="59">
        <f t="shared" si="142"/>
        <v>340.62742489103783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13.337312579441203</v>
      </c>
      <c r="AA178" s="21">
        <f>EXP(-LN(2)/25)*AA177+(1-EXP(-LN(2)/25))/(LN(2)/25)*Calculateur!V178*Calculateur!X178*VLOOKUP('Données projet'!$B$9,Paramètres!$A$1:$I$89,3,0)*0.475*44/12</f>
        <v>4.3966100086939237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17.733922588135126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-6.8212102632969618E-13</v>
      </c>
      <c r="AJ178" s="13">
        <f>AI178*VLOOKUP('Données projet'!$B$10,Paramètres!$A$1:$I$89,3,0)*VLOOKUP('Données projet'!$B$10,Paramètres!$A$1:$I$89,5,0)</f>
        <v>-4.0790837374515837E-13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243.63945673917135</v>
      </c>
      <c r="AO178" s="59">
        <f t="shared" si="144"/>
        <v>213.14969914288025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20.474292746015841</v>
      </c>
      <c r="AV178" s="21">
        <f>EXP(-LN(2)/25)*AV177+(1-EXP(-LN(2)/25))/(LN(2)/25)*Calculateur!AQ178*Calculateur!AS178*VLOOKUP('Données projet'!$B$10,Paramètres!$A$1:$I$89,3,0)*0.475*44/12</f>
        <v>4.7515282089198463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25.225820954935688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-6.3550942286383367E-14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357.2406649189378</v>
      </c>
      <c r="BJ178" s="59">
        <f t="shared" si="146"/>
        <v>353.47109765343811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29.515590269665093</v>
      </c>
      <c r="BQ178" s="21">
        <f>EXP(-LN(2)/25)*BQ177+(1-EXP(-LN(2)/25))/(LN(2)/25)*Calculateur!BL178*Calculateur!BN178*VLOOKUP('Données projet'!$B$11,Paramètres!$A$1:$I$89,3,0)*0.475*44/12</f>
        <v>7.0881946310595456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36.603784900724641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123.2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76.510719999999836</v>
      </c>
      <c r="D179" s="11">
        <f t="shared" si="140"/>
        <v>21.281835371781998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573.71632484778672</v>
      </c>
      <c r="H179" s="67">
        <f t="shared" si="110"/>
        <v>622.05536727252002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216.99952889049467</v>
      </c>
      <c r="T179" s="59">
        <f t="shared" si="142"/>
        <v>340.62742489103783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13.075776014715775</v>
      </c>
      <c r="AA179" s="21">
        <f>EXP(-LN(2)/25)*AA178+(1-EXP(-LN(2)/25))/(LN(2)/25)*Calculateur!V179*Calculateur!X179*VLOOKUP('Données projet'!$B$9,Paramètres!$A$1:$I$89,3,0)*0.475*44/12</f>
        <v>4.2763844767985164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17.35216049151429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-6.8212102632969618E-13</v>
      </c>
      <c r="AJ179" s="13">
        <f>AI179*VLOOKUP('Données projet'!$B$10,Paramètres!$A$1:$I$89,3,0)*VLOOKUP('Données projet'!$B$10,Paramètres!$A$1:$I$89,5,0)</f>
        <v>-4.0790837374515837E-13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243.63945673917135</v>
      </c>
      <c r="AO179" s="59">
        <f t="shared" si="144"/>
        <v>213.14969914288025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20.072804353351948</v>
      </c>
      <c r="AV179" s="21">
        <f>EXP(-LN(2)/25)*AV178+(1-EXP(-LN(2)/25))/(LN(2)/25)*Calculateur!AQ179*Calculateur!AS179*VLOOKUP('Données projet'!$B$10,Paramètres!$A$1:$I$89,3,0)*0.475*44/12</f>
        <v>4.6215974201749246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24.694401773526874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-6.3550942286383367E-14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357.2406649189378</v>
      </c>
      <c r="BJ179" s="59">
        <f t="shared" si="146"/>
        <v>353.47109765343811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28.936807547209405</v>
      </c>
      <c r="BQ179" s="21">
        <f>EXP(-LN(2)/25)*BQ178+(1-EXP(-LN(2)/25))/(LN(2)/25)*Calculateur!BL179*Calculateur!BN179*VLOOKUP('Données projet'!$B$11,Paramètres!$A$1:$I$89,3,0)*0.475*44/12</f>
        <v>6.894367576121267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35.831175123330674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123.2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76.945439999999834</v>
      </c>
      <c r="D180" s="11">
        <f t="shared" si="140"/>
        <v>21.388644601861589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576.89329633092029</v>
      </c>
      <c r="H180" s="67">
        <f t="shared" si="110"/>
        <v>622.99853068157529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216.99952889049467</v>
      </c>
      <c r="T180" s="59">
        <f t="shared" si="142"/>
        <v>340.62742489103783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12.819368022503058</v>
      </c>
      <c r="AA180" s="21">
        <f>EXP(-LN(2)/25)*AA179+(1-EXP(-LN(2)/25))/(LN(2)/25)*Calculateur!V180*Calculateur!X180*VLOOKUP('Données projet'!$B$9,Paramètres!$A$1:$I$89,3,0)*0.475*44/12</f>
        <v>4.1594465183951748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16.978814540898234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-6.8212102632969618E-13</v>
      </c>
      <c r="AJ180" s="13">
        <f>AI180*VLOOKUP('Données projet'!$B$10,Paramètres!$A$1:$I$89,3,0)*VLOOKUP('Données projet'!$B$10,Paramètres!$A$1:$I$89,5,0)</f>
        <v>-4.0790837374515837E-13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243.63945673917135</v>
      </c>
      <c r="AO180" s="59">
        <f t="shared" si="144"/>
        <v>213.14969914288025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19.679188903184457</v>
      </c>
      <c r="AV180" s="21">
        <f>EXP(-LN(2)/25)*AV179+(1-EXP(-LN(2)/25))/(LN(2)/25)*Calculateur!AQ180*Calculateur!AS180*VLOOKUP('Données projet'!$B$10,Paramètres!$A$1:$I$89,3,0)*0.475*44/12</f>
        <v>4.4952195956809957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24.174408498865454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-6.3550942286383367E-14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357.2406649189378</v>
      </c>
      <c r="BJ180" s="59">
        <f t="shared" si="146"/>
        <v>353.47109765343811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28.369374400918467</v>
      </c>
      <c r="BQ180" s="21">
        <f>EXP(-LN(2)/25)*BQ179+(1-EXP(-LN(2)/25))/(LN(2)/25)*Calculateur!BL180*Calculateur!BN180*VLOOKUP('Données projet'!$B$11,Paramètres!$A$1:$I$89,3,0)*0.475*44/12</f>
        <v>6.7058407321931979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35.075215133111662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123.2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77.380159999999833</v>
      </c>
      <c r="D181" s="11">
        <f t="shared" si="140"/>
        <v>21.495383613990814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580.06985586874509</v>
      </c>
      <c r="H181" s="67">
        <f t="shared" si="110"/>
        <v>623.94157179436706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216.99952889049467</v>
      </c>
      <c r="T181" s="59">
        <f t="shared" si="142"/>
        <v>340.62742489103783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12.5679880346242</v>
      </c>
      <c r="AA181" s="21">
        <f>EXP(-LN(2)/25)*AA180+(1-EXP(-LN(2)/25))/(LN(2)/25)*Calculateur!V181*Calculateur!X181*VLOOKUP('Données projet'!$B$9,Paramètres!$A$1:$I$89,3,0)*0.475*44/12</f>
        <v>4.0457062346138732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16.613694269238074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-6.8212102632969618E-13</v>
      </c>
      <c r="AJ181" s="13">
        <f>AI181*VLOOKUP('Données projet'!$B$10,Paramètres!$A$1:$I$89,3,0)*VLOOKUP('Données projet'!$B$10,Paramètres!$A$1:$I$89,5,0)</f>
        <v>-4.0790837374515837E-13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243.63945673917135</v>
      </c>
      <c r="AO181" s="59">
        <f t="shared" si="144"/>
        <v>213.14969914288025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19.293292011913032</v>
      </c>
      <c r="AV181" s="21">
        <f>EXP(-LN(2)/25)*AV180+(1-EXP(-LN(2)/25))/(LN(2)/25)*Calculateur!AQ181*Calculateur!AS181*VLOOKUP('Données projet'!$B$10,Paramètres!$A$1:$I$89,3,0)*0.475*44/12</f>
        <v>4.3722975794437744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23.665589591356806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-6.3550942286383367E-14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357.2406649189378</v>
      </c>
      <c r="BJ181" s="59">
        <f t="shared" si="146"/>
        <v>353.47109765343811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27.813068272526252</v>
      </c>
      <c r="BQ181" s="21">
        <f>EXP(-LN(2)/25)*BQ180+(1-EXP(-LN(2)/25))/(LN(2)/25)*Calculateur!BL181*Calculateur!BN181*VLOOKUP('Données projet'!$B$11,Paramètres!$A$1:$I$89,3,0)*0.475*44/12</f>
        <v>6.5224691647265374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34.335537437252789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123.2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77.814879999999832</v>
      </c>
      <c r="D182" s="11">
        <f t="shared" si="140"/>
        <v>21.602052848431015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583.24600604412774</v>
      </c>
      <c r="H182" s="67">
        <f t="shared" si="110"/>
        <v>624.88449137768373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216.99952889049467</v>
      </c>
      <c r="T182" s="59">
        <f t="shared" si="142"/>
        <v>340.62742489103783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12.321537454980994</v>
      </c>
      <c r="AA182" s="21">
        <f>EXP(-LN(2)/25)*AA181+(1-EXP(-LN(2)/25))/(LN(2)/25)*Calculateur!V182*Calculateur!X182*VLOOKUP('Données projet'!$B$9,Paramètres!$A$1:$I$89,3,0)*0.475*44/12</f>
        <v>3.9350761848739126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16.256613639854908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-6.8212102632969618E-13</v>
      </c>
      <c r="AJ182" s="13">
        <f>AI182*VLOOKUP('Données projet'!$B$10,Paramètres!$A$1:$I$89,3,0)*VLOOKUP('Données projet'!$B$10,Paramètres!$A$1:$I$89,5,0)</f>
        <v>-4.0790837374515837E-13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243.63945673917135</v>
      </c>
      <c r="AO182" s="59">
        <f t="shared" si="144"/>
        <v>213.14969914288025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18.914962323305577</v>
      </c>
      <c r="AV182" s="21">
        <f>EXP(-LN(2)/25)*AV181+(1-EXP(-LN(2)/25))/(LN(2)/25)*Calculateur!AQ182*Calculateur!AS182*VLOOKUP('Données projet'!$B$10,Paramètres!$A$1:$I$89,3,0)*0.475*44/12</f>
        <v>4.2527368722047481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23.167699195510323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-6.3550942286383367E-14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357.2406649189378</v>
      </c>
      <c r="BJ182" s="59">
        <f t="shared" si="146"/>
        <v>353.47109765343811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27.267670967998573</v>
      </c>
      <c r="BQ182" s="21">
        <f>EXP(-LN(2)/25)*BQ181+(1-EXP(-LN(2)/25))/(LN(2)/25)*Calculateur!BL182*Calculateur!BN182*VLOOKUP('Données projet'!$B$11,Paramètres!$A$1:$I$89,3,0)*0.475*44/12</f>
        <v>6.3441119024153441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33.611782870413919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123.2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78.24959999999983</v>
      </c>
      <c r="D183" s="11">
        <f t="shared" si="140"/>
        <v>21.708652740239753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586.42174940940561</v>
      </c>
      <c r="H183" s="67">
        <f t="shared" si="110"/>
        <v>625.82729018925068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216.99952889049467</v>
      </c>
      <c r="T183" s="59">
        <f t="shared" si="142"/>
        <v>340.62742489103783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12.079919620884581</v>
      </c>
      <c r="AA183" s="21">
        <f>EXP(-LN(2)/25)*AA182+(1-EXP(-LN(2)/25))/(LN(2)/25)*Calculateur!V183*Calculateur!X183*VLOOKUP('Données projet'!$B$9,Paramètres!$A$1:$I$89,3,0)*0.475*44/12</f>
        <v>3.8274713196618726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15.907390940546454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-6.8212102632969618E-13</v>
      </c>
      <c r="AJ183" s="13">
        <f>AI183*VLOOKUP('Données projet'!$B$10,Paramètres!$A$1:$I$89,3,0)*VLOOKUP('Données projet'!$B$10,Paramètres!$A$1:$I$89,5,0)</f>
        <v>-4.0790837374515837E-13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243.63945673917135</v>
      </c>
      <c r="AO183" s="59">
        <f t="shared" si="144"/>
        <v>213.14969914288025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18.544051449133388</v>
      </c>
      <c r="AV183" s="21">
        <f>EXP(-LN(2)/25)*AV182+(1-EXP(-LN(2)/25))/(LN(2)/25)*Calculateur!AQ183*Calculateur!AS183*VLOOKUP('Données projet'!$B$10,Paramètres!$A$1:$I$89,3,0)*0.475*44/12</f>
        <v>4.1364455587925972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22.680497007925986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-6.3550942286383367E-14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357.2406649189378</v>
      </c>
      <c r="BJ183" s="59">
        <f t="shared" si="146"/>
        <v>353.47109765343811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26.732968571953172</v>
      </c>
      <c r="BQ183" s="21">
        <f>EXP(-LN(2)/25)*BQ182+(1-EXP(-LN(2)/25))/(LN(2)/25)*Calculateur!BL183*Calculateur!BN183*VLOOKUP('Données projet'!$B$11,Paramètres!$A$1:$I$89,3,0)*0.475*44/12</f>
        <v>6.1706318288214508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32.903600400774621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123.2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78.684319999999829</v>
      </c>
      <c r="D184" s="11">
        <f t="shared" si="140"/>
        <v>21.815183719360832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589.59708848691594</v>
      </c>
      <c r="H184" s="67">
        <f t="shared" si="110"/>
        <v>626.76996897788649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216.99952889049467</v>
      </c>
      <c r="T184" s="59">
        <f t="shared" si="142"/>
        <v>340.62742489103783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11.843039765142471</v>
      </c>
      <c r="AA184" s="21">
        <f>EXP(-LN(2)/25)*AA183+(1-EXP(-LN(2)/25))/(LN(2)/25)*Calculateur!V184*Calculateur!X184*VLOOKUP('Données projet'!$B$9,Paramètres!$A$1:$I$89,3,0)*0.475*44/12</f>
        <v>3.7228089151477497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15.565848680290221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-6.8212102632969618E-13</v>
      </c>
      <c r="AJ184" s="13">
        <f>AI184*VLOOKUP('Données projet'!$B$10,Paramètres!$A$1:$I$89,3,0)*VLOOKUP('Données projet'!$B$10,Paramètres!$A$1:$I$89,5,0)</f>
        <v>-4.0790837374515837E-13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243.63945673917135</v>
      </c>
      <c r="AO184" s="59">
        <f t="shared" si="144"/>
        <v>213.14969914288025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18.180413910970422</v>
      </c>
      <c r="AV184" s="21">
        <f>EXP(-LN(2)/25)*AV183+(1-EXP(-LN(2)/25))/(LN(2)/25)*Calculateur!AQ184*Calculateur!AS184*VLOOKUP('Données projet'!$B$10,Paramètres!$A$1:$I$89,3,0)*0.475*44/12</f>
        <v>4.0233342374611958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22.203748148431618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-6.3550942286383367E-14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357.2406649189378</v>
      </c>
      <c r="BJ184" s="59">
        <f t="shared" si="146"/>
        <v>353.47109765343811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26.208751363757965</v>
      </c>
      <c r="BQ184" s="21">
        <f>EXP(-LN(2)/25)*BQ183+(1-EXP(-LN(2)/25))/(LN(2)/25)*Calculateur!BL184*Calculateur!BN184*VLOOKUP('Données projet'!$B$11,Paramètres!$A$1:$I$89,3,0)*0.475*44/12</f>
        <v>6.0018955769629034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32.210646940720871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123.2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79.119039999999828</v>
      </c>
      <c r="D185" s="11">
        <f t="shared" si="140"/>
        <v>21.921646210712346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592.7720257695114</v>
      </c>
      <c r="H185" s="67">
        <f t="shared" si="110"/>
        <v>627.71252848365702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216.99952889049467</v>
      </c>
      <c r="T185" s="59">
        <f t="shared" si="142"/>
        <v>340.62742489103783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11.61080497888902</v>
      </c>
      <c r="AA185" s="21">
        <f>EXP(-LN(2)/25)*AA184+(1-EXP(-LN(2)/25))/(LN(2)/25)*Calculateur!V185*Calculateur!X185*VLOOKUP('Données projet'!$B$9,Paramètres!$A$1:$I$89,3,0)*0.475*44/12</f>
        <v>3.6210085095890223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15.231813488478043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-6.8212102632969618E-13</v>
      </c>
      <c r="AJ185" s="13">
        <f>AI185*VLOOKUP('Données projet'!$B$10,Paramètres!$A$1:$I$89,3,0)*VLOOKUP('Données projet'!$B$10,Paramètres!$A$1:$I$89,5,0)</f>
        <v>-4.0790837374515837E-13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243.63945673917135</v>
      </c>
      <c r="AO185" s="59">
        <f t="shared" si="144"/>
        <v>213.14969914288025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17.823907083133836</v>
      </c>
      <c r="AV185" s="21">
        <f>EXP(-LN(2)/25)*AV184+(1-EXP(-LN(2)/25))/(LN(2)/25)*Calculateur!AQ185*Calculateur!AS185*VLOOKUP('Données projet'!$B$10,Paramètres!$A$1:$I$89,3,0)*0.475*44/12</f>
        <v>3.9133159511598672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21.737223034293702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-6.3550942286383367E-14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357.2406649189378</v>
      </c>
      <c r="BJ185" s="59">
        <f t="shared" si="146"/>
        <v>353.47109765343811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25.69481373527454</v>
      </c>
      <c r="BQ185" s="21">
        <f>EXP(-LN(2)/25)*BQ184+(1-EXP(-LN(2)/25))/(LN(2)/25)*Calculateur!BL185*Calculateur!BN185*VLOOKUP('Données projet'!$B$11,Paramètres!$A$1:$I$89,3,0)*0.475*44/12</f>
        <v>5.8377734267848815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31.532587162059421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123.2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79.553759999999826</v>
      </c>
      <c r="D186" s="11">
        <f t="shared" si="140"/>
        <v>22.028040634272724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595.94656372106567</v>
      </c>
      <c r="H186" s="67">
        <f t="shared" si="110"/>
        <v>628.65496943802475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216.99952889049467</v>
      </c>
      <c r="T186" s="59">
        <f t="shared" si="142"/>
        <v>340.62742489103783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11.383124175144765</v>
      </c>
      <c r="AA186" s="21">
        <f>EXP(-LN(2)/25)*AA185+(1-EXP(-LN(2)/25))/(LN(2)/25)*Calculateur!V186*Calculateur!X186*VLOOKUP('Données projet'!$B$9,Paramètres!$A$1:$I$89,3,0)*0.475*44/12</f>
        <v>3.5219918414737488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14.905116016618514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-6.8212102632969618E-13</v>
      </c>
      <c r="AJ186" s="13">
        <f>AI186*VLOOKUP('Données projet'!$B$10,Paramètres!$A$1:$I$89,3,0)*VLOOKUP('Données projet'!$B$10,Paramètres!$A$1:$I$89,5,0)</f>
        <v>-4.0790837374515837E-13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243.63945673917135</v>
      </c>
      <c r="AO186" s="59">
        <f t="shared" si="144"/>
        <v>213.14969914288025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17.474391136743431</v>
      </c>
      <c r="AV186" s="21">
        <f>EXP(-LN(2)/25)*AV185+(1-EXP(-LN(2)/25))/(LN(2)/25)*Calculateur!AQ186*Calculateur!AS186*VLOOKUP('Données projet'!$B$10,Paramètres!$A$1:$I$89,3,0)*0.475*44/12</f>
        <v>3.8063061206830588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21.280697257426489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-6.3550942286383367E-14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357.2406649189378</v>
      </c>
      <c r="BJ186" s="59">
        <f t="shared" si="146"/>
        <v>353.47109765343811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25.190954110214676</v>
      </c>
      <c r="BQ186" s="21">
        <f>EXP(-LN(2)/25)*BQ185+(1-EXP(-LN(2)/25))/(LN(2)/25)*Calculateur!BL186*Calculateur!BN186*VLOOKUP('Données projet'!$B$11,Paramètres!$A$1:$I$89,3,0)*0.475*44/12</f>
        <v>5.6781392054342872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30.869093315648964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123.2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79.988479999999825</v>
      </c>
      <c r="D187" s="11">
        <f t="shared" si="140"/>
        <v>22.134367405164806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599.12070477696591</v>
      </c>
      <c r="H187" s="67">
        <f t="shared" si="110"/>
        <v>629.5972925639951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216.99952889049467</v>
      </c>
      <c r="T187" s="59">
        <f t="shared" si="142"/>
        <v>340.62742489103783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11.159908053090357</v>
      </c>
      <c r="AA187" s="21">
        <f>EXP(-LN(2)/25)*AA186+(1-EXP(-LN(2)/25))/(LN(2)/25)*Calculateur!V187*Calculateur!X187*VLOOKUP('Données projet'!$B$9,Paramètres!$A$1:$I$89,3,0)*0.475*44/12</f>
        <v>3.4256827893551476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14.585590842445505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-6.8212102632969618E-13</v>
      </c>
      <c r="AJ187" s="13">
        <f>AI187*VLOOKUP('Données projet'!$B$10,Paramètres!$A$1:$I$89,3,0)*VLOOKUP('Données projet'!$B$10,Paramètres!$A$1:$I$89,5,0)</f>
        <v>-4.0790837374515837E-13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243.63945673917135</v>
      </c>
      <c r="AO187" s="59">
        <f t="shared" si="144"/>
        <v>213.14969914288025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17.131728984878063</v>
      </c>
      <c r="AV187" s="21">
        <f>EXP(-LN(2)/25)*AV186+(1-EXP(-LN(2)/25))/(LN(2)/25)*Calculateur!AQ187*Calculateur!AS187*VLOOKUP('Données projet'!$B$10,Paramètres!$A$1:$I$89,3,0)*0.475*44/12</f>
        <v>3.7022224796480412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20.833951464526102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-6.3550942286383367E-14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357.2406649189378</v>
      </c>
      <c r="BJ187" s="59">
        <f t="shared" si="146"/>
        <v>353.47109765343811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24.696974865078211</v>
      </c>
      <c r="BQ187" s="21">
        <f>EXP(-LN(2)/25)*BQ186+(1-EXP(-LN(2)/25))/(LN(2)/25)*Calculateur!BL187*Calculateur!BN187*VLOOKUP('Données projet'!$B$11,Paramètres!$A$1:$I$89,3,0)*0.475*44/12</f>
        <v>5.5228701902613233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30.219845055339533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123.2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80.423199999999824</v>
      </c>
      <c r="D188" s="11">
        <f t="shared" si="140"/>
        <v>22.24062693373801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602.29445134459536</v>
      </c>
      <c r="H188" s="67">
        <f t="shared" si="110"/>
        <v>630.53949857626003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216.99952889049467</v>
      </c>
      <c r="T188" s="59">
        <f t="shared" si="142"/>
        <v>340.62742489103783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10.941069063041045</v>
      </c>
      <c r="AA188" s="21">
        <f>EXP(-LN(2)/25)*AA187+(1-EXP(-LN(2)/25))/(LN(2)/25)*Calculateur!V188*Calculateur!X188*VLOOKUP('Données projet'!$B$9,Paramètres!$A$1:$I$89,3,0)*0.475*44/12</f>
        <v>3.3320073133314025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14.273076376372448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-6.8212102632969618E-13</v>
      </c>
      <c r="AJ188" s="13">
        <f>AI188*VLOOKUP('Données projet'!$B$10,Paramètres!$A$1:$I$89,3,0)*VLOOKUP('Données projet'!$B$10,Paramètres!$A$1:$I$89,5,0)</f>
        <v>-4.0790837374515837E-13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243.63945673917135</v>
      </c>
      <c r="AO188" s="59">
        <f t="shared" si="144"/>
        <v>213.14969914288025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16.795786228807501</v>
      </c>
      <c r="AV188" s="21">
        <f>EXP(-LN(2)/25)*AV187+(1-EXP(-LN(2)/25))/(LN(2)/25)*Calculateur!AQ188*Calculateur!AS188*VLOOKUP('Données projet'!$B$10,Paramètres!$A$1:$I$89,3,0)*0.475*44/12</f>
        <v>3.6009850112506467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20.396771240058147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-6.3550942286383367E-14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357.2406649189378</v>
      </c>
      <c r="BJ188" s="59">
        <f t="shared" si="146"/>
        <v>353.47109765343811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24.212682251641283</v>
      </c>
      <c r="BQ188" s="21">
        <f>EXP(-LN(2)/25)*BQ187+(1-EXP(-LN(2)/25))/(LN(2)/25)*Calculateur!BL188*Calculateur!BN188*VLOOKUP('Données projet'!$B$11,Paramètres!$A$1:$I$89,3,0)*0.475*44/12</f>
        <v>5.3718470144735067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29.584529266114789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123.2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80.857919999999822</v>
      </c>
      <c r="D189" s="11">
        <f t="shared" si="140"/>
        <v>22.346819625648841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605.46780580380562</v>
      </c>
      <c r="H189" s="67">
        <f t="shared" si="110"/>
        <v>631.48158818133811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216.99952889049467</v>
      </c>
      <c r="T189" s="59">
        <f t="shared" si="142"/>
        <v>340.62742489103783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10.726521372107996</v>
      </c>
      <c r="AA189" s="21">
        <f>EXP(-LN(2)/25)*AA188+(1-EXP(-LN(2)/25))/(LN(2)/25)*Calculateur!V189*Calculateur!X189*VLOOKUP('Données projet'!$B$9,Paramètres!$A$1:$I$89,3,0)*0.475*44/12</f>
        <v>3.240893398125706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13.967414770233702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-6.8212102632969618E-13</v>
      </c>
      <c r="AJ189" s="13">
        <f>AI189*VLOOKUP('Données projet'!$B$10,Paramètres!$A$1:$I$89,3,0)*VLOOKUP('Données projet'!$B$10,Paramètres!$A$1:$I$89,5,0)</f>
        <v>-4.0790837374515837E-13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243.63945673917135</v>
      </c>
      <c r="AO189" s="59">
        <f t="shared" si="144"/>
        <v>213.14969914288025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16.466431105278634</v>
      </c>
      <c r="AV189" s="21">
        <f>EXP(-LN(2)/25)*AV188+(1-EXP(-LN(2)/25))/(LN(2)/25)*Calculateur!AQ189*Calculateur!AS189*VLOOKUP('Données projet'!$B$10,Paramètres!$A$1:$I$89,3,0)*0.475*44/12</f>
        <v>3.5025158867504262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19.968946992029061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-6.3550942286383367E-14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357.2406649189378</v>
      </c>
      <c r="BJ189" s="59">
        <f t="shared" si="146"/>
        <v>353.47109765343811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23.737886320964524</v>
      </c>
      <c r="BQ189" s="21">
        <f>EXP(-LN(2)/25)*BQ188+(1-EXP(-LN(2)/25))/(LN(2)/25)*Calculateur!BL189*Calculateur!BN189*VLOOKUP('Données projet'!$B$11,Paramètres!$A$1:$I$89,3,0)*0.475*44/12</f>
        <v>5.2249535753695717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28.962839896334096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123.2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81.292639999999821</v>
      </c>
      <c r="D190" s="11">
        <f t="shared" si="140"/>
        <v>22.452945881939378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608.64077050737671</v>
      </c>
      <c r="H190" s="67">
        <f t="shared" si="110"/>
        <v>632.42356207771081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216.99952889049467</v>
      </c>
      <c r="T190" s="59">
        <f t="shared" si="142"/>
        <v>340.62742489103783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10.516180830532974</v>
      </c>
      <c r="AA190" s="21">
        <f>EXP(-LN(2)/25)*AA189+(1-EXP(-LN(2)/25))/(LN(2)/25)*Calculateur!V190*Calculateur!X190*VLOOKUP('Données projet'!$B$9,Paramètres!$A$1:$I$89,3,0)*0.475*44/12</f>
        <v>3.1522709977227819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13.668451828255757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-6.8212102632969618E-13</v>
      </c>
      <c r="AJ190" s="13">
        <f>AI190*VLOOKUP('Données projet'!$B$10,Paramètres!$A$1:$I$89,3,0)*VLOOKUP('Données projet'!$B$10,Paramètres!$A$1:$I$89,5,0)</f>
        <v>-4.0790837374515837E-13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243.63945673917135</v>
      </c>
      <c r="AO190" s="59">
        <f t="shared" si="144"/>
        <v>213.14969914288025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16.143534434835377</v>
      </c>
      <c r="AV190" s="21">
        <f>EXP(-LN(2)/25)*AV189+(1-EXP(-LN(2)/25))/(LN(2)/25)*Calculateur!AQ190*Calculateur!AS190*VLOOKUP('Données projet'!$B$10,Paramètres!$A$1:$I$89,3,0)*0.475*44/12</f>
        <v>3.4067394056379303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19.550273840473309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-6.3550942286383367E-14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357.2406649189378</v>
      </c>
      <c r="BJ190" s="59">
        <f t="shared" si="146"/>
        <v>353.47109765343811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23.272400848891415</v>
      </c>
      <c r="BQ190" s="21">
        <f>EXP(-LN(2)/25)*BQ189+(1-EXP(-LN(2)/25))/(LN(2)/25)*Calculateur!BL190*Calculateur!BN190*VLOOKUP('Données projet'!$B$11,Paramètres!$A$1:$I$89,3,0)*0.475*44/12</f>
        <v>5.0820769450827239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28.354477793974141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123.2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81.72735999999982</v>
      </c>
      <c r="D191" s="11">
        <f t="shared" si="140"/>
        <v>22.559006099114161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611.81334778146868</v>
      </c>
      <c r="H191" s="67">
        <f t="shared" si="110"/>
        <v>633.36542095595689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216.99952889049467</v>
      </c>
      <c r="T191" s="59">
        <f t="shared" si="142"/>
        <v>340.62742489103783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10.309964938683176</v>
      </c>
      <c r="AA191" s="21">
        <f>EXP(-LN(2)/25)*AA190+(1-EXP(-LN(2)/25))/(LN(2)/25)*Calculateur!V191*Calculateur!X191*VLOOKUP('Données projet'!$B$9,Paramètres!$A$1:$I$89,3,0)*0.475*44/12</f>
        <v>3.0660719815193254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13.376036920202502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-6.8212102632969618E-13</v>
      </c>
      <c r="AJ191" s="13">
        <f>AI191*VLOOKUP('Données projet'!$B$10,Paramètres!$A$1:$I$89,3,0)*VLOOKUP('Données projet'!$B$10,Paramètres!$A$1:$I$89,5,0)</f>
        <v>-4.0790837374515837E-13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243.63945673917135</v>
      </c>
      <c r="AO191" s="59">
        <f t="shared" si="144"/>
        <v>213.14969914288025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15.826969571151992</v>
      </c>
      <c r="AV191" s="21">
        <f>EXP(-LN(2)/25)*AV190+(1-EXP(-LN(2)/25))/(LN(2)/25)*Calculateur!AQ191*Calculateur!AS191*VLOOKUP('Données projet'!$B$10,Paramètres!$A$1:$I$89,3,0)*0.475*44/12</f>
        <v>3.3135819374381219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19.140551508590114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-6.3550942286383367E-14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357.2406649189378</v>
      </c>
      <c r="BJ191" s="59">
        <f t="shared" si="146"/>
        <v>353.47109765343811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22.816043263007558</v>
      </c>
      <c r="BQ191" s="21">
        <f>EXP(-LN(2)/25)*BQ190+(1-EXP(-LN(2)/25))/(LN(2)/25)*Calculateur!BL191*Calculateur!BN191*VLOOKUP('Données projet'!$B$11,Paramètres!$A$1:$I$89,3,0)*0.475*44/12</f>
        <v>4.9431072837646255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27.759150546772183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123.2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82.162079999999818</v>
      </c>
      <c r="D192" s="11">
        <f t="shared" si="140"/>
        <v>22.665000669215495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614.98553992606332</v>
      </c>
      <c r="H192" s="67">
        <f t="shared" si="110"/>
        <v>634.30716549888336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216.99952889049467</v>
      </c>
      <c r="T192" s="59">
        <f t="shared" si="142"/>
        <v>340.62742489103783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10.107792814693278</v>
      </c>
      <c r="AA192" s="21">
        <f>EXP(-LN(2)/25)*AA191+(1-EXP(-LN(2)/25))/(LN(2)/25)*Calculateur!V192*Calculateur!X192*VLOOKUP('Données projet'!$B$9,Paramètres!$A$1:$I$89,3,0)*0.475*44/12</f>
        <v>2.9822300819469616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13.090022896640239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-6.8212102632969618E-13</v>
      </c>
      <c r="AJ192" s="13">
        <f>AI192*VLOOKUP('Données projet'!$B$10,Paramètres!$A$1:$I$89,3,0)*VLOOKUP('Données projet'!$B$10,Paramètres!$A$1:$I$89,5,0)</f>
        <v>-4.0790837374515837E-13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243.63945673917135</v>
      </c>
      <c r="AO192" s="59">
        <f t="shared" si="144"/>
        <v>213.14969914288025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15.516612351359935</v>
      </c>
      <c r="AV192" s="21">
        <f>EXP(-LN(2)/25)*AV191+(1-EXP(-LN(2)/25))/(LN(2)/25)*Calculateur!AQ192*Calculateur!AS192*VLOOKUP('Données projet'!$B$10,Paramètres!$A$1:$I$89,3,0)*0.475*44/12</f>
        <v>3.2229718651051757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18.739584216465111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-6.3550942286383367E-14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357.2406649189378</v>
      </c>
      <c r="BJ192" s="59">
        <f t="shared" si="146"/>
        <v>353.47109765343811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22.368634571032239</v>
      </c>
      <c r="BQ192" s="21">
        <f>EXP(-LN(2)/25)*BQ191+(1-EXP(-LN(2)/25))/(LN(2)/25)*Calculateur!BL192*Calculateur!BN192*VLOOKUP('Données projet'!$B$11,Paramètres!$A$1:$I$89,3,0)*0.475*44/12</f>
        <v>4.8079377551433673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27.176572326175606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123.2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82.596799999999817</v>
      </c>
      <c r="D193" s="11">
        <f t="shared" si="140"/>
        <v>22.770929979896877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618.15734921539388</v>
      </c>
      <c r="H193" s="67">
        <f t="shared" si="110"/>
        <v>635.24879638165339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216.99952889049467</v>
      </c>
      <c r="T193" s="59">
        <f t="shared" si="142"/>
        <v>340.62742489103783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9.9095851627420029</v>
      </c>
      <c r="AA193" s="21">
        <f>EXP(-LN(2)/25)*AA192+(1-EXP(-LN(2)/25))/(LN(2)/25)*Calculateur!V193*Calculateur!X193*VLOOKUP('Données projet'!$B$9,Paramètres!$A$1:$I$89,3,0)*0.475*44/12</f>
        <v>2.900680843527458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12.810266006269462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-6.8212102632969618E-13</v>
      </c>
      <c r="AJ193" s="13">
        <f>AI193*VLOOKUP('Données projet'!$B$10,Paramètres!$A$1:$I$89,3,0)*VLOOKUP('Données projet'!$B$10,Paramètres!$A$1:$I$89,5,0)</f>
        <v>-4.0790837374515837E-13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243.63945673917135</v>
      </c>
      <c r="AO193" s="59">
        <f t="shared" si="144"/>
        <v>213.14969914288025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15.212341047348788</v>
      </c>
      <c r="AV193" s="21">
        <f>EXP(-LN(2)/25)*AV192+(1-EXP(-LN(2)/25))/(LN(2)/25)*Calculateur!AQ193*Calculateur!AS193*VLOOKUP('Données projet'!$B$10,Paramètres!$A$1:$I$89,3,0)*0.475*44/12</f>
        <v>3.1348395299651504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18.347180577313939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-6.3550942286383367E-14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357.2406649189378</v>
      </c>
      <c r="BJ193" s="59">
        <f t="shared" si="146"/>
        <v>353.47109765343811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21.929999290614198</v>
      </c>
      <c r="BQ193" s="21">
        <f>EXP(-LN(2)/25)*BQ192+(1-EXP(-LN(2)/25))/(LN(2)/25)*Calculateur!BL193*Calculateur!BN193*VLOOKUP('Données projet'!$B$11,Paramètres!$A$1:$I$89,3,0)*0.475*44/12</f>
        <v>4.6764644443905139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26.606463735004713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123.2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83.031519999999816</v>
      </c>
      <c r="D194" s="11">
        <f t="shared" si="140"/>
        <v>22.876794414495048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621.32877789836994</v>
      </c>
      <c r="H194" s="67">
        <f t="shared" si="110"/>
        <v>636.19031427191192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216.99952889049467</v>
      </c>
      <c r="T194" s="59">
        <f t="shared" si="142"/>
        <v>340.62742489103783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9.7152642419507611</v>
      </c>
      <c r="AA194" s="21">
        <f>EXP(-LN(2)/25)*AA193+(1-EXP(-LN(2)/25))/(LN(2)/25)*Calculateur!V194*Calculateur!X194*VLOOKUP('Données projet'!$B$9,Paramètres!$A$1:$I$89,3,0)*0.475*44/12</f>
        <v>2.8213615733210236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12.536625815271785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-6.8212102632969618E-13</v>
      </c>
      <c r="AJ194" s="13">
        <f>AI194*VLOOKUP('Données projet'!$B$10,Paramètres!$A$1:$I$89,3,0)*VLOOKUP('Données projet'!$B$10,Paramètres!$A$1:$I$89,5,0)</f>
        <v>-4.0790837374515837E-13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243.63945673917135</v>
      </c>
      <c r="AO194" s="59">
        <f t="shared" si="144"/>
        <v>213.14969914288025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14.914036318022131</v>
      </c>
      <c r="AV194" s="21">
        <f>EXP(-LN(2)/25)*AV193+(1-EXP(-LN(2)/25))/(LN(2)/25)*Calculateur!AQ194*Calculateur!AS194*VLOOKUP('Données projet'!$B$10,Paramètres!$A$1:$I$89,3,0)*0.475*44/12</f>
        <v>3.0491171781642072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17.963153496186337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-6.3550942286383367E-14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357.2406649189378</v>
      </c>
      <c r="BJ194" s="59">
        <f t="shared" si="146"/>
        <v>353.47109765343811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21.499965380504054</v>
      </c>
      <c r="BQ194" s="21">
        <f>EXP(-LN(2)/25)*BQ193+(1-EXP(-LN(2)/25))/(LN(2)/25)*Calculateur!BL194*Calculateur!BN194*VLOOKUP('Données projet'!$B$11,Paramètres!$A$1:$I$89,3,0)*0.475*44/12</f>
        <v>4.5485862782340787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26.048551658738134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123.2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83.466239999999814</v>
      </c>
      <c r="D195" s="11">
        <f t="shared" si="140"/>
        <v>22.982594352100346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624.49982819898776</v>
      </c>
      <c r="H195" s="67">
        <f t="shared" si="110"/>
        <v>637.13171982990775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216.99952889049467</v>
      </c>
      <c r="T195" s="59">
        <f t="shared" si="142"/>
        <v>340.62742489103783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9.5247538358921773</v>
      </c>
      <c r="AA195" s="21">
        <f>EXP(-LN(2)/25)*AA194+(1-EXP(-LN(2)/25))/(LN(2)/25)*Calculateur!V195*Calculateur!X195*VLOOKUP('Données projet'!$B$9,Paramètres!$A$1:$I$89,3,0)*0.475*44/12</f>
        <v>2.7442112927296032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12.26896512862178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-6.8212102632969618E-13</v>
      </c>
      <c r="AJ195" s="13">
        <f>AI195*VLOOKUP('Données projet'!$B$10,Paramètres!$A$1:$I$89,3,0)*VLOOKUP('Données projet'!$B$10,Paramètres!$A$1:$I$89,5,0)</f>
        <v>-4.0790837374515837E-13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243.63945673917135</v>
      </c>
      <c r="AO195" s="59">
        <f t="shared" si="144"/>
        <v>213.14969914288025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14.621581162489649</v>
      </c>
      <c r="AV195" s="21">
        <f>EXP(-LN(2)/25)*AV194+(1-EXP(-LN(2)/25))/(LN(2)/25)*Calculateur!AQ195*Calculateur!AS195*VLOOKUP('Données projet'!$B$10,Paramètres!$A$1:$I$89,3,0)*0.475*44/12</f>
        <v>2.9657389085812036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17.587320071070852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-6.3550942286383367E-14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357.2406649189378</v>
      </c>
      <c r="BJ195" s="59">
        <f t="shared" si="146"/>
        <v>353.47109765343811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21.078364173076384</v>
      </c>
      <c r="BQ195" s="21">
        <f>EXP(-LN(2)/25)*BQ194+(1-EXP(-LN(2)/25))/(LN(2)/25)*Calculateur!BL195*Calculateur!BN195*VLOOKUP('Données projet'!$B$11,Paramètres!$A$1:$I$89,3,0)*0.475*44/12</f>
        <v>4.424204947256011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25.502569120332396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123.2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83.900959999999813</v>
      </c>
      <c r="D196" s="11">
        <f t="shared" si="140"/>
        <v>23.088330167625678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627.67050231673613</v>
      </c>
      <c r="H196" s="67">
        <f t="shared" ref="H196:H203" si="192">(B196+E196+F196)*44/12+(C196+D196)*0.475*44/12</f>
        <v>638.07301370861444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216.99952889049467</v>
      </c>
      <c r="T196" s="59">
        <f t="shared" si="142"/>
        <v>340.62742489103783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9.3379792226965286</v>
      </c>
      <c r="AA196" s="21">
        <f>EXP(-LN(2)/25)*AA195+(1-EXP(-LN(2)/25))/(LN(2)/25)*Calculateur!V196*Calculateur!X196*VLOOKUP('Données projet'!$B$9,Paramètres!$A$1:$I$89,3,0)*0.475*44/12</f>
        <v>2.6691706906181123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12.007149913314642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-6.8212102632969618E-13</v>
      </c>
      <c r="AJ196" s="13">
        <f>AI196*VLOOKUP('Données projet'!$B$10,Paramètres!$A$1:$I$89,3,0)*VLOOKUP('Données projet'!$B$10,Paramètres!$A$1:$I$89,5,0)</f>
        <v>-4.0790837374515837E-13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243.63945673917135</v>
      </c>
      <c r="AO196" s="59">
        <f t="shared" si="144"/>
        <v>213.14969914288025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14.33486087417713</v>
      </c>
      <c r="AV196" s="21">
        <f>EXP(-LN(2)/25)*AV195+(1-EXP(-LN(2)/25))/(LN(2)/25)*Calculateur!AQ196*Calculateur!AS196*VLOOKUP('Données projet'!$B$10,Paramètres!$A$1:$I$89,3,0)*0.475*44/12</f>
        <v>2.8846406221646195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17.219501496341749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-6.3550942286383367E-14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357.2406649189378</v>
      </c>
      <c r="BJ196" s="59">
        <f t="shared" si="146"/>
        <v>353.47109765343811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20.665030308175023</v>
      </c>
      <c r="BQ196" s="21">
        <f>EXP(-LN(2)/25)*BQ195+(1-EXP(-LN(2)/25))/(LN(2)/25)*Calculateur!BL196*Calculateur!BN196*VLOOKUP('Données projet'!$B$11,Paramètres!$A$1:$I$89,3,0)*0.475*44/12</f>
        <v>4.3032248303144689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24.968255138489493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123.2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84.335679999999812</v>
      </c>
      <c r="D197" s="11">
        <f t="shared" ref="D197:D203" si="202">IFERROR(EXP(-1.0587+0.8836*LN(C197)+0.284),0)</f>
        <v>23.194002231873863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630.84080242699224</v>
      </c>
      <c r="H197" s="67">
        <f t="shared" si="192"/>
        <v>639.01419655384666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216.99952889049467</v>
      </c>
      <c r="T197" s="59">
        <f t="shared" ref="T197:T203" si="204">$T$3</f>
        <v>340.62742489103783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9.1548671457443813</v>
      </c>
      <c r="AA197" s="21">
        <f>EXP(-LN(2)/25)*AA196+(1-EXP(-LN(2)/25))/(LN(2)/25)*Calculateur!V197*Calculateur!X197*VLOOKUP('Données projet'!$B$9,Paramètres!$A$1:$I$89,3,0)*0.475*44/12</f>
        <v>2.5961820777175739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11.751049223461955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-6.8212102632969618E-13</v>
      </c>
      <c r="AJ197" s="13">
        <f>AI197*VLOOKUP('Données projet'!$B$10,Paramètres!$A$1:$I$89,3,0)*VLOOKUP('Données projet'!$B$10,Paramètres!$A$1:$I$89,5,0)</f>
        <v>-4.0790837374515837E-13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243.63945673917135</v>
      </c>
      <c r="AO197" s="59">
        <f t="shared" ref="AO197:AO203" si="205">$AO$3</f>
        <v>213.14969914288025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14.05376299583631</v>
      </c>
      <c r="AV197" s="21">
        <f>EXP(-LN(2)/25)*AV196+(1-EXP(-LN(2)/25))/(LN(2)/25)*Calculateur!AQ197*Calculateur!AS197*VLOOKUP('Données projet'!$B$10,Paramètres!$A$1:$I$89,3,0)*0.475*44/12</f>
        <v>2.8057599726548705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16.859522968491181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-6.3550942286383367E-14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357.2406649189378</v>
      </c>
      <c r="BJ197" s="59">
        <f t="shared" ref="BJ197:BJ203" si="206">$BJ$3</f>
        <v>353.47109765343811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20.259801668255616</v>
      </c>
      <c r="BQ197" s="21">
        <f>EXP(-LN(2)/25)*BQ196+(1-EXP(-LN(2)/25))/(LN(2)/25)*Calculateur!BL197*Calculateur!BN197*VLOOKUP('Données projet'!$B$11,Paramètres!$A$1:$I$89,3,0)*0.475*44/12</f>
        <v>4.1855529210327607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24.445354589288378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123.2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84.77039999999981</v>
      </c>
      <c r="D198" s="11">
        <f t="shared" si="202"/>
        <v>23.299610911603732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634.01073068140749</v>
      </c>
      <c r="H198" s="67">
        <f t="shared" si="192"/>
        <v>639.95526900437619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216.99952889049467</v>
      </c>
      <c r="T198" s="59">
        <f t="shared" si="204"/>
        <v>340.62742489103783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8.9753457849339267</v>
      </c>
      <c r="AA198" s="21">
        <f>EXP(-LN(2)/25)*AA197+(1-EXP(-LN(2)/25))/(LN(2)/25)*Calculateur!V198*Calculateur!X198*VLOOKUP('Données projet'!$B$9,Paramètres!$A$1:$I$89,3,0)*0.475*44/12</f>
        <v>2.5251893422751048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11.500535127209032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-6.8212102632969618E-13</v>
      </c>
      <c r="AJ198" s="13">
        <f>AI198*VLOOKUP('Données projet'!$B$10,Paramètres!$A$1:$I$89,3,0)*VLOOKUP('Données projet'!$B$10,Paramètres!$A$1:$I$89,5,0)</f>
        <v>-4.0790837374515837E-13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243.63945673917135</v>
      </c>
      <c r="AO198" s="59">
        <f t="shared" si="205"/>
        <v>213.14969914288025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13.778177275436978</v>
      </c>
      <c r="AV198" s="21">
        <f>EXP(-LN(2)/25)*AV197+(1-EXP(-LN(2)/25))/(LN(2)/25)*Calculateur!AQ198*Calculateur!AS198*VLOOKUP('Données projet'!$B$10,Paramètres!$A$1:$I$89,3,0)*0.475*44/12</f>
        <v>2.7290363186541189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16.507213594091098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-6.3550942286383367E-14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357.2406649189378</v>
      </c>
      <c r="BJ198" s="59">
        <f t="shared" si="206"/>
        <v>353.47109765343811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19.862519314799961</v>
      </c>
      <c r="BQ198" s="21">
        <f>EXP(-LN(2)/25)*BQ197+(1-EXP(-LN(2)/25))/(LN(2)/25)*Calculateur!BL198*Calculateur!BN198*VLOOKUP('Données projet'!$B$11,Paramètres!$A$1:$I$89,3,0)*0.475*44/12</f>
        <v>4.0710987562984577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23.933618071098419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123.2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85.205119999999809</v>
      </c>
      <c r="D199" s="11">
        <f t="shared" si="202"/>
        <v>23.40515656959467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637.18028920828749</v>
      </c>
      <c r="H199" s="67">
        <f t="shared" si="192"/>
        <v>640.89623169204367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216.99952889049467</v>
      </c>
      <c r="T199" s="59">
        <f t="shared" si="204"/>
        <v>340.62742489103783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8.7993447285117465</v>
      </c>
      <c r="AA199" s="21">
        <f>EXP(-LN(2)/25)*AA198+(1-EXP(-LN(2)/25))/(LN(2)/25)*Calculateur!V199*Calculateur!X199*VLOOKUP('Données projet'!$B$9,Paramètres!$A$1:$I$89,3,0)*0.475*44/12</f>
        <v>2.456137906916656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11.255482635428402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-6.8212102632969618E-13</v>
      </c>
      <c r="AJ199" s="13">
        <f>AI199*VLOOKUP('Données projet'!$B$10,Paramètres!$A$1:$I$89,3,0)*VLOOKUP('Données projet'!$B$10,Paramètres!$A$1:$I$89,5,0)</f>
        <v>-4.0790837374515837E-13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243.63945673917135</v>
      </c>
      <c r="AO199" s="59">
        <f t="shared" si="205"/>
        <v>213.14969914288025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13.507995622923984</v>
      </c>
      <c r="AV199" s="21">
        <f>EXP(-LN(2)/25)*AV198+(1-EXP(-LN(2)/25))/(LN(2)/25)*Calculateur!AQ199*Calculateur!AS199*VLOOKUP('Données projet'!$B$10,Paramètres!$A$1:$I$89,3,0)*0.475*44/12</f>
        <v>2.6544106770067395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16.162406299930723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-6.3550942286383367E-14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357.2406649189378</v>
      </c>
      <c r="BJ199" s="59">
        <f t="shared" si="206"/>
        <v>353.47109765343811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19.473027425977264</v>
      </c>
      <c r="BQ199" s="21">
        <f>EXP(-LN(2)/25)*BQ198+(1-EXP(-LN(2)/25))/(LN(2)/25)*Calculateur!BL199*Calculateur!BN199*VLOOKUP('Données projet'!$B$11,Paramètres!$A$1:$I$89,3,0)*0.475*44/12</f>
        <v>3.9597743467176976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23.432801772694962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123.2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85.639839999999808</v>
      </c>
      <c r="D200" s="11">
        <f t="shared" si="202"/>
        <v>23.510639564709916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640.34948011296376</v>
      </c>
      <c r="H200" s="67">
        <f t="shared" si="192"/>
        <v>641.83708524186943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216.99952889049467</v>
      </c>
      <c r="T200" s="59">
        <f t="shared" si="204"/>
        <v>340.62742489103783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8.6267949454559609</v>
      </c>
      <c r="AA200" s="21">
        <f>EXP(-LN(2)/25)*AA199+(1-EXP(-LN(2)/25))/(LN(2)/25)*Calculateur!V200*Calculateur!X200*VLOOKUP('Données projet'!$B$9,Paramètres!$A$1:$I$89,3,0)*0.475*44/12</f>
        <v>2.3889746866893411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11.015769632145302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-6.8212102632969618E-13</v>
      </c>
      <c r="AJ200" s="13">
        <f>AI200*VLOOKUP('Données projet'!$B$10,Paramètres!$A$1:$I$89,3,0)*VLOOKUP('Données projet'!$B$10,Paramètres!$A$1:$I$89,5,0)</f>
        <v>-4.0790837374515837E-13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243.63945673917135</v>
      </c>
      <c r="AO200" s="59">
        <f t="shared" si="205"/>
        <v>213.14969914288025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13.243112067822235</v>
      </c>
      <c r="AV200" s="21">
        <f>EXP(-LN(2)/25)*AV199+(1-EXP(-LN(2)/25))/(LN(2)/25)*Calculateur!AQ200*Calculateur!AS200*VLOOKUP('Données projet'!$B$10,Paramètres!$A$1:$I$89,3,0)*0.475*44/12</f>
        <v>2.5818256774545993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15.824937745276834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-6.3550942286383367E-14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357.2406649189378</v>
      </c>
      <c r="BJ200" s="59">
        <f t="shared" si="206"/>
        <v>353.47109765343811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19.091173235527787</v>
      </c>
      <c r="BQ200" s="21">
        <f>EXP(-LN(2)/25)*BQ199+(1-EXP(-LN(2)/25))/(LN(2)/25)*Calculateur!BL200*Calculateur!BN200*VLOOKUP('Données projet'!$B$11,Paramètres!$A$1:$I$89,3,0)*0.475*44/12</f>
        <v>3.8514941089712194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22.942667344499007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123.2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86.074559999999806</v>
      </c>
      <c r="D201" s="11">
        <f t="shared" si="202"/>
        <v>23.616060251958473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643.5183054781553</v>
      </c>
      <c r="H201" s="67">
        <f t="shared" si="192"/>
        <v>642.77783027216071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216.99952889049467</v>
      </c>
      <c r="T201" s="59">
        <f t="shared" si="204"/>
        <v>340.62742489103783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8.457628758400924</v>
      </c>
      <c r="AA201" s="21">
        <f>EXP(-LN(2)/25)*AA200+(1-EXP(-LN(2)/25))/(LN(2)/25)*Calculateur!V201*Calculateur!X201*VLOOKUP('Données projet'!$B$9,Paramètres!$A$1:$I$89,3,0)*0.475*44/12</f>
        <v>2.3236480482511022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10.781276806652027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-6.8212102632969618E-13</v>
      </c>
      <c r="AJ201" s="13">
        <f>AI201*VLOOKUP('Données projet'!$B$10,Paramètres!$A$1:$I$89,3,0)*VLOOKUP('Données projet'!$B$10,Paramètres!$A$1:$I$89,5,0)</f>
        <v>-4.0790837374515837E-13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243.63945673917135</v>
      </c>
      <c r="AO201" s="59">
        <f t="shared" si="205"/>
        <v>213.14969914288025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12.983422717673015</v>
      </c>
      <c r="AV201" s="21">
        <f>EXP(-LN(2)/25)*AV200+(1-EXP(-LN(2)/25))/(LN(2)/25)*Calculateur!AQ201*Calculateur!AS201*VLOOKUP('Données projet'!$B$10,Paramètres!$A$1:$I$89,3,0)*0.475*44/12</f>
        <v>2.5112255185322918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15.494648236205308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-6.3550942286383367E-14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357.2406649189378</v>
      </c>
      <c r="BJ201" s="59">
        <f t="shared" si="206"/>
        <v>353.47109765343811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18.716806972844964</v>
      </c>
      <c r="BQ201" s="21">
        <f>EXP(-LN(2)/25)*BQ200+(1-EXP(-LN(2)/25))/(LN(2)/25)*Calculateur!BL201*Calculateur!BN201*VLOOKUP('Données projet'!$B$11,Paramètres!$A$1:$I$89,3,0)*0.475*44/12</f>
        <v>3.7461748000201287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22.462981772865092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123.2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86.509279999999805</v>
      </c>
      <c r="D202" s="11">
        <f t="shared" si="202"/>
        <v>23.72141898255575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646.68676736432599</v>
      </c>
      <c r="H202" s="67">
        <f t="shared" si="192"/>
        <v>643.71846739461762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216.99952889049467</v>
      </c>
      <c r="T202" s="59">
        <f t="shared" si="204"/>
        <v>340.62742489103783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8.2917798170928503</v>
      </c>
      <c r="AA202" s="21">
        <f>EXP(-LN(2)/25)*AA201+(1-EXP(-LN(2)/25))/(LN(2)/25)*Calculateur!V202*Calculateur!X202*VLOOKUP('Données projet'!$B$9,Paramètres!$A$1:$I$89,3,0)*0.475*44/12</f>
        <v>2.2601077701763357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10.551887587269185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-6.8212102632969618E-13</v>
      </c>
      <c r="AJ202" s="13">
        <f>AI202*VLOOKUP('Données projet'!$B$10,Paramètres!$A$1:$I$89,3,0)*VLOOKUP('Données projet'!$B$10,Paramètres!$A$1:$I$89,5,0)</f>
        <v>-4.0790837374515837E-13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243.63945673917135</v>
      </c>
      <c r="AO202" s="59">
        <f t="shared" si="205"/>
        <v>213.14969914288025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12.728825717285359</v>
      </c>
      <c r="AV202" s="21">
        <f>EXP(-LN(2)/25)*AV201+(1-EXP(-LN(2)/25))/(LN(2)/25)*Calculateur!AQ202*Calculateur!AS202*VLOOKUP('Données projet'!$B$10,Paramètres!$A$1:$I$89,3,0)*0.475*44/12</f>
        <v>2.4425559246684156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15.171381641953774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-6.3550942286383367E-14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357.2406649189378</v>
      </c>
      <c r="BJ202" s="59">
        <f t="shared" si="206"/>
        <v>353.47109765343811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18.349781804232478</v>
      </c>
      <c r="BQ202" s="21">
        <f>EXP(-LN(2)/25)*BQ201+(1-EXP(-LN(2)/25))/(LN(2)/25)*Calculateur!BL202*Calculateur!BN202*VLOOKUP('Données projet'!$B$11,Paramètres!$A$1:$I$89,3,0)*0.475*44/12</f>
        <v>3.6437354531108075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21.993517257343285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123.2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86.943999999999804</v>
      </c>
      <c r="D203" s="11">
        <f t="shared" si="202"/>
        <v>23.826716103982967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123.2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649.85486781003237</v>
      </c>
      <c r="H203" s="67">
        <f t="shared" si="192"/>
        <v>644.65899721443668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216.99952889049467</v>
      </c>
      <c r="T203" s="59">
        <f t="shared" si="204"/>
        <v>340.62742489103783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8.1291830723659633</v>
      </c>
      <c r="AA203" s="21">
        <f>EXP(-LN(2)/25)*AA202+(1-EXP(-LN(2)/25))/(LN(2)/25)*Calculateur!V203*Calculateur!X203*VLOOKUP('Données projet'!$B$9,Paramètres!$A$1:$I$89,3,0)*0.475*44/12</f>
        <v>2.1983050043469619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10.327488076712925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-6.8212102632969618E-13</v>
      </c>
      <c r="AJ203" s="13">
        <f>AI203*VLOOKUP('Données projet'!$B$10,Paramètres!$A$1:$I$89,3,0)*VLOOKUP('Données projet'!$B$10,Paramètres!$A$1:$I$89,5,0)</f>
        <v>-4.0790837374515837E-13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243.63945673917135</v>
      </c>
      <c r="AO203" s="59">
        <f t="shared" si="205"/>
        <v>213.14969914288025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12.479221208786466</v>
      </c>
      <c r="AV203" s="21">
        <f>EXP(-LN(2)/25)*AV202+(1-EXP(-LN(2)/25))/(LN(2)/25)*Calculateur!AQ203*Calculateur!AS203*VLOOKUP('Données projet'!$B$10,Paramètres!$A$1:$I$89,3,0)*0.475*44/12</f>
        <v>2.3757641044599245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14.854985313246392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-6.3550942286383367E-14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357.2406649189378</v>
      </c>
      <c r="BJ203" s="59">
        <f t="shared" si="206"/>
        <v>353.47109765343811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17.989953775313236</v>
      </c>
      <c r="BQ203" s="21">
        <f>EXP(-LN(2)/25)*BQ202+(1-EXP(-LN(2)/25))/(LN(2)/25)*Calculateur!BL203*Calculateur!BN203*VLOOKUP('Données projet'!$B$11,Paramètres!$A$1:$I$89,3,0)*0.475*44/12</f>
        <v>3.5440973155297728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21.534051090843008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123.2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1.2997069632623315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1.2104960804879272</v>
      </c>
      <c r="BA205" s="82">
        <f>EXP(LN('Données projet'!B88)/'Données projet'!A88)</f>
        <v>1.2854795418236975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27" sqref="I2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Mélèze d'Europe</v>
      </c>
      <c r="B6" s="146">
        <f>'Données projet'!D9</f>
        <v>5.6580000000000004</v>
      </c>
      <c r="C6" s="147">
        <f ca="1">IF(OR('Données projet'!B9="",'Données projet'!C9="",'Données projet'!C9=0%),0,Calculateur!S3)</f>
        <v>216.99952889049467</v>
      </c>
      <c r="D6" s="147">
        <f>IF(OR('Données projet'!B9="",'Données projet'!C9="",'Données projet'!C9=0%),0,Calculateur!T3)</f>
        <v>340.62742489103783</v>
      </c>
      <c r="E6" s="147">
        <f ca="1">MIN(C6,D6)</f>
        <v>216.99952889049467</v>
      </c>
      <c r="F6" s="147">
        <f ca="1">E6*B6</f>
        <v>1227.7833344624189</v>
      </c>
      <c r="G6" s="147">
        <f ca="1">F6*(100%-'Données projet'!$C$24)*(100%-'Données projet'!$C$25)*(100%-'Données projet'!$C$26)*(100%-'Données projet'!$C$27)</f>
        <v>994.50450091455923</v>
      </c>
      <c r="H6" s="148">
        <f>IF(OR('Données projet'!B9="",'Données projet'!C9="",'Données projet'!C9=0%),0,AVERAGE(Calculateur!$AC$3:$AC$33)*B6)</f>
        <v>62.451496028259463</v>
      </c>
      <c r="I6" s="149">
        <f>H6*(100%-'Données projet'!$C$24)*(100%-'Données projet'!$C$25)*(100%-'Données projet'!$C$26)*(100%-'Données projet'!$C$27)</f>
        <v>50.585711782890165</v>
      </c>
      <c r="J6" s="150">
        <f>IF(OR('Données projet'!B9="",'Données projet'!C9="",'Données projet'!C9=0%),0,SUM(Calculateur!$V$3:$V$33)*VLOOKUP('Données projet'!$B$9,Paramètres!$A$1:$I$89,9,0)*B6)</f>
        <v>311.41632000000004</v>
      </c>
      <c r="K6" s="151">
        <f>J6*(100%-'Données projet'!$C$24)*(100%-'Données projet'!$C$25)*(100%-'Données projet'!$C$26)*(100%-'Données projet'!$C$27)</f>
        <v>252.24721920000002</v>
      </c>
      <c r="L6" s="152">
        <f ca="1">G6+I6+K6</f>
        <v>1297.3374318974495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2.2300000000000004</v>
      </c>
      <c r="C7" s="147">
        <f ca="1">IF(OR('Données projet'!B10="",'Données projet'!C10="",'Données projet'!C10=0%),0,Calculateur!AN3)</f>
        <v>243.63945673917135</v>
      </c>
      <c r="D7" s="147">
        <f>IF(OR('Données projet'!B10="",'Données projet'!C10="",'Données projet'!C10=0%),0,Calculateur!AO3)</f>
        <v>213.14969914288025</v>
      </c>
      <c r="E7" s="147">
        <f t="shared" ref="E7:E15" ca="1" si="0">MIN(C7,D7)</f>
        <v>213.14969914288025</v>
      </c>
      <c r="F7" s="147">
        <f t="shared" ref="F7:F15" ca="1" si="1">E7*B7</f>
        <v>475.32382908862303</v>
      </c>
      <c r="G7" s="147">
        <f ca="1">F7*(100%-'Données projet'!$C$24)*(100%-'Données projet'!$C$25)*(100%-'Données projet'!$C$26)*(100%-'Données projet'!$C$27)</f>
        <v>385.01230156178468</v>
      </c>
      <c r="H7" s="155">
        <f>IF(OR('Données projet'!B10="",'Données projet'!C10="",'Données projet'!C10=0%),0,AVERAGE(Calculateur!$AX$3:$AX$33)*B7)</f>
        <v>6.4702970147063619</v>
      </c>
      <c r="I7" s="149">
        <f>H7*(100%-'Données projet'!$C$24)*(100%-'Données projet'!$C$25)*(100%-'Données projet'!$C$26)*(100%-'Données projet'!$C$27)</f>
        <v>5.2409405819121533</v>
      </c>
      <c r="J7" s="150">
        <f>IF(OR('Données projet'!B10="",'Données projet'!C10="",'Données projet'!C10=0%),0,SUM(Calculateur!$AQ$3:$AQ$33)*VLOOKUP('Données projet'!$B$10,Paramètres!$A$1:$I$89,9,0)*B7)</f>
        <v>47.964178000000011</v>
      </c>
      <c r="K7" s="151">
        <f>J7*(100%-'Données projet'!$C$24)*(100%-'Données projet'!$C$25)*(100%-'Données projet'!$C$26)*(100%-'Données projet'!$C$27)</f>
        <v>38.850984180000012</v>
      </c>
      <c r="L7" s="152">
        <f t="shared" ref="L7:L15" ca="1" si="2">G7+I7+K7</f>
        <v>429.10422632369682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Douglas</v>
      </c>
      <c r="B8" s="154">
        <f>'Données projet'!D11</f>
        <v>0.192</v>
      </c>
      <c r="C8" s="147">
        <f ca="1">IF(OR('Données projet'!B11="",'Données projet'!C11="",'Données projet'!C11=0%),0,Calculateur!BI3)</f>
        <v>357.2406649189378</v>
      </c>
      <c r="D8" s="147">
        <f>IF(OR('Données projet'!B11="",'Données projet'!C11="",'Données projet'!C11=0%),0,Calculateur!BJ3)</f>
        <v>353.47109765343811</v>
      </c>
      <c r="E8" s="147">
        <f t="shared" ca="1" si="0"/>
        <v>353.47109765343811</v>
      </c>
      <c r="F8" s="147">
        <f t="shared" ca="1" si="1"/>
        <v>67.866450749460114</v>
      </c>
      <c r="G8" s="147">
        <f ca="1">F8*(100%-'Données projet'!$C$24)*(100%-'Données projet'!$C$25)*(100%-'Données projet'!$C$26)*(100%-'Données projet'!$C$27)</f>
        <v>54.971825107062699</v>
      </c>
      <c r="H8" s="155">
        <f>IF(OR('Données projet'!B11="",'Données projet'!C11="",'Données projet'!C11=0%),0,AVERAGE(Calculateur!$BS$3:$BS$33)*B8)</f>
        <v>1.7479999901331125</v>
      </c>
      <c r="I8" s="149">
        <f>H8*(100%-'Données projet'!$C$24)*(100%-'Données projet'!$C$25)*(100%-'Données projet'!$C$26)*(100%-'Données projet'!$C$27)</f>
        <v>1.4158799920078213</v>
      </c>
      <c r="J8" s="150">
        <f>IF(OR('Données projet'!B11="",'Données projet'!C11="",'Données projet'!C11=0%),0,SUM(Calculateur!$BL$3:$BL$33)*VLOOKUP('Données projet'!$B$11,Paramètres!$A$1:$I$89,9,0)*B8)</f>
        <v>10.913606399999999</v>
      </c>
      <c r="K8" s="151">
        <f>J8*(100%-'Données projet'!$C$24)*(100%-'Données projet'!$C$25)*(100%-'Données projet'!$C$26)*(100%-'Données projet'!$C$27)</f>
        <v>8.8400211839999994</v>
      </c>
      <c r="L8" s="152">
        <f t="shared" ca="1" si="2"/>
        <v>65.227726283070524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1770.973614300502</v>
      </c>
      <c r="G16" s="166">
        <f t="shared" ca="1" si="3"/>
        <v>1434.4886275834065</v>
      </c>
      <c r="H16" s="167">
        <f t="shared" si="3"/>
        <v>70.669793033098941</v>
      </c>
      <c r="I16" s="167">
        <f t="shared" si="3"/>
        <v>57.242532356810145</v>
      </c>
      <c r="J16" s="168">
        <f t="shared" si="3"/>
        <v>370.29410440000004</v>
      </c>
      <c r="K16" s="168">
        <f t="shared" si="3"/>
        <v>299.93822456400005</v>
      </c>
      <c r="L16" s="169">
        <f t="shared" ca="1" si="3"/>
        <v>1791.6693845042169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Mélèze d'Europe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-5130.2579921948609</v>
      </c>
      <c r="U10" s="178">
        <f>'Données projet'!D9</f>
        <v>5.6580000000000004</v>
      </c>
      <c r="V10" s="177">
        <f>U10*T10</f>
        <v>-29026.999719838524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-6259.3953283441497</v>
      </c>
      <c r="U11" s="178">
        <f>'Données projet'!D10</f>
        <v>2.2300000000000004</v>
      </c>
      <c r="V11" s="177">
        <f t="shared" ref="V11" si="0">U11*T11</f>
        <v>-13958.451582207457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-4227.3791607071789</v>
      </c>
      <c r="U12" s="178">
        <f>'Données projet'!D11</f>
        <v>0.192</v>
      </c>
      <c r="V12" s="177">
        <f t="shared" ref="V12:V19" si="1">U12*T12</f>
        <v>-811.65679885577833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Mélèze d'Europe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6"/>
      <c r="H16" s="190"/>
      <c r="I16" s="191"/>
      <c r="J16" s="202"/>
      <c r="K16" s="208"/>
      <c r="L16" s="293" t="s">
        <v>254</v>
      </c>
      <c r="M16" s="294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1500+1350+(3010+3318.75)/'Données projet'!D9</f>
        <v>3968.5489572287024</v>
      </c>
      <c r="F17" s="230"/>
      <c r="G17" s="296"/>
      <c r="I17" s="195"/>
      <c r="J17" s="202"/>
      <c r="K17" s="208"/>
      <c r="L17" s="266" t="s">
        <v>289</v>
      </c>
      <c r="M17" s="268"/>
      <c r="N17" s="175">
        <f>VLOOKUP(N16,Calculateur!$A$2:$H$153,3,0)/VLOOKUP('Scénario référence'!$G$15,Paramètres!A1:I89,3,0)/VLOOKUP('Scénario référence'!$G$15,Paramètres!A1:I89,5,0)</f>
        <v>45.599999999999959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6"/>
      <c r="J18" s="202"/>
      <c r="K18" s="208"/>
      <c r="L18" s="266" t="s">
        <v>255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1425.2823435843052</v>
      </c>
      <c r="F19" s="230"/>
      <c r="G19" s="296"/>
      <c r="H19" s="212" t="s">
        <v>178</v>
      </c>
      <c r="I19" s="212" t="s">
        <v>287</v>
      </c>
      <c r="J19" s="93"/>
      <c r="K19" s="173"/>
      <c r="L19" s="293" t="s">
        <v>288</v>
      </c>
      <c r="M19" s="294"/>
      <c r="N19" s="179">
        <f>N17*N18</f>
        <v>227.9999999999998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6"/>
      <c r="H20" s="190">
        <v>1</v>
      </c>
      <c r="I20" s="191">
        <f>20+(400/'Données projet'!C5+20)+(200/'Données projet'!C5+10)</f>
        <v>124.25742574257427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54.752475247524757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18</v>
      </c>
      <c r="B23" s="181">
        <f>'Données projet'!D36</f>
        <v>20</v>
      </c>
      <c r="C23" s="193">
        <v>5</v>
      </c>
      <c r="D23" s="182">
        <f>B23*C23</f>
        <v>100</v>
      </c>
      <c r="E23" s="193"/>
      <c r="F23" s="230"/>
      <c r="H23" s="190">
        <v>4</v>
      </c>
      <c r="I23" s="191">
        <v>20</v>
      </c>
      <c r="K23" s="208"/>
      <c r="L23" s="295" t="s">
        <v>260</v>
      </c>
      <c r="M23" s="295"/>
      <c r="N23" s="295"/>
      <c r="O23" s="23"/>
      <c r="P23" s="23"/>
      <c r="Q23" s="234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-51444.627793311898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21</v>
      </c>
      <c r="B24" s="181">
        <f>'Données projet'!D37</f>
        <v>26</v>
      </c>
      <c r="C24" s="193">
        <v>5</v>
      </c>
      <c r="D24" s="182">
        <f t="shared" ref="D24:D42" si="2">B24*C24</f>
        <v>130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575.48228217821782</v>
      </c>
      <c r="K24" s="208"/>
      <c r="O24" s="23"/>
      <c r="P24" s="23"/>
      <c r="Q24" s="234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99.811911587483664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29</v>
      </c>
      <c r="C25" s="193">
        <v>5</v>
      </c>
      <c r="D25" s="182">
        <f t="shared" si="2"/>
        <v>145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0">
        <f ca="1">T23-T24</f>
        <v>-51544.439704899385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53</v>
      </c>
      <c r="C26" s="193">
        <v>5</v>
      </c>
      <c r="D26" s="182">
        <f t="shared" si="2"/>
        <v>265</v>
      </c>
      <c r="E26" s="193"/>
      <c r="F26" s="233"/>
      <c r="G26" s="229"/>
      <c r="H26" s="190">
        <v>7</v>
      </c>
      <c r="I26" s="191">
        <v>20</v>
      </c>
      <c r="K26" s="208"/>
      <c r="L26" s="297" t="s">
        <v>258</v>
      </c>
      <c r="M26" s="298"/>
      <c r="N26" s="298"/>
      <c r="O26" s="298"/>
      <c r="P26" s="299"/>
      <c r="Q26" s="234"/>
      <c r="R26" s="23"/>
      <c r="S26" s="186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36</v>
      </c>
      <c r="B27" s="181">
        <f>'Données projet'!D40</f>
        <v>62</v>
      </c>
      <c r="C27" s="193">
        <v>5</v>
      </c>
      <c r="D27" s="182">
        <f t="shared" si="2"/>
        <v>310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42</v>
      </c>
      <c r="B28" s="181">
        <f>'Données projet'!D41</f>
        <v>67</v>
      </c>
      <c r="C28" s="193">
        <v>22.5</v>
      </c>
      <c r="D28" s="182">
        <f t="shared" si="2"/>
        <v>1507.5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48</v>
      </c>
      <c r="B29" s="181">
        <f>'Données projet'!D42</f>
        <v>65</v>
      </c>
      <c r="C29" s="193">
        <v>22.5</v>
      </c>
      <c r="D29" s="182">
        <f t="shared" si="2"/>
        <v>1462.5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304</v>
      </c>
      <c r="C30" s="193">
        <v>29.5</v>
      </c>
      <c r="D30" s="182">
        <f t="shared" si="2"/>
        <v>8968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56103.710500000001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1769.6000000000001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59373.3105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1500+1350+(1632+2400)/'Données projet'!D10</f>
        <v>4658.0717488789232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1528.7107623318384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50.02</v>
      </c>
      <c r="C54" s="191">
        <v>8.5</v>
      </c>
      <c r="D54" s="179">
        <f>B54*C54</f>
        <v>425.17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32</v>
      </c>
      <c r="B55" s="181">
        <f>'Données projet'!D63</f>
        <v>45.68</v>
      </c>
      <c r="C55" s="191">
        <v>15.5</v>
      </c>
      <c r="D55" s="179">
        <f t="shared" ref="D55:D73" si="4">B55*C55</f>
        <v>708.04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57.27</v>
      </c>
      <c r="C56" s="191">
        <v>15.5</v>
      </c>
      <c r="D56" s="179">
        <f t="shared" si="4"/>
        <v>887.68500000000006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69.17</v>
      </c>
      <c r="C57" s="191">
        <v>15.5</v>
      </c>
      <c r="D57" s="179">
        <f t="shared" si="4"/>
        <v>1072.135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63.69</v>
      </c>
      <c r="C58" s="191">
        <v>29.5</v>
      </c>
      <c r="D58" s="179">
        <f t="shared" si="4"/>
        <v>1878.855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69.790000000000006</v>
      </c>
      <c r="C59" s="191">
        <v>29.5</v>
      </c>
      <c r="D59" s="179">
        <f t="shared" si="4"/>
        <v>2058.8050000000003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400.15</v>
      </c>
      <c r="C60" s="191">
        <v>29.5</v>
      </c>
      <c r="D60" s="179">
        <f t="shared" si="4"/>
        <v>11804.424999999999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1500+1350+1550*(0.7+0.75)</f>
        <v>5097.5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1594.625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21</v>
      </c>
      <c r="B85" s="181">
        <f>'Données projet'!D88</f>
        <v>64.58</v>
      </c>
      <c r="C85" s="191">
        <v>11</v>
      </c>
      <c r="D85" s="179">
        <f>B85*C85</f>
        <v>710.38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28</v>
      </c>
      <c r="B86" s="181">
        <f>'Données projet'!D89</f>
        <v>67.61</v>
      </c>
      <c r="C86" s="191">
        <v>11</v>
      </c>
      <c r="D86" s="179">
        <f t="shared" ref="D86:D104" si="6">B86*C86</f>
        <v>743.71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35</v>
      </c>
      <c r="B87" s="181">
        <f>'Données projet'!D90</f>
        <v>86.68</v>
      </c>
      <c r="C87" s="191">
        <v>23</v>
      </c>
      <c r="D87" s="179">
        <f t="shared" si="6"/>
        <v>1993.64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42</v>
      </c>
      <c r="B88" s="181">
        <f>'Données projet'!D91</f>
        <v>99.98</v>
      </c>
      <c r="C88" s="191">
        <v>23</v>
      </c>
      <c r="D88" s="179">
        <f t="shared" si="6"/>
        <v>2299.54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49</v>
      </c>
      <c r="B89" s="181">
        <f>'Données projet'!D92</f>
        <v>112.61</v>
      </c>
      <c r="C89" s="191">
        <v>23</v>
      </c>
      <c r="D89" s="179">
        <f t="shared" si="6"/>
        <v>2590.0300000000002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56</v>
      </c>
      <c r="B90" s="181">
        <f>'Données projet'!D93</f>
        <v>94.57</v>
      </c>
      <c r="C90" s="191">
        <v>47</v>
      </c>
      <c r="D90" s="179">
        <f t="shared" si="6"/>
        <v>4444.79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63</v>
      </c>
      <c r="B91" s="181">
        <f>'Données projet'!D94</f>
        <v>99.49</v>
      </c>
      <c r="C91" s="191">
        <v>47</v>
      </c>
      <c r="D91" s="179">
        <f t="shared" si="6"/>
        <v>4676.03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70</v>
      </c>
      <c r="B92" s="181">
        <f>'Données projet'!D95</f>
        <v>586.05999999999995</v>
      </c>
      <c r="C92" s="191">
        <v>47</v>
      </c>
      <c r="D92" s="179">
        <f t="shared" si="6"/>
        <v>27544.819999999996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2025-05-07T08:55:26Z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