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"/>
    </mc:Choice>
  </mc:AlternateContent>
  <xr:revisionPtr revIDLastSave="0" documentId="13_ncr:1_{8CB38281-0DC2-8A45-932E-5276F934CDCF}" xr6:coauthVersionLast="47" xr6:coauthVersionMax="47" xr10:uidLastSave="{00000000-0000-0000-0000-000000000000}"/>
  <bookViews>
    <workbookView xWindow="0" yWindow="760" windowWidth="30240" windowHeight="188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6" l="1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I20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<sst xmlns="http://schemas.openxmlformats.org/spreadsheetml/2006/main" count="1173" uniqueCount="326">
  <si>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</si>
  <si>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</si>
  <si>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</si>
  <si>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</si>
  <si>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</si>
  <si>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</si>
  <si>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</si>
  <si>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</si>
  <si>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</si>
  <si>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</si>
  <si>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</si>
  <si>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</si>
  <si>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</si>
  <si>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</si>
  <si>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</si>
  <si>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</si>
  <si>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</si>
  <si>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</si>
  <si>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</si>
  <si>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</si>
  <si>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</si>
  <si>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</si>
  <si>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</si>
  <si>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</si>
  <si>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</si>
  <si>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</si>
  <si>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</si>
  <si>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</si>
  <si>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</si>
  <si>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</si>
  <si>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</si>
  <si>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</si>
  <si>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</si>
  <si>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</si>
  <si>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</si>
  <si>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</si>
  <si>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</si>
  <si>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</si>
  <si>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</si>
  <si>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</si>
  <si>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</si>
  <si>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</si>
  <si>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</si>
  <si>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</si>
  <si>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</si>
  <si>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</si>
  <si>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</si>
  <si>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</si>
  <si>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</si>
  <si>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</si>
  <si>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</si>
  <si>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</si>
  <si>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</si>
  <si>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</si>
  <si>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</si>
  <si>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</si>
  <si>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</si>
  <si>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</si>
  <si>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</si>
  <si>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</si>
  <si>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</si>
  <si>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</si>
  <si>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</si>
  <si>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</si>
  <si>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</si>
  <si>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</si>
  <si>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</si>
  <si>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</si>
  <si>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</si>
  <si>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</si>
  <si>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</si>
  <si>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</si>
  <si>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</si>
  <si>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</si>
  <si>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</si>
  <si>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</si>
  <si>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</si>
  <si>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</si>
  <si>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</si>
  <si>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</si>
  <si>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</si>
  <si>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</si>
  <si>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</si>
  <si>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</si>
  <si>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</si>
  <si>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</si>
  <si>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</si>
  <si>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</si>
  <si>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</si>
  <si>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</si>
  <si>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</si>
  <si>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</si>
  <si>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</si>
  <si>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</si>
  <si>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</si>
  <si>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</si>
  <si>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</si>
  <si>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</si>
  <si>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</si>
  <si>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</si>
  <si>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</si>
  <si>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</si>
  <si>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</si>
  <si>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</si>
  <si>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</si>
  <si>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</si>
  <si>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</si>
  <si>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</si>
  <si>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</si>
  <si>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</si>
  <si>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</si>
  <si>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</si>
  <si>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</si>
  <si>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</si>
  <si>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</si>
  <si>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</si>
  <si>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</si>
  <si>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</si>
  <si>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</si>
  <si>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</si>
  <si>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</si>
  <si>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</si>
  <si>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</si>
  <si>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</si>
  <si>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</si>
  <si>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</si>
  <si>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</si>
  <si>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</si>
  <si>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</si>
  <si>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</si>
  <si>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</si>
  <si>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</si>
  <si>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</si>
  <si>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</si>
  <si>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</si>
  <si>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</si>
  <si>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</si>
  <si>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</si>
  <si>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</si>
  <si>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</si>
  <si>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</si>
  <si>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</si>
  <si>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</si>
  <si>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</si>
  <si>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</si>
  <si>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</si>
  <si>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</si>
  <si>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</si>
  <si>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</si>
  <si>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</si>
  <si>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</si>
  <si>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</si>
  <si>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</si>
  <si>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</si>
  <si>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</si>
  <si>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</si>
  <si>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</si>
  <si>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</si>
  <si>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</si>
  <si>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</si>
  <si>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</si>
  <si>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</si>
  <si>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</si>
  <si>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</si>
  <si>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</si>
  <si>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</si>
  <si>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</si>
  <si>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</si>
  <si>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</si>
  <si>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</si>
  <si>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</si>
  <si>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</si>
  <si>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</si>
  <si>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</si>
  <si>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</si>
  <si>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</si>
  <si>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</si>
  <si>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</si>
  <si>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</si>
  <si>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</si>
  <si>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</si>
  <si>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</si>
  <si>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</si>
  <si>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</si>
  <si>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</si>
  <si>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</si>
  <si>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</si>
  <si>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</si>
  <si>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</si>
  <si>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</si>
  <si>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</si>
  <si>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</si>
  <si>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</si>
  <si>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</si>
  <si>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</si>
  <si>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</si>
  <si>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</si>
  <si>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</si>
  <si>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</si>
  <si>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</si>
  <si>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</si>
  <si>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</si>
  <si>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</si>
  <si>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</si>
  <si>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</si>
  <si>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</si>
  <si>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</si>
  <si>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</si>
  <si>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</si>
  <si>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</si>
  <si>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</si>
  <si>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</si>
  <si>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</si>
  <si>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</si>
  <si>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</si>
  <si>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</si>
  <si>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</si>
  <si>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</si>
  <si>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</si>
  <si>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</si>
  <si>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</si>
  <si>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</si>
  <si>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</si>
  <si>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</si>
  <si>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</si>
  <si>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</si>
  <si>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</si>
  <si>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</si>
  <si>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</si>
  <si>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</si>
  <si>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</si>
  <si>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</si>
  <si>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</si>
  <si>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</si>
  <si>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</si>
  <si>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</si>
  <si>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</si>
  <si>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</si>
  <si>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</si>
  <si>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</si>
  <si>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</si>
  <si>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</si>
  <si>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</si>
  <si>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</si>
  <si>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</si>
  <si>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</si>
  <si>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</si>
  <si>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</si>
  <si>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</si>
  <si>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</si>
  <si>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</si>
  <si>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</si>
  <si>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</si>
  <si>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</si>
  <si>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</si>
  <si>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</si>
  <si>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</si>
  <si>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</si>
  <si>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</si>
  <si>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</si>
  <si>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</si>
  <si>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</si>
  <si>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</si>
  <si>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</si>
  <si>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</si>
  <si>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</si>
  <si>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</si>
  <si>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</si>
  <si>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</si>
  <si>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</si>
  <si>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</si>
  <si>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</si>
  <si>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</si>
  <si>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</si>
  <si>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</si>
  <si>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</si>
  <si>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</si>
  <si>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</si>
  <si>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</si>
  <si>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</si>
  <si>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</si>
  <si>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</si>
  <si>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</si>
  <si>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</si>
  <si>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</si>
  <si>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</si>
  <si>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</si>
  <si>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</si>
  <si>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</si>
  <si>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</si>
  <si>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</si>
  <si>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</si>
  <si>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</si>
  <si>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</si>
  <si>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</si>
  <si>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</si>
  <si>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</si>
  <si>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</si>
  <si>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</si>
  <si>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</si>
  <si>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</si>
  <si>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</si>
  <si>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</si>
  <si>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</si>
  <si>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</si>
  <si>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</si>
  <si>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</si>
  <si>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</si>
  <si>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</si>
  <si>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</si>
  <si>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</si>
  <si>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</si>
  <si>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</si>
  <si>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</si>
  <si>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</si>
  <si>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</si>
  <si>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</si>
  <si>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</si>
  <si>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</si>
  <si>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</si>
  <si>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</si>
  <si>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</si>
  <si>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</si>
  <si>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</si>
  <si>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National Classe 3(2/3/4) Moyenne scénario 1100 t/ha</t>
  </si>
  <si>
    <t>Oosterband (Hollande) éq. Chêne Pédonculé Classe 6(3/4/5/6/7/8/9) 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</si>
</sst>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3.2013545215281631</c:v>
                </c:pt>
                <c:pt idx="2">
                  <c:v>3.975083519455092</c:v>
                </c:pt>
                <c:pt idx="3">
                  <c:v>4.9365265690177713</c:v>
                </c:pt>
                <c:pt idx="4">
                  <c:v>6.1313877975862825</c:v>
                </c:pt>
                <c:pt idx="5">
                  <c:v>7.6165363309343919</c:v>
                </c:pt>
                <c:pt idx="6">
                  <c:v>9.4627421838924644</c:v>
                </c:pt>
                <c:pt idx="7">
                  <c:v>11.758084459033951</c:v>
                </c:pt>
                <c:pt idx="8">
                  <c:v>14.612197492265354</c:v>
                </c:pt>
                <c:pt idx="9">
                  <c:v>18.161561489451767</c:v>
                </c:pt>
                <c:pt idx="10">
                  <c:v>22.576095226778609</c:v>
                </c:pt>
                <c:pt idx="11">
                  <c:v>28.067372049582474</c:v>
                </c:pt>
                <c:pt idx="12">
                  <c:v>34.898859833525911</c:v>
                </c:pt>
                <c:pt idx="13">
                  <c:v>43.398684680485282</c:v>
                </c:pt>
                <c:pt idx="14">
                  <c:v>53.975541793951841</c:v>
                </c:pt>
                <c:pt idx="15">
                  <c:v>67.138531314061879</c:v>
                </c:pt>
                <c:pt idx="16">
                  <c:v>79.716765984526432</c:v>
                </c:pt>
                <c:pt idx="17">
                  <c:v>92.244595844645289</c:v>
                </c:pt>
                <c:pt idx="18">
                  <c:v>104.72985124964315</c:v>
                </c:pt>
                <c:pt idx="19">
                  <c:v>117.17833344816485</c:v>
                </c:pt>
                <c:pt idx="20">
                  <c:v>129.59450566158588</c:v>
                </c:pt>
                <c:pt idx="21">
                  <c:v>119.84152926671668</c:v>
                </c:pt>
                <c:pt idx="22">
                  <c:v>134.46424353098067</c:v>
                </c:pt>
                <c:pt idx="23">
                  <c:v>149.04862274326868</c:v>
                </c:pt>
                <c:pt idx="24">
                  <c:v>163.59894980144816</c:v>
                </c:pt>
                <c:pt idx="25">
                  <c:v>178.11868194628323</c:v>
                </c:pt>
                <c:pt idx="26">
                  <c:v>160.51517972277688</c:v>
                </c:pt>
                <c:pt idx="27">
                  <c:v>175.92057051227542</c:v>
                </c:pt>
                <c:pt idx="28">
                  <c:v>191.29429384952866</c:v>
                </c:pt>
                <c:pt idx="29">
                  <c:v>206.63925413557971</c:v>
                </c:pt>
                <c:pt idx="30">
                  <c:v>221.95788870113014</c:v>
                </c:pt>
                <c:pt idx="31">
                  <c:v>200.94289182717046</c:v>
                </c:pt>
                <c:pt idx="32">
                  <c:v>217.14616554866123</c:v>
                </c:pt>
                <c:pt idx="33">
                  <c:v>233.32164253354551</c:v>
                </c:pt>
                <c:pt idx="34">
                  <c:v>249.47152135339448</c:v>
                </c:pt>
                <c:pt idx="35">
                  <c:v>265.59769251928265</c:v>
                </c:pt>
                <c:pt idx="36">
                  <c:v>240.30839815246273</c:v>
                </c:pt>
                <c:pt idx="37">
                  <c:v>256.44780875667249</c:v>
                </c:pt>
                <c:pt idx="38">
                  <c:v>272.5642493587099</c:v>
                </c:pt>
                <c:pt idx="39">
                  <c:v>288.65926934113531</c:v>
                </c:pt>
                <c:pt idx="40">
                  <c:v>304.73423115701877</c:v>
                </c:pt>
                <c:pt idx="41">
                  <c:v>277.35142797945304</c:v>
                </c:pt>
                <c:pt idx="42">
                  <c:v>293.44034996889724</c:v>
                </c:pt>
                <c:pt idx="43">
                  <c:v>309.50958762804549</c:v>
                </c:pt>
                <c:pt idx="44">
                  <c:v>325.56030671869604</c:v>
                </c:pt>
                <c:pt idx="45">
                  <c:v>341.59354866525376</c:v>
                </c:pt>
                <c:pt idx="46">
                  <c:v>312.54759725153446</c:v>
                </c:pt>
                <c:pt idx="47">
                  <c:v>329.02840087393741</c:v>
                </c:pt>
                <c:pt idx="48">
                  <c:v>345.49099163191642</c:v>
                </c:pt>
                <c:pt idx="49">
                  <c:v>361.93635936439591</c:v>
                </c:pt>
                <c:pt idx="50">
                  <c:v>378.36539662842591</c:v>
                </c:pt>
                <c:pt idx="51">
                  <c:v>346.35695848873138</c:v>
                </c:pt>
                <c:pt idx="52">
                  <c:v>361.93635936439574</c:v>
                </c:pt>
                <c:pt idx="53">
                  <c:v>377.50110417225505</c:v>
                </c:pt>
                <c:pt idx="54">
                  <c:v>393.05188217941821</c:v>
                </c:pt>
                <c:pt idx="55">
                  <c:v>408.58932367001074</c:v>
                </c:pt>
                <c:pt idx="56">
                  <c:v>376.63676862375206</c:v>
                </c:pt>
                <c:pt idx="57">
                  <c:v>392.18830551891324</c:v>
                </c:pt>
                <c:pt idx="58">
                  <c:v>407.72647230225516</c:v>
                </c:pt>
                <c:pt idx="59">
                  <c:v>423.2518501321984</c:v>
                </c:pt>
                <c:pt idx="60">
                  <c:v>438.76497406308459</c:v>
                </c:pt>
                <c:pt idx="61">
                  <c:v>406.43212123270081</c:v>
                </c:pt>
                <c:pt idx="62">
                  <c:v>421.527422697134</c:v>
                </c:pt>
                <c:pt idx="63">
                  <c:v>436.61108755732977</c:v>
                </c:pt>
                <c:pt idx="64">
                  <c:v>451.68357434526939</c:v>
                </c:pt>
                <c:pt idx="65">
                  <c:v>466.74530850225352</c:v>
                </c:pt>
                <c:pt idx="66">
                  <c:v>433.59526300436556</c:v>
                </c:pt>
                <c:pt idx="67">
                  <c:v>447.80883549913892</c:v>
                </c:pt>
                <c:pt idx="68">
                  <c:v>462.0127547557633</c:v>
                </c:pt>
                <c:pt idx="69">
                  <c:v>476.20735929225475</c:v>
                </c:pt>
                <c:pt idx="70">
                  <c:v>490.39296580436979</c:v>
                </c:pt>
                <c:pt idx="71">
                  <c:v>457.27916621968069</c:v>
                </c:pt>
                <c:pt idx="72">
                  <c:v>471.47683944067609</c:v>
                </c:pt>
                <c:pt idx="73">
                  <c:v>485.66541136738351</c:v>
                </c:pt>
                <c:pt idx="74">
                  <c:v>499.84518527975439</c:v>
                </c:pt>
                <c:pt idx="75">
                  <c:v>514.0164458520336</c:v>
                </c:pt>
                <c:pt idx="76">
                  <c:v>480.07704059887783</c:v>
                </c:pt>
                <c:pt idx="77">
                  <c:v>493.40090557274078</c:v>
                </c:pt>
                <c:pt idx="78">
                  <c:v>506.71714576007918</c:v>
                </c:pt>
                <c:pt idx="79">
                  <c:v>520.02598972417468</c:v>
                </c:pt>
                <c:pt idx="80">
                  <c:v>533.32765337796275</c:v>
                </c:pt>
                <c:pt idx="81">
                  <c:v>500.70428912785269</c:v>
                </c:pt>
                <c:pt idx="82">
                  <c:v>513.15781891487723</c:v>
                </c:pt>
                <c:pt idx="83">
                  <c:v>525.60496890923457</c:v>
                </c:pt>
                <c:pt idx="84">
                  <c:v>538.04591145801066</c:v>
                </c:pt>
                <c:pt idx="85">
                  <c:v>550.48081028975685</c:v>
                </c:pt>
                <c:pt idx="86">
                  <c:v>519.59678538037394</c:v>
                </c:pt>
                <c:pt idx="87">
                  <c:v>531.61170588461891</c:v>
                </c:pt>
                <c:pt idx="88">
                  <c:v>543.62091435600757</c:v>
                </c:pt>
                <c:pt idx="89">
                  <c:v>555.62455474096134</c:v>
                </c:pt>
                <c:pt idx="90">
                  <c:v>567.62276426035055</c:v>
                </c:pt>
                <c:pt idx="91">
                  <c:v>536.33028230526634</c:v>
                </c:pt>
                <c:pt idx="92">
                  <c:v>547.90856070800544</c:v>
                </c:pt>
                <c:pt idx="93">
                  <c:v>559.4817079428916</c:v>
                </c:pt>
                <c:pt idx="94">
                  <c:v>571.0498450920021</c:v>
                </c:pt>
                <c:pt idx="95">
                  <c:v>582.61308793264277</c:v>
                </c:pt>
                <c:pt idx="96">
                  <c:v>552.19550325198713</c:v>
                </c:pt>
                <c:pt idx="97">
                  <c:v>562.48133093262652</c:v>
                </c:pt>
                <c:pt idx="98">
                  <c:v>572.76322420699773</c:v>
                </c:pt>
                <c:pt idx="99">
                  <c:v>583.04126365372724</c:v>
                </c:pt>
                <c:pt idx="100">
                  <c:v>593.31552677912634</c:v>
                </c:pt>
                <c:pt idx="101">
                  <c:v>565.05216990003044</c:v>
                </c:pt>
                <c:pt idx="102">
                  <c:v>575.333092286274</c:v>
                </c:pt>
                <c:pt idx="103">
                  <c:v>585.6101805026459</c:v>
                </c:pt>
                <c:pt idx="104">
                  <c:v>595.88351131434899</c:v>
                </c:pt>
                <c:pt idx="105">
                  <c:v>606.15315862414252</c:v>
                </c:pt>
                <c:pt idx="106">
                  <c:v>579.18744549675682</c:v>
                </c:pt>
                <c:pt idx="107">
                  <c:v>588.60695345087686</c:v>
                </c:pt>
                <c:pt idx="108">
                  <c:v>598.02332252750409</c:v>
                </c:pt>
                <c:pt idx="109">
                  <c:v>607.43660911597499</c:v>
                </c:pt>
                <c:pt idx="110">
                  <c:v>616.84686771553959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7.2578049099580646</c:v>
                </c:pt>
                <c:pt idx="2">
                  <c:v>14.190651667141474</c:v>
                </c:pt>
                <c:pt idx="3">
                  <c:v>21.018553252857533</c:v>
                </c:pt>
                <c:pt idx="4">
                  <c:v>27.781764193076338</c:v>
                </c:pt>
                <c:pt idx="5">
                  <c:v>34.49852915859816</c:v>
                </c:pt>
                <c:pt idx="6">
                  <c:v>41.179255671383721</c:v>
                </c:pt>
                <c:pt idx="7">
                  <c:v>47.830653058428474</c:v>
                </c:pt>
                <c:pt idx="8">
                  <c:v>54.457394630868727</c:v>
                </c:pt>
                <c:pt idx="9">
                  <c:v>61.062915331839015</c:v>
                </c:pt>
                <c:pt idx="10">
                  <c:v>67.649842003469175</c:v>
                </c:pt>
                <c:pt idx="11">
                  <c:v>74.220245717796288</c:v>
                </c:pt>
                <c:pt idx="12">
                  <c:v>80.775799390145536</c:v>
                </c:pt>
                <c:pt idx="13">
                  <c:v>87.317881217172769</c:v>
                </c:pt>
                <c:pt idx="14">
                  <c:v>93.847645320596328</c:v>
                </c:pt>
                <c:pt idx="15">
                  <c:v>100.36607160503483</c:v>
                </c:pt>
                <c:pt idx="16">
                  <c:v>106.87400192946065</c:v>
                </c:pt>
                <c:pt idx="17">
                  <c:v>113.3721669727218</c:v>
                </c:pt>
                <c:pt idx="18">
                  <c:v>119.86120659538057</c:v>
                </c:pt>
                <c:pt idx="19">
                  <c:v>126.3416855469756</c:v>
                </c:pt>
                <c:pt idx="20">
                  <c:v>132.81410577215675</c:v>
                </c:pt>
                <c:pt idx="21">
                  <c:v>139.27891618564885</c:v>
                </c:pt>
                <c:pt idx="22">
                  <c:v>145.7365205325641</c:v>
                </c:pt>
                <c:pt idx="23">
                  <c:v>152.18728377916722</c:v>
                </c:pt>
                <c:pt idx="24">
                  <c:v>158.631537360843</c:v>
                </c:pt>
                <c:pt idx="25">
                  <c:v>165.06958353075512</c:v>
                </c:pt>
                <c:pt idx="26">
                  <c:v>171.50169899313482</c:v>
                </c:pt>
                <c:pt idx="27">
                  <c:v>177.92813796187917</c:v>
                </c:pt>
                <c:pt idx="28">
                  <c:v>184.34913475328611</c:v>
                </c:pt>
                <c:pt idx="29">
                  <c:v>190.76490599799027</c:v>
                </c:pt>
                <c:pt idx="30">
                  <c:v>197.1756525392324</c:v>
                </c:pt>
                <c:pt idx="31">
                  <c:v>203.58156107091631</c:v>
                </c:pt>
                <c:pt idx="32">
                  <c:v>209.98280555836664</c:v>
                </c:pt>
                <c:pt idx="33">
                  <c:v>216.37954847650238</c:v>
                </c:pt>
                <c:pt idx="34">
                  <c:v>222.77194189371221</c:v>
                </c:pt>
                <c:pt idx="35">
                  <c:v>229.16012842463203</c:v>
                </c:pt>
                <c:pt idx="36">
                  <c:v>235.54424207097281</c:v>
                </c:pt>
                <c:pt idx="37">
                  <c:v>241.92440896629682</c:v>
                </c:pt>
                <c:pt idx="38">
                  <c:v>248.30074803801315</c:v>
                </c:pt>
                <c:pt idx="39">
                  <c:v>254.6733715977293</c:v>
                </c:pt>
                <c:pt idx="40">
                  <c:v>261.04238586935008</c:v>
                </c:pt>
                <c:pt idx="41">
                  <c:v>267.40789146288012</c:v>
                </c:pt>
                <c:pt idx="42">
                  <c:v>273.76998380070035</c:v>
                </c:pt>
                <c:pt idx="43">
                  <c:v>280.12875350210294</c:v>
                </c:pt>
                <c:pt idx="44">
                  <c:v>286.48428673104786</c:v>
                </c:pt>
                <c:pt idx="45">
                  <c:v>292.8366655114134</c:v>
                </c:pt>
                <c:pt idx="46">
                  <c:v>299.18596801343546</c:v>
                </c:pt>
                <c:pt idx="47">
                  <c:v>305.53226881453571</c:v>
                </c:pt>
                <c:pt idx="48">
                  <c:v>311.87563913732487</c:v>
                </c:pt>
                <c:pt idx="49">
                  <c:v>318.21614706721363</c:v>
                </c:pt>
                <c:pt idx="50">
                  <c:v>324.55385775175705</c:v>
                </c:pt>
                <c:pt idx="51">
                  <c:v>330.88883358360027</c:v>
                </c:pt>
                <c:pt idx="52">
                  <c:v>242.84582202096098</c:v>
                </c:pt>
                <c:pt idx="53">
                  <c:v>255.11493587240568</c:v>
                </c:pt>
                <c:pt idx="54">
                  <c:v>267.37069905473982</c:v>
                </c:pt>
                <c:pt idx="55">
                  <c:v>279.61381001996523</c:v>
                </c:pt>
                <c:pt idx="56">
                  <c:v>291.84490102960513</c:v>
                </c:pt>
                <c:pt idx="57">
                  <c:v>304.06454699793903</c:v>
                </c:pt>
                <c:pt idx="58">
                  <c:v>316.27327283839895</c:v>
                </c:pt>
                <c:pt idx="59">
                  <c:v>328.47155961566824</c:v>
                </c:pt>
                <c:pt idx="60">
                  <c:v>340.65984973569317</c:v>
                </c:pt>
                <c:pt idx="61">
                  <c:v>352.83855135380367</c:v>
                </c:pt>
                <c:pt idx="62">
                  <c:v>365.00804214221148</c:v>
                </c:pt>
                <c:pt idx="63">
                  <c:v>377.168672528679</c:v>
                </c:pt>
                <c:pt idx="64">
                  <c:v>274.40485678736786</c:v>
                </c:pt>
                <c:pt idx="65">
                  <c:v>285.61751551336295</c:v>
                </c:pt>
                <c:pt idx="66">
                  <c:v>296.82032489091381</c:v>
                </c:pt>
                <c:pt idx="67">
                  <c:v>308.01370923446171</c:v>
                </c:pt>
                <c:pt idx="68">
                  <c:v>319.19805948534673</c:v>
                </c:pt>
                <c:pt idx="69">
                  <c:v>330.37373693916743</c:v>
                </c:pt>
                <c:pt idx="70">
                  <c:v>341.54107644218203</c:v>
                </c:pt>
                <c:pt idx="71">
                  <c:v>352.70038914763268</c:v>
                </c:pt>
                <c:pt idx="72">
                  <c:v>363.85196490487368</c:v>
                </c:pt>
                <c:pt idx="73">
                  <c:v>374.99607434021169</c:v>
                </c:pt>
                <c:pt idx="74">
                  <c:v>386.13297067740183</c:v>
                </c:pt>
                <c:pt idx="75">
                  <c:v>397.26289133710134</c:v>
                </c:pt>
                <c:pt idx="76">
                  <c:v>315.19947743069849</c:v>
                </c:pt>
                <c:pt idx="77">
                  <c:v>325.47025882589389</c:v>
                </c:pt>
                <c:pt idx="78">
                  <c:v>335.73388097490619</c:v>
                </c:pt>
                <c:pt idx="79">
                  <c:v>345.99059370648024</c:v>
                </c:pt>
                <c:pt idx="80">
                  <c:v>356.24063082093329</c:v>
                </c:pt>
                <c:pt idx="81">
                  <c:v>366.48421156004224</c:v>
                </c:pt>
                <c:pt idx="82">
                  <c:v>376.72154190394917</c:v>
                </c:pt>
                <c:pt idx="83">
                  <c:v>386.95281571968491</c:v>
                </c:pt>
                <c:pt idx="84">
                  <c:v>397.17821578184822</c:v>
                </c:pt>
                <c:pt idx="85">
                  <c:v>407.39791468265798</c:v>
                </c:pt>
                <c:pt idx="86">
                  <c:v>417.61207564590626</c:v>
                </c:pt>
                <c:pt idx="87">
                  <c:v>427.82085325710796</c:v>
                </c:pt>
                <c:pt idx="88">
                  <c:v>346.17544245653244</c:v>
                </c:pt>
                <c:pt idx="89">
                  <c:v>355.43677926715168</c:v>
                </c:pt>
                <c:pt idx="90">
                  <c:v>364.69283190482179</c:v>
                </c:pt>
                <c:pt idx="91">
                  <c:v>373.94375347059849</c:v>
                </c:pt>
                <c:pt idx="92">
                  <c:v>383.18968886818521</c:v>
                </c:pt>
                <c:pt idx="93">
                  <c:v>392.43077543433247</c:v>
                </c:pt>
                <c:pt idx="94">
                  <c:v>401.66714350673755</c:v>
                </c:pt>
                <c:pt idx="95">
                  <c:v>410.89891693696637</c:v>
                </c:pt>
                <c:pt idx="96">
                  <c:v>420.1262135548609</c:v>
                </c:pt>
                <c:pt idx="97">
                  <c:v>429.34914559000839</c:v>
                </c:pt>
                <c:pt idx="98">
                  <c:v>438.56782005509808</c:v>
                </c:pt>
                <c:pt idx="99">
                  <c:v>447.78233909535862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135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8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12</v>
      </c>
      <c r="C9" s="35">
        <v>0.5</v>
      </c>
      <c r="D9" s="36">
        <f t="shared" ref="D9:D18" si="0">C9*$C$5</f>
        <v>4</v>
      </c>
      <c r="E9" s="37">
        <v>110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164</v>
      </c>
      <c r="C10" s="35">
        <v>0.5</v>
      </c>
      <c r="D10" s="36">
        <f t="shared" si="0"/>
        <v>4</v>
      </c>
      <c r="E10" s="37">
        <v>99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324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 t="s">
        <v>325</v>
      </c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8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pubescent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15</v>
      </c>
      <c r="B36" s="63">
        <v>29</v>
      </c>
      <c r="C36" s="63">
        <v>1</v>
      </c>
      <c r="D36" s="63">
        <v>0</v>
      </c>
      <c r="E36" s="54">
        <v>0</v>
      </c>
      <c r="F36" s="54"/>
      <c r="G36" s="54"/>
      <c r="H36" s="54">
        <v>1</v>
      </c>
      <c r="I36" s="52">
        <f>IFERROR(B36/A36,"")</f>
        <v>1.9333333333333333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20</v>
      </c>
      <c r="B37" s="63">
        <v>57</v>
      </c>
      <c r="C37" s="63">
        <v>2</v>
      </c>
      <c r="D37" s="63">
        <v>11</v>
      </c>
      <c r="E37" s="54">
        <v>0</v>
      </c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25</v>
      </c>
      <c r="B38" s="63">
        <v>79</v>
      </c>
      <c r="C38" s="63">
        <v>3</v>
      </c>
      <c r="D38" s="63">
        <v>15</v>
      </c>
      <c r="E38" s="54">
        <v>0</v>
      </c>
      <c r="F38" s="54"/>
      <c r="G38" s="54"/>
      <c r="H38" s="54">
        <v>1</v>
      </c>
      <c r="I38" s="56">
        <f t="shared" si="1"/>
        <v>6.6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30</v>
      </c>
      <c r="B39" s="63">
        <v>99</v>
      </c>
      <c r="C39" s="63">
        <v>4</v>
      </c>
      <c r="D39" s="63">
        <v>17</v>
      </c>
      <c r="E39" s="54">
        <v>0</v>
      </c>
      <c r="F39" s="54"/>
      <c r="G39" s="54"/>
      <c r="H39" s="54">
        <v>1</v>
      </c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35</v>
      </c>
      <c r="B40" s="63">
        <v>119</v>
      </c>
      <c r="C40" s="63">
        <v>5</v>
      </c>
      <c r="D40" s="63">
        <v>19</v>
      </c>
      <c r="E40" s="54">
        <v>0.2</v>
      </c>
      <c r="F40" s="54"/>
      <c r="G40" s="54"/>
      <c r="H40" s="54">
        <v>0.8</v>
      </c>
      <c r="I40" s="52">
        <f t="shared" si="1"/>
        <v>7.4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40</v>
      </c>
      <c r="B41" s="63">
        <v>137</v>
      </c>
      <c r="C41" s="63">
        <v>6</v>
      </c>
      <c r="D41" s="63">
        <v>20</v>
      </c>
      <c r="E41" s="54">
        <v>0.2</v>
      </c>
      <c r="F41" s="54"/>
      <c r="G41" s="54"/>
      <c r="H41" s="54">
        <v>0.8</v>
      </c>
      <c r="I41" s="56">
        <f t="shared" si="1"/>
        <v>7.4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45</v>
      </c>
      <c r="B42" s="63">
        <v>154</v>
      </c>
      <c r="C42" s="63">
        <v>7</v>
      </c>
      <c r="D42" s="63">
        <v>21</v>
      </c>
      <c r="E42" s="54">
        <v>0.3</v>
      </c>
      <c r="F42" s="54"/>
      <c r="G42" s="54"/>
      <c r="H42" s="54">
        <v>0.7</v>
      </c>
      <c r="I42" s="56">
        <f t="shared" si="1"/>
        <v>7.4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50</v>
      </c>
      <c r="B43" s="63">
        <v>171</v>
      </c>
      <c r="C43" s="63">
        <v>8</v>
      </c>
      <c r="D43" s="63">
        <v>22</v>
      </c>
      <c r="E43" s="54">
        <v>0.3</v>
      </c>
      <c r="F43" s="54"/>
      <c r="G43" s="54"/>
      <c r="H43" s="54">
        <v>0.7</v>
      </c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55</v>
      </c>
      <c r="B44" s="63">
        <v>185</v>
      </c>
      <c r="C44" s="63">
        <v>9</v>
      </c>
      <c r="D44" s="63">
        <v>22</v>
      </c>
      <c r="E44" s="54">
        <v>0.4</v>
      </c>
      <c r="F44" s="54"/>
      <c r="G44" s="54"/>
      <c r="H44" s="54">
        <v>0.6</v>
      </c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60</v>
      </c>
      <c r="B45" s="63">
        <v>199</v>
      </c>
      <c r="C45" s="63">
        <v>10</v>
      </c>
      <c r="D45" s="63">
        <v>22</v>
      </c>
      <c r="E45" s="54">
        <v>0.4</v>
      </c>
      <c r="F45" s="54"/>
      <c r="G45" s="54"/>
      <c r="H45" s="54">
        <v>0.6</v>
      </c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65</v>
      </c>
      <c r="B46" s="63">
        <v>212</v>
      </c>
      <c r="C46" s="63">
        <v>11</v>
      </c>
      <c r="D46" s="63">
        <v>22</v>
      </c>
      <c r="E46" s="54">
        <v>0.5</v>
      </c>
      <c r="F46" s="54"/>
      <c r="G46" s="54"/>
      <c r="H46" s="54">
        <v>0.5</v>
      </c>
      <c r="I46" s="52">
        <f t="shared" si="1"/>
        <v>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>
        <v>70</v>
      </c>
      <c r="B47" s="63">
        <v>223</v>
      </c>
      <c r="C47" s="63">
        <v>12</v>
      </c>
      <c r="D47" s="63">
        <v>22</v>
      </c>
      <c r="E47" s="54">
        <v>0.5</v>
      </c>
      <c r="F47" s="54"/>
      <c r="G47" s="54"/>
      <c r="H47" s="54">
        <v>0.5</v>
      </c>
      <c r="I47" s="52">
        <f t="shared" si="1"/>
        <v>6.6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>
        <v>75</v>
      </c>
      <c r="B48" s="63">
        <v>234</v>
      </c>
      <c r="C48" s="63">
        <v>13</v>
      </c>
      <c r="D48" s="63">
        <v>22</v>
      </c>
      <c r="E48" s="54">
        <v>0.6</v>
      </c>
      <c r="F48" s="54"/>
      <c r="G48" s="54"/>
      <c r="H48" s="54">
        <v>0.4</v>
      </c>
      <c r="I48" s="52">
        <f t="shared" si="1"/>
        <v>6.6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>
        <v>80</v>
      </c>
      <c r="B49" s="63">
        <v>243</v>
      </c>
      <c r="C49" s="63">
        <v>14</v>
      </c>
      <c r="D49" s="63">
        <v>21</v>
      </c>
      <c r="E49" s="54">
        <v>0.6</v>
      </c>
      <c r="F49" s="54"/>
      <c r="G49" s="54"/>
      <c r="H49" s="54">
        <v>0.4</v>
      </c>
      <c r="I49" s="52">
        <f t="shared" si="1"/>
        <v>6.2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>
        <v>85</v>
      </c>
      <c r="B50" s="53">
        <v>251</v>
      </c>
      <c r="C50" s="53">
        <v>15</v>
      </c>
      <c r="D50" s="53">
        <v>20</v>
      </c>
      <c r="E50" s="54">
        <v>0.7</v>
      </c>
      <c r="F50" s="54"/>
      <c r="G50" s="54"/>
      <c r="H50" s="54">
        <v>0.3</v>
      </c>
      <c r="I50" s="52">
        <f t="shared" si="1"/>
        <v>5.8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>
        <v>90</v>
      </c>
      <c r="B51" s="53">
        <v>259</v>
      </c>
      <c r="C51" s="53">
        <v>16</v>
      </c>
      <c r="D51" s="53">
        <v>20</v>
      </c>
      <c r="E51" s="54">
        <v>0.7</v>
      </c>
      <c r="F51" s="54"/>
      <c r="G51" s="54"/>
      <c r="H51" s="54">
        <v>0.3</v>
      </c>
      <c r="I51" s="52">
        <f t="shared" si="1"/>
        <v>5.6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>
        <v>95</v>
      </c>
      <c r="B52" s="53">
        <v>266</v>
      </c>
      <c r="C52" s="53">
        <v>17</v>
      </c>
      <c r="D52" s="53">
        <v>19</v>
      </c>
      <c r="E52" s="54">
        <v>0.8</v>
      </c>
      <c r="F52" s="54"/>
      <c r="G52" s="54"/>
      <c r="H52" s="54">
        <v>0.2</v>
      </c>
      <c r="I52" s="52">
        <f t="shared" si="1"/>
        <v>5.4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>
        <v>100</v>
      </c>
      <c r="B53" s="53">
        <v>271</v>
      </c>
      <c r="C53" s="53">
        <v>18</v>
      </c>
      <c r="D53" s="53">
        <v>18</v>
      </c>
      <c r="E53" s="54">
        <v>0.8</v>
      </c>
      <c r="F53" s="54"/>
      <c r="G53" s="54"/>
      <c r="H53" s="54">
        <v>0.2</v>
      </c>
      <c r="I53" s="52">
        <f t="shared" si="1"/>
        <v>4.8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>
        <v>105</v>
      </c>
      <c r="B54" s="53">
        <v>277</v>
      </c>
      <c r="C54" s="53">
        <v>19</v>
      </c>
      <c r="D54" s="53">
        <v>17</v>
      </c>
      <c r="E54" s="54">
        <v>0.8</v>
      </c>
      <c r="F54" s="54"/>
      <c r="G54" s="54"/>
      <c r="H54" s="54">
        <v>0.2</v>
      </c>
      <c r="I54" s="52">
        <f t="shared" si="1"/>
        <v>4.8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>
        <v>110</v>
      </c>
      <c r="B55" s="53">
        <v>282</v>
      </c>
      <c r="C55" s="53">
        <v>20</v>
      </c>
      <c r="D55" s="53">
        <v>282</v>
      </c>
      <c r="E55" s="54">
        <v>0.8</v>
      </c>
      <c r="F55" s="54"/>
      <c r="G55" s="54"/>
      <c r="H55" s="54">
        <v>0.2</v>
      </c>
      <c r="I55" s="52">
        <f t="shared" si="1"/>
        <v>4.4000000000000004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Cèdre de l'Atlas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51</v>
      </c>
      <c r="B62" s="63">
        <v>322.95999999999998</v>
      </c>
      <c r="C62" s="63">
        <v>1</v>
      </c>
      <c r="D62" s="63">
        <v>99.93</v>
      </c>
      <c r="E62" s="54">
        <v>0.4</v>
      </c>
      <c r="F62" s="54">
        <v>0.34</v>
      </c>
      <c r="G62" s="54">
        <v>0.26</v>
      </c>
      <c r="H62" s="54"/>
      <c r="I62" s="56">
        <f>IFERROR(B62/A62,"")</f>
        <v>6.3325490196078427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63</v>
      </c>
      <c r="B63" s="63">
        <v>369.3</v>
      </c>
      <c r="C63" s="63">
        <v>2</v>
      </c>
      <c r="D63" s="63">
        <v>113.87</v>
      </c>
      <c r="E63" s="54">
        <v>0.5</v>
      </c>
      <c r="F63" s="54">
        <v>0.28000000000000003</v>
      </c>
      <c r="G63" s="54">
        <v>0.22</v>
      </c>
      <c r="H63" s="54"/>
      <c r="I63" s="52">
        <f>IF(A63&lt;&gt;0,(B63-(B62-D62))/(A63-A62),"")</f>
        <v>12.18916666666667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75</v>
      </c>
      <c r="B64" s="63">
        <v>389.46</v>
      </c>
      <c r="C64" s="63">
        <v>3</v>
      </c>
      <c r="D64" s="63">
        <v>92.44</v>
      </c>
      <c r="E64" s="54">
        <v>0.6</v>
      </c>
      <c r="F64" s="54">
        <v>0.22</v>
      </c>
      <c r="G64" s="54">
        <v>0.18</v>
      </c>
      <c r="H64" s="54"/>
      <c r="I64" s="52">
        <f>IF(A64&lt;&gt;0,(B64-(B63-D63))/(A64-A63),"")</f>
        <v>11.169166666666664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87</v>
      </c>
      <c r="B65" s="63">
        <v>420.16</v>
      </c>
      <c r="C65" s="63">
        <v>4</v>
      </c>
      <c r="D65" s="63">
        <v>91.18</v>
      </c>
      <c r="E65" s="54">
        <v>0.7</v>
      </c>
      <c r="F65" s="54">
        <v>0.17</v>
      </c>
      <c r="G65" s="54">
        <v>0.13</v>
      </c>
      <c r="H65" s="54"/>
      <c r="I65" s="52">
        <f>IF(A65&lt;&gt;0,(B65-(B64-D64))/(A65-A64),"")</f>
        <v>10.26166666666667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99</v>
      </c>
      <c r="B66" s="63">
        <v>440.24</v>
      </c>
      <c r="C66" s="63">
        <v>5</v>
      </c>
      <c r="D66" s="63">
        <v>440.24</v>
      </c>
      <c r="E66" s="54">
        <v>0.8</v>
      </c>
      <c r="F66" s="54">
        <v>0.11</v>
      </c>
      <c r="G66" s="54">
        <v>0.09</v>
      </c>
      <c r="H66" s="54"/>
      <c r="I66" s="52">
        <f t="shared" ref="I66:I81" si="2">IF(A66&lt;&gt;0,(B66-(B65-D65))/(A66-A65),"")</f>
        <v>9.2716666666666665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7" sqref="G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pubescent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Cèdre de l'Atlas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257.49385297440318</v>
      </c>
      <c r="T3" s="62">
        <f>IF('Données projet'!E9&gt;30,$R$33-$H$33,LOOKUP('Données projet'!$E$9,$A$3:$A$203,R3:R203)-LOOKUP('Données projet'!$E$9,$A$3:$A$203,$H$3:$H$203))</f>
        <v>171.3281518185355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174.86489869124688</v>
      </c>
      <c r="AO3" s="62">
        <f>IF('Données projet'!E10&gt;30,$AM$33-$H$33,LOOKUP('Données projet'!$E$10,$A$3:$A$203,AM3:AM203)-LOOKUP('Données projet'!$E$10,$A$3:$A$203,$H$3:$H$203))</f>
        <v>146.54591565663782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295.22046076180141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1.9333333333333333</v>
      </c>
      <c r="N4" s="14">
        <f>IF('Données projet'!$A$36&gt;35,N3+M4-V3,IF(A4&lt;'Données projet'!$A$36,$K$205^A4,IF(A4='Données projet'!$A$36,'Données projet'!$B$36,N3+M4-V3)))</f>
        <v>1.2516796742016716</v>
      </c>
      <c r="O4" s="14">
        <f>N4*VLOOKUP('Données projet'!$B$9,Paramètres!$A$1:$I$89,3,0)*VLOOKUP('Données projet'!$B$9,Paramètres!$A$1:$I$89,5,0)</f>
        <v>1.2692031896404952</v>
      </c>
      <c r="P4" s="14">
        <f>EXP(-1.0587+0.8836*LN(O4)+0.284)</f>
        <v>0.56889510023213452</v>
      </c>
      <c r="Q4" s="22">
        <f t="shared" ref="Q4:Q34" si="2">(O4+P4)*0.475*44/12</f>
        <v>3.2013545215281631</v>
      </c>
      <c r="R4" s="62">
        <f t="shared" si="0"/>
        <v>296.53468785486149</v>
      </c>
      <c r="S4" s="62">
        <f ca="1">AVERAGE(OFFSET($R$3,0,0,'Données projet'!$E$9+1,1))-AVERAGE(OFFSET($H$3,0,0,'Données projet'!$E$9+1,1))</f>
        <v>257.49385297440318</v>
      </c>
      <c r="T4" s="62">
        <f>$T$3</f>
        <v>171.3281518185355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6.3325490196078427</v>
      </c>
      <c r="AI4" s="14">
        <f>IF('Données projet'!$A$62&gt;35,AI3+AH4-AQ3,IF(A4&lt;'Données projet'!$A$62,$AF$205^A4,IF(A4='Données projet'!$A$62,'Données projet'!$B$62,AI3+AH4-AQ3)))</f>
        <v>6.3325490196078427</v>
      </c>
      <c r="AJ4" s="14">
        <f>AI4*VLOOKUP('Données projet'!$B$10,Paramètres!$A$1:$I$89,3,0)*VLOOKUP('Données projet'!$B$10,Paramètres!$A$1:$I$89,5,0)</f>
        <v>2.9636329411764701</v>
      </c>
      <c r="AK4" s="14">
        <f>EXP(-1.0587+0.8836*LN(AJ4)+0.284)</f>
        <v>1.2035277726750502</v>
      </c>
      <c r="AL4" s="22">
        <f t="shared" ref="AL4:AL67" si="4">(AJ4+AK4)*0.475*44/12</f>
        <v>7.2578049099580646</v>
      </c>
      <c r="AM4" s="62">
        <f t="shared" ref="AM4:AM67" si="5">AL4+(AD4+AE4)*44/12</f>
        <v>300.59113824329137</v>
      </c>
      <c r="AN4" s="62">
        <f ca="1">AVERAGE(OFFSET($AM$3,0,0,'Données projet'!$E$10+1,1))-AVERAGE(OFFSET($H$3,0,0,'Données projet'!$E$10+1,1))</f>
        <v>174.86489869124688</v>
      </c>
      <c r="AO4" s="62">
        <f>$AO$3</f>
        <v>146.54591565663782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297.01300064647927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1.9333333333333333</v>
      </c>
      <c r="N5" s="14">
        <f>IF('Données projet'!$A$36&gt;35,N4+M5-V4,IF(A5&lt;'Données projet'!$A$36,$K$205^A5,IF(A5='Données projet'!$A$36,'Données projet'!$B$36,N4+M5-V4)))</f>
        <v>1.5667020068096027</v>
      </c>
      <c r="O5" s="14">
        <f>N5*VLOOKUP('Données projet'!$B$9,Paramètres!$A$1:$I$89,3,0)*VLOOKUP('Données projet'!$B$9,Paramètres!$A$1:$I$89,5,0)</f>
        <v>1.5886358349049372</v>
      </c>
      <c r="P5" s="14">
        <f t="shared" ref="P5:P68" si="33">EXP(-1.0587+0.8836*LN(O5)+0.284)</f>
        <v>0.69370876956688587</v>
      </c>
      <c r="Q5" s="22">
        <f t="shared" si="2"/>
        <v>3.975083519455092</v>
      </c>
      <c r="R5" s="62">
        <f t="shared" si="0"/>
        <v>297.30841685278841</v>
      </c>
      <c r="S5" s="62">
        <f ca="1">AVERAGE(OFFSET($R$3,0,0,'Données projet'!$E$9+1,1))-AVERAGE(OFFSET($H$3,0,0,'Données projet'!$E$9+1,1))</f>
        <v>257.49385297440318</v>
      </c>
      <c r="T5" s="62">
        <f t="shared" ref="T5:T68" si="34">$T$3</f>
        <v>171.3281518185355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6.3325490196078427</v>
      </c>
      <c r="AI5" s="14">
        <f>IF('Données projet'!$A$62&gt;35,AI4+AH5-AQ4,IF(A5&lt;'Données projet'!$A$62,$AF$205^A5,IF(A5='Données projet'!$A$62,'Données projet'!$B$62,AI4+AH5-AQ4)))</f>
        <v>12.665098039215685</v>
      </c>
      <c r="AJ5" s="14">
        <f>AI5*VLOOKUP('Données projet'!$B$10,Paramètres!$A$1:$I$89,3,0)*VLOOKUP('Données projet'!$B$10,Paramètres!$A$1:$I$89,5,0)</f>
        <v>5.9272658823529403</v>
      </c>
      <c r="AK5" s="14">
        <f t="shared" ref="AK5:AK68" si="35">EXP(-1.0587+0.8836*LN(AJ5)+0.284)</f>
        <v>2.2204767016517342</v>
      </c>
      <c r="AL5" s="22">
        <f t="shared" si="4"/>
        <v>14.190651667141474</v>
      </c>
      <c r="AM5" s="62">
        <f t="shared" si="5"/>
        <v>307.5239850004748</v>
      </c>
      <c r="AN5" s="62">
        <f ca="1">AVERAGE(OFFSET($AM$3,0,0,'Données projet'!$E$10+1,1))-AVERAGE(OFFSET($H$3,0,0,'Données projet'!$E$10+1,1))</f>
        <v>174.86489869124688</v>
      </c>
      <c r="AO5" s="62">
        <f t="shared" ref="AO5:AO68" si="36">$AO$3</f>
        <v>146.54591565663782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298.77499350251054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1.9333333333333333</v>
      </c>
      <c r="N6" s="14">
        <f>IF('Données projet'!$A$36&gt;35,N5+M6-V5,IF(A6&lt;'Données projet'!$A$36,$K$205^A6,IF(A6='Données projet'!$A$36,'Données projet'!$B$36,N5+M6-V5)))</f>
        <v>1.9610090574545487</v>
      </c>
      <c r="O6" s="14">
        <f>N6*VLOOKUP('Données projet'!$B$9,Paramètres!$A$1:$I$89,3,0)*VLOOKUP('Données projet'!$B$9,Paramètres!$A$1:$I$89,5,0)</f>
        <v>1.9884631842589127</v>
      </c>
      <c r="P6" s="14">
        <f t="shared" si="33"/>
        <v>0.84590613766516665</v>
      </c>
      <c r="Q6" s="22">
        <f t="shared" si="2"/>
        <v>4.9365265690177713</v>
      </c>
      <c r="R6" s="62">
        <f t="shared" si="0"/>
        <v>298.26985990235107</v>
      </c>
      <c r="S6" s="62">
        <f ca="1">AVERAGE(OFFSET($R$3,0,0,'Données projet'!$E$9+1,1))-AVERAGE(OFFSET($H$3,0,0,'Données projet'!$E$9+1,1))</f>
        <v>257.49385297440318</v>
      </c>
      <c r="T6" s="62">
        <f t="shared" si="34"/>
        <v>171.3281518185355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6.3325490196078427</v>
      </c>
      <c r="AI6" s="14">
        <f>IF('Données projet'!$A$62&gt;35,AI5+AH6-AQ5,IF(A6&lt;'Données projet'!$A$62,$AF$205^A6,IF(A6='Données projet'!$A$62,'Données projet'!$B$62,AI5+AH6-AQ5)))</f>
        <v>18.997647058823528</v>
      </c>
      <c r="AJ6" s="14">
        <f>AI6*VLOOKUP('Données projet'!$B$10,Paramètres!$A$1:$I$89,3,0)*VLOOKUP('Données projet'!$B$10,Paramètres!$A$1:$I$89,5,0)</f>
        <v>8.89089882352941</v>
      </c>
      <c r="AK6" s="14">
        <f t="shared" si="35"/>
        <v>3.1771700297859202</v>
      </c>
      <c r="AL6" s="22">
        <f t="shared" si="4"/>
        <v>21.018553252857533</v>
      </c>
      <c r="AM6" s="62">
        <f t="shared" si="5"/>
        <v>314.35188658619086</v>
      </c>
      <c r="AN6" s="62">
        <f ca="1">AVERAGE(OFFSET($AM$3,0,0,'Données projet'!$E$10+1,1))-AVERAGE(OFFSET($H$3,0,0,'Données projet'!$E$10+1,1))</f>
        <v>174.86489869124688</v>
      </c>
      <c r="AO6" s="62">
        <f t="shared" si="36"/>
        <v>146.54591565663782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300.51815645933317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1.9333333333333333</v>
      </c>
      <c r="N7" s="14">
        <f>IF('Données projet'!$A$36&gt;35,N6+M7-V6,IF(A7&lt;'Données projet'!$A$36,$K$205^A7,IF(A7='Données projet'!$A$36,'Données projet'!$B$36,N6+M7-V6)))</f>
        <v>2.4545551781412365</v>
      </c>
      <c r="O7" s="14">
        <f>N7*VLOOKUP('Données projet'!$B$9,Paramètres!$A$1:$I$89,3,0)*VLOOKUP('Données projet'!$B$9,Paramètres!$A$1:$I$89,5,0)</f>
        <v>2.4889189506352136</v>
      </c>
      <c r="P7" s="14">
        <f t="shared" si="33"/>
        <v>1.0314950958258102</v>
      </c>
      <c r="Q7" s="22">
        <f t="shared" si="2"/>
        <v>6.1313877975862825</v>
      </c>
      <c r="R7" s="62">
        <f t="shared" si="0"/>
        <v>299.4647211309196</v>
      </c>
      <c r="S7" s="62">
        <f ca="1">AVERAGE(OFFSET($R$3,0,0,'Données projet'!$E$9+1,1))-AVERAGE(OFFSET($H$3,0,0,'Données projet'!$E$9+1,1))</f>
        <v>257.49385297440318</v>
      </c>
      <c r="T7" s="62">
        <f t="shared" si="34"/>
        <v>171.3281518185355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6.3325490196078427</v>
      </c>
      <c r="AI7" s="14">
        <f>IF('Données projet'!$A$62&gt;35,AI6+AH7-AQ6,IF(A7&lt;'Données projet'!$A$62,$AF$205^A7,IF(A7='Données projet'!$A$62,'Données projet'!$B$62,AI6+AH7-AQ6)))</f>
        <v>25.330196078431371</v>
      </c>
      <c r="AJ7" s="14">
        <f>AI7*VLOOKUP('Données projet'!$B$10,Paramètres!$A$1:$I$89,3,0)*VLOOKUP('Données projet'!$B$10,Paramètres!$A$1:$I$89,5,0)</f>
        <v>11.854531764705881</v>
      </c>
      <c r="AK7" s="14">
        <f t="shared" si="35"/>
        <v>4.0967204035676144</v>
      </c>
      <c r="AL7" s="22">
        <f t="shared" si="4"/>
        <v>27.781764193076338</v>
      </c>
      <c r="AM7" s="62">
        <f t="shared" si="5"/>
        <v>321.11509752640967</v>
      </c>
      <c r="AN7" s="62">
        <f ca="1">AVERAGE(OFFSET($AM$3,0,0,'Données projet'!$E$10+1,1))-AVERAGE(OFFSET($H$3,0,0,'Données projet'!$E$10+1,1))</f>
        <v>174.86489869124688</v>
      </c>
      <c r="AO7" s="62">
        <f t="shared" si="36"/>
        <v>146.54591565663782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302.24780010412121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1.9333333333333333</v>
      </c>
      <c r="N8" s="14">
        <f>IF('Données projet'!$A$36&gt;35,N7+M8-V7,IF(A8&lt;'Données projet'!$A$36,$K$205^A8,IF(A8='Données projet'!$A$36,'Données projet'!$B$36,N7+M8-V7)))</f>
        <v>3.0723168256858489</v>
      </c>
      <c r="O8" s="14">
        <f>N8*VLOOKUP('Données projet'!$B$9,Paramètres!$A$1:$I$89,3,0)*VLOOKUP('Données projet'!$B$9,Paramètres!$A$1:$I$89,5,0)</f>
        <v>3.1153292612454506</v>
      </c>
      <c r="P8" s="14">
        <f t="shared" si="33"/>
        <v>1.2578016464680757</v>
      </c>
      <c r="Q8" s="22">
        <f t="shared" si="2"/>
        <v>7.6165363309343919</v>
      </c>
      <c r="R8" s="62">
        <f t="shared" si="0"/>
        <v>300.94986966426768</v>
      </c>
      <c r="S8" s="62">
        <f ca="1">AVERAGE(OFFSET($R$3,0,0,'Données projet'!$E$9+1,1))-AVERAGE(OFFSET($H$3,0,0,'Données projet'!$E$9+1,1))</f>
        <v>257.49385297440318</v>
      </c>
      <c r="T8" s="62">
        <f t="shared" si="34"/>
        <v>171.3281518185355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6.3325490196078427</v>
      </c>
      <c r="AI8" s="14">
        <f>IF('Données projet'!$A$62&gt;35,AI7+AH8-AQ7,IF(A8&lt;'Données projet'!$A$62,$AF$205^A8,IF(A8='Données projet'!$A$62,'Données projet'!$B$62,AI7+AH8-AQ7)))</f>
        <v>31.662745098039213</v>
      </c>
      <c r="AJ8" s="14">
        <f>AI8*VLOOKUP('Données projet'!$B$10,Paramètres!$A$1:$I$89,3,0)*VLOOKUP('Données projet'!$B$10,Paramètres!$A$1:$I$89,5,0)</f>
        <v>14.818164705882353</v>
      </c>
      <c r="AK8" s="14">
        <f t="shared" si="35"/>
        <v>4.9896032320687418</v>
      </c>
      <c r="AL8" s="22">
        <f t="shared" si="4"/>
        <v>34.49852915859816</v>
      </c>
      <c r="AM8" s="62">
        <f t="shared" si="5"/>
        <v>327.83186249193147</v>
      </c>
      <c r="AN8" s="62">
        <f ca="1">AVERAGE(OFFSET($AM$3,0,0,'Données projet'!$E$10+1,1))-AVERAGE(OFFSET($H$3,0,0,'Données projet'!$E$10+1,1))</f>
        <v>174.86489869124688</v>
      </c>
      <c r="AO8" s="62">
        <f t="shared" si="36"/>
        <v>146.54591565663782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303.96695381752204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1.9333333333333333</v>
      </c>
      <c r="N9" s="14">
        <f>IF('Données projet'!$A$36&gt;35,N8+M9-V8,IF(A9&lt;'Données projet'!$A$36,$K$205^A9,IF(A9='Données projet'!$A$36,'Données projet'!$B$36,N8+M9-V8)))</f>
        <v>3.845556523418777</v>
      </c>
      <c r="O9" s="14">
        <f>N9*VLOOKUP('Données projet'!$B$9,Paramètres!$A$1:$I$89,3,0)*VLOOKUP('Données projet'!$B$9,Paramètres!$A$1:$I$89,5,0)</f>
        <v>3.8993943147466399</v>
      </c>
      <c r="P9" s="14">
        <f t="shared" si="33"/>
        <v>1.533759092272958</v>
      </c>
      <c r="Q9" s="22">
        <f t="shared" si="2"/>
        <v>9.4627421838924644</v>
      </c>
      <c r="R9" s="62">
        <f t="shared" si="0"/>
        <v>302.7960755172258</v>
      </c>
      <c r="S9" s="62">
        <f ca="1">AVERAGE(OFFSET($R$3,0,0,'Données projet'!$E$9+1,1))-AVERAGE(OFFSET($H$3,0,0,'Données projet'!$E$9+1,1))</f>
        <v>257.49385297440318</v>
      </c>
      <c r="T9" s="62">
        <f t="shared" si="34"/>
        <v>171.3281518185355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6.3325490196078427</v>
      </c>
      <c r="AI9" s="14">
        <f>IF('Données projet'!$A$62&gt;35,AI8+AH9-AQ8,IF(A9&lt;'Données projet'!$A$62,$AF$205^A9,IF(A9='Données projet'!$A$62,'Données projet'!$B$62,AI8+AH9-AQ8)))</f>
        <v>37.995294117647056</v>
      </c>
      <c r="AJ9" s="14">
        <f>AI9*VLOOKUP('Données projet'!$B$10,Paramètres!$A$1:$I$89,3,0)*VLOOKUP('Données projet'!$B$10,Paramètres!$A$1:$I$89,5,0)</f>
        <v>17.78179764705882</v>
      </c>
      <c r="AK9" s="14">
        <f t="shared" si="35"/>
        <v>5.8617941259844679</v>
      </c>
      <c r="AL9" s="22">
        <f t="shared" si="4"/>
        <v>41.179255671383721</v>
      </c>
      <c r="AM9" s="62">
        <f t="shared" si="5"/>
        <v>334.51258900471703</v>
      </c>
      <c r="AN9" s="62">
        <f ca="1">AVERAGE(OFFSET($AM$3,0,0,'Données projet'!$E$10+1,1))-AVERAGE(OFFSET($H$3,0,0,'Données projet'!$E$10+1,1))</f>
        <v>174.86489869124688</v>
      </c>
      <c r="AO9" s="62">
        <f t="shared" si="36"/>
        <v>146.54591565663782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305.67757052410627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1.9333333333333333</v>
      </c>
      <c r="N10" s="14">
        <f>IF('Données projet'!$A$36&gt;35,N9+M10-V9,IF(A10&lt;'Données projet'!$A$36,$K$205^A10,IF(A10='Données projet'!$A$36,'Données projet'!$B$36,N9+M10-V9)))</f>
        <v>4.8134049363569282</v>
      </c>
      <c r="O10" s="14">
        <f>N10*VLOOKUP('Données projet'!$B$9,Paramètres!$A$1:$I$89,3,0)*VLOOKUP('Données projet'!$B$9,Paramètres!$A$1:$I$89,5,0)</f>
        <v>4.8807926054659259</v>
      </c>
      <c r="P10" s="14">
        <f t="shared" si="33"/>
        <v>1.8702606724483051</v>
      </c>
      <c r="Q10" s="22">
        <f t="shared" si="2"/>
        <v>11.758084459033951</v>
      </c>
      <c r="R10" s="62">
        <f t="shared" si="0"/>
        <v>305.09141779236728</v>
      </c>
      <c r="S10" s="62">
        <f ca="1">AVERAGE(OFFSET($R$3,0,0,'Données projet'!$E$9+1,1))-AVERAGE(OFFSET($H$3,0,0,'Données projet'!$E$9+1,1))</f>
        <v>257.49385297440318</v>
      </c>
      <c r="T10" s="62">
        <f t="shared" si="34"/>
        <v>171.3281518185355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6.3325490196078427</v>
      </c>
      <c r="AI10" s="14">
        <f>IF('Données projet'!$A$62&gt;35,AI9+AH10-AQ9,IF(A10&lt;'Données projet'!$A$62,$AF$205^A10,IF(A10='Données projet'!$A$62,'Données projet'!$B$62,AI9+AH10-AQ9)))</f>
        <v>44.327843137254902</v>
      </c>
      <c r="AJ10" s="14">
        <f>AI10*VLOOKUP('Données projet'!$B$10,Paramètres!$A$1:$I$89,3,0)*VLOOKUP('Données projet'!$B$10,Paramètres!$A$1:$I$89,5,0)</f>
        <v>20.745430588235294</v>
      </c>
      <c r="AK10" s="14">
        <f t="shared" si="35"/>
        <v>6.7171453304796191</v>
      </c>
      <c r="AL10" s="22">
        <f t="shared" si="4"/>
        <v>47.830653058428474</v>
      </c>
      <c r="AM10" s="62">
        <f t="shared" si="5"/>
        <v>341.1639863917618</v>
      </c>
      <c r="AN10" s="62">
        <f ca="1">AVERAGE(OFFSET($AM$3,0,0,'Données projet'!$E$10+1,1))-AVERAGE(OFFSET($H$3,0,0,'Données projet'!$E$10+1,1))</f>
        <v>174.86489869124688</v>
      </c>
      <c r="AO10" s="62">
        <f t="shared" si="36"/>
        <v>146.54591565663782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307.38101051293881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1.9333333333333333</v>
      </c>
      <c r="N11" s="14">
        <f>IF('Données projet'!$A$36&gt;35,N10+M11-V10,IF(A11&lt;'Données projet'!$A$36,$K$205^A11,IF(A11='Données projet'!$A$36,'Données projet'!$B$36,N10+M11-V10)))</f>
        <v>6.0248411225399572</v>
      </c>
      <c r="O11" s="14">
        <f>N11*VLOOKUP('Données projet'!$B$9,Paramètres!$A$1:$I$89,3,0)*VLOOKUP('Données projet'!$B$9,Paramètres!$A$1:$I$89,5,0)</f>
        <v>6.1091888982555176</v>
      </c>
      <c r="P11" s="14">
        <f t="shared" si="33"/>
        <v>2.2805895662030604</v>
      </c>
      <c r="Q11" s="22">
        <f t="shared" si="2"/>
        <v>14.612197492265354</v>
      </c>
      <c r="R11" s="62">
        <f t="shared" si="0"/>
        <v>307.94553082559867</v>
      </c>
      <c r="S11" s="62">
        <f ca="1">AVERAGE(OFFSET($R$3,0,0,'Données projet'!$E$9+1,1))-AVERAGE(OFFSET($H$3,0,0,'Données projet'!$E$9+1,1))</f>
        <v>257.49385297440318</v>
      </c>
      <c r="T11" s="62">
        <f t="shared" si="34"/>
        <v>171.3281518185355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6.3325490196078427</v>
      </c>
      <c r="AI11" s="14">
        <f>IF('Données projet'!$A$62&gt;35,AI10+AH11-AQ10,IF(A11&lt;'Données projet'!$A$62,$AF$205^A11,IF(A11='Données projet'!$A$62,'Données projet'!$B$62,AI10+AH11-AQ10)))</f>
        <v>50.660392156862741</v>
      </c>
      <c r="AJ11" s="14">
        <f>AI11*VLOOKUP('Données projet'!$B$10,Paramètres!$A$1:$I$89,3,0)*VLOOKUP('Données projet'!$B$10,Paramètres!$A$1:$I$89,5,0)</f>
        <v>23.709063529411761</v>
      </c>
      <c r="AK11" s="14">
        <f t="shared" si="35"/>
        <v>7.5583400863980357</v>
      </c>
      <c r="AL11" s="22">
        <f t="shared" si="4"/>
        <v>54.457394630868727</v>
      </c>
      <c r="AM11" s="62">
        <f t="shared" si="5"/>
        <v>347.79072796420206</v>
      </c>
      <c r="AN11" s="62">
        <f ca="1">AVERAGE(OFFSET($AM$3,0,0,'Données projet'!$E$10+1,1))-AVERAGE(OFFSET($H$3,0,0,'Données projet'!$E$10+1,1))</f>
        <v>174.86489869124688</v>
      </c>
      <c r="AO11" s="62">
        <f t="shared" si="36"/>
        <v>146.54591565663782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309.07827361378656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1.9333333333333333</v>
      </c>
      <c r="N12" s="14">
        <f>IF('Données projet'!$A$36&gt;35,N11+M12-V11,IF(A12&lt;'Données projet'!$A$36,$K$205^A12,IF(A12='Données projet'!$A$36,'Données projet'!$B$36,N11+M12-V11)))</f>
        <v>7.5411711733776468</v>
      </c>
      <c r="O12" s="14">
        <f>N12*VLOOKUP('Données projet'!$B$9,Paramètres!$A$1:$I$89,3,0)*VLOOKUP('Données projet'!$B$9,Paramètres!$A$1:$I$89,5,0)</f>
        <v>7.6467475698049343</v>
      </c>
      <c r="P12" s="14">
        <f t="shared" si="33"/>
        <v>2.7809432375357956</v>
      </c>
      <c r="Q12" s="22">
        <f t="shared" si="2"/>
        <v>18.161561489451767</v>
      </c>
      <c r="R12" s="62">
        <f t="shared" si="0"/>
        <v>311.49489482278506</v>
      </c>
      <c r="S12" s="62">
        <f ca="1">AVERAGE(OFFSET($R$3,0,0,'Données projet'!$E$9+1,1))-AVERAGE(OFFSET($H$3,0,0,'Données projet'!$E$9+1,1))</f>
        <v>257.49385297440318</v>
      </c>
      <c r="T12" s="62">
        <f t="shared" si="34"/>
        <v>171.3281518185355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6.3325490196078427</v>
      </c>
      <c r="AI12" s="14">
        <f>IF('Données projet'!$A$62&gt;35,AI11+AH12-AQ11,IF(A12&lt;'Données projet'!$A$62,$AF$205^A12,IF(A12='Données projet'!$A$62,'Données projet'!$B$62,AI11+AH12-AQ11)))</f>
        <v>56.99294117647058</v>
      </c>
      <c r="AJ12" s="14">
        <f>AI12*VLOOKUP('Données projet'!$B$10,Paramètres!$A$1:$I$89,3,0)*VLOOKUP('Données projet'!$B$10,Paramètres!$A$1:$I$89,5,0)</f>
        <v>26.672696470588232</v>
      </c>
      <c r="AK12" s="14">
        <f t="shared" si="35"/>
        <v>8.3873506098935078</v>
      </c>
      <c r="AL12" s="22">
        <f t="shared" si="4"/>
        <v>61.062915331839015</v>
      </c>
      <c r="AM12" s="62">
        <f t="shared" si="5"/>
        <v>354.39624866517232</v>
      </c>
      <c r="AN12" s="62">
        <f ca="1">AVERAGE(OFFSET($AM$3,0,0,'Données projet'!$E$10+1,1))-AVERAGE(OFFSET($H$3,0,0,'Données projet'!$E$10+1,1))</f>
        <v>174.86489869124688</v>
      </c>
      <c r="AO12" s="62">
        <f t="shared" si="36"/>
        <v>146.54591565663782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310.77012443754745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1.9333333333333333</v>
      </c>
      <c r="N13" s="14">
        <f>IF('Données projet'!$A$36&gt;35,N12+M13-V12,IF(A13&lt;'Données projet'!$A$36,$K$205^A13,IF(A13='Données projet'!$A$36,'Données projet'!$B$36,N12+M13-V12)))</f>
        <v>9.4391306773923702</v>
      </c>
      <c r="O13" s="14">
        <f>N13*VLOOKUP('Données projet'!$B$9,Paramètres!$A$1:$I$89,3,0)*VLOOKUP('Données projet'!$B$9,Paramètres!$A$1:$I$89,5,0)</f>
        <v>9.5712785068758635</v>
      </c>
      <c r="P13" s="14">
        <f t="shared" si="33"/>
        <v>3.3910728195041986</v>
      </c>
      <c r="Q13" s="22">
        <f t="shared" si="2"/>
        <v>22.576095226778609</v>
      </c>
      <c r="R13" s="62">
        <f t="shared" si="0"/>
        <v>315.90942856011191</v>
      </c>
      <c r="S13" s="62">
        <f ca="1">AVERAGE(OFFSET($R$3,0,0,'Données projet'!$E$9+1,1))-AVERAGE(OFFSET($H$3,0,0,'Données projet'!$E$9+1,1))</f>
        <v>257.49385297440318</v>
      </c>
      <c r="T13" s="62">
        <f t="shared" si="34"/>
        <v>171.3281518185355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6.3325490196078427</v>
      </c>
      <c r="AI13" s="14">
        <f>IF('Données projet'!$A$62&gt;35,AI12+AH13-AQ12,IF(A13&lt;'Données projet'!$A$62,$AF$205^A13,IF(A13='Données projet'!$A$62,'Données projet'!$B$62,AI12+AH13-AQ12)))</f>
        <v>63.32549019607842</v>
      </c>
      <c r="AJ13" s="14">
        <f>AI13*VLOOKUP('Données projet'!$B$10,Paramètres!$A$1:$I$89,3,0)*VLOOKUP('Données projet'!$B$10,Paramètres!$A$1:$I$89,5,0)</f>
        <v>29.636329411764699</v>
      </c>
      <c r="AK13" s="14">
        <f t="shared" si="35"/>
        <v>9.205685135681712</v>
      </c>
      <c r="AL13" s="22">
        <f t="shared" si="4"/>
        <v>67.649842003469175</v>
      </c>
      <c r="AM13" s="62">
        <f t="shared" si="5"/>
        <v>360.9831753368025</v>
      </c>
      <c r="AN13" s="62">
        <f ca="1">AVERAGE(OFFSET($AM$3,0,0,'Données projet'!$E$10+1,1))-AVERAGE(OFFSET($H$3,0,0,'Données projet'!$E$10+1,1))</f>
        <v>174.86489869124688</v>
      </c>
      <c r="AO13" s="62">
        <f t="shared" si="36"/>
        <v>146.54591565663782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312.45716582374195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1.9333333333333333</v>
      </c>
      <c r="N14" s="14">
        <f>IF('Données projet'!$A$36&gt;35,N13+M14-V13,IF(A14&lt;'Données projet'!$A$36,$K$205^A14,IF(A14='Données projet'!$A$36,'Données projet'!$B$36,N13+M14-V13)))</f>
        <v>11.814768011025487</v>
      </c>
      <c r="O14" s="14">
        <f>N14*VLOOKUP('Données projet'!$B$9,Paramètres!$A$1:$I$89,3,0)*VLOOKUP('Données projet'!$B$9,Paramètres!$A$1:$I$89,5,0)</f>
        <v>11.980174763179845</v>
      </c>
      <c r="P14" s="14">
        <f t="shared" si="33"/>
        <v>4.135062777250285</v>
      </c>
      <c r="Q14" s="22">
        <f t="shared" si="2"/>
        <v>28.067372049582474</v>
      </c>
      <c r="R14" s="62">
        <f t="shared" si="0"/>
        <v>321.40070538291582</v>
      </c>
      <c r="S14" s="62">
        <f ca="1">AVERAGE(OFFSET($R$3,0,0,'Données projet'!$E$9+1,1))-AVERAGE(OFFSET($H$3,0,0,'Données projet'!$E$9+1,1))</f>
        <v>257.49385297440318</v>
      </c>
      <c r="T14" s="62">
        <f t="shared" si="34"/>
        <v>171.3281518185355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6.3325490196078427</v>
      </c>
      <c r="AI14" s="14">
        <f>IF('Données projet'!$A$62&gt;35,AI13+AH14-AQ13,IF(A14&lt;'Données projet'!$A$62,$AF$205^A14,IF(A14='Données projet'!$A$62,'Données projet'!$B$62,AI13+AH14-AQ13)))</f>
        <v>69.658039215686259</v>
      </c>
      <c r="AJ14" s="14">
        <f>AI14*VLOOKUP('Données projet'!$B$10,Paramètres!$A$1:$I$89,3,0)*VLOOKUP('Données projet'!$B$10,Paramètres!$A$1:$I$89,5,0)</f>
        <v>32.599962352941169</v>
      </c>
      <c r="AK14" s="14">
        <f t="shared" si="35"/>
        <v>10.014532796032778</v>
      </c>
      <c r="AL14" s="22">
        <f t="shared" si="4"/>
        <v>74.220245717796288</v>
      </c>
      <c r="AM14" s="62">
        <f t="shared" si="5"/>
        <v>367.55357905112959</v>
      </c>
      <c r="AN14" s="62">
        <f ca="1">AVERAGE(OFFSET($AM$3,0,0,'Données projet'!$E$10+1,1))-AVERAGE(OFFSET($H$3,0,0,'Données projet'!$E$10+1,1))</f>
        <v>174.86489869124688</v>
      </c>
      <c r="AO14" s="62">
        <f t="shared" si="36"/>
        <v>146.54591565663782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314.13988471799752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1.9333333333333333</v>
      </c>
      <c r="N15" s="14">
        <f>IF('Données projet'!$A$36&gt;35,N14+M15-V14,IF(A15&lt;'Données projet'!$A$36,$K$205^A15,IF(A15='Données projet'!$A$36,'Données projet'!$B$36,N14+M15-V14)))</f>
        <v>14.788304974808712</v>
      </c>
      <c r="O15" s="14">
        <f>N15*VLOOKUP('Données projet'!$B$9,Paramètres!$A$1:$I$89,3,0)*VLOOKUP('Données projet'!$B$9,Paramètres!$A$1:$I$89,5,0)</f>
        <v>14.995341244456036</v>
      </c>
      <c r="P15" s="14">
        <f t="shared" si="33"/>
        <v>5.0422816264679318</v>
      </c>
      <c r="Q15" s="22">
        <f t="shared" si="2"/>
        <v>34.898859833525911</v>
      </c>
      <c r="R15" s="62">
        <f t="shared" si="0"/>
        <v>328.23219316685925</v>
      </c>
      <c r="S15" s="62">
        <f ca="1">AVERAGE(OFFSET($R$3,0,0,'Données projet'!$E$9+1,1))-AVERAGE(OFFSET($H$3,0,0,'Données projet'!$E$9+1,1))</f>
        <v>257.49385297440318</v>
      </c>
      <c r="T15" s="62">
        <f t="shared" si="34"/>
        <v>171.3281518185355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6.3325490196078427</v>
      </c>
      <c r="AI15" s="14">
        <f>IF('Données projet'!$A$62&gt;35,AI14+AH15-AQ14,IF(A15&lt;'Données projet'!$A$62,$AF$205^A15,IF(A15='Données projet'!$A$62,'Données projet'!$B$62,AI14+AH15-AQ14)))</f>
        <v>75.990588235294098</v>
      </c>
      <c r="AJ15" s="14">
        <f>AI15*VLOOKUP('Données projet'!$B$10,Paramètres!$A$1:$I$89,3,0)*VLOOKUP('Données projet'!$B$10,Paramètres!$A$1:$I$89,5,0)</f>
        <v>35.56359529411764</v>
      </c>
      <c r="AK15" s="14">
        <f t="shared" si="35"/>
        <v>10.814854116492235</v>
      </c>
      <c r="AL15" s="22">
        <f t="shared" si="4"/>
        <v>80.775799390145536</v>
      </c>
      <c r="AM15" s="62">
        <f t="shared" si="5"/>
        <v>374.10913272347887</v>
      </c>
      <c r="AN15" s="62">
        <f ca="1">AVERAGE(OFFSET($AM$3,0,0,'Données projet'!$E$10+1,1))-AVERAGE(OFFSET($H$3,0,0,'Données projet'!$E$10+1,1))</f>
        <v>174.86489869124688</v>
      </c>
      <c r="AO15" s="62">
        <f t="shared" si="36"/>
        <v>146.54591565663782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315.81868228038792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1.9333333333333333</v>
      </c>
      <c r="N16" s="14">
        <f>IF('Données projet'!$A$36&gt;35,N15+M16-V15,IF(A16&lt;'Données projet'!$A$36,$K$205^A16,IF(A16='Données projet'!$A$36,'Données projet'!$B$36,N15+M16-V15)))</f>
        <v>18.510220752863528</v>
      </c>
      <c r="O16" s="14">
        <f>N16*VLOOKUP('Données projet'!$B$9,Paramètres!$A$1:$I$89,3,0)*VLOOKUP('Données projet'!$B$9,Paramètres!$A$1:$I$89,5,0)</f>
        <v>18.769363843403617</v>
      </c>
      <c r="P16" s="14">
        <f t="shared" si="33"/>
        <v>6.1485412363008507</v>
      </c>
      <c r="Q16" s="22">
        <f t="shared" si="2"/>
        <v>43.398684680485282</v>
      </c>
      <c r="R16" s="62">
        <f t="shared" si="0"/>
        <v>336.73201801381862</v>
      </c>
      <c r="S16" s="62">
        <f ca="1">AVERAGE(OFFSET($R$3,0,0,'Données projet'!$E$9+1,1))-AVERAGE(OFFSET($H$3,0,0,'Données projet'!$E$9+1,1))</f>
        <v>257.49385297440318</v>
      </c>
      <c r="T16" s="62">
        <f t="shared" si="34"/>
        <v>171.3281518185355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6.3325490196078427</v>
      </c>
      <c r="AI16" s="14">
        <f>IF('Données projet'!$A$62&gt;35,AI15+AH16-AQ15,IF(A16&lt;'Données projet'!$A$62,$AF$205^A16,IF(A16='Données projet'!$A$62,'Données projet'!$B$62,AI15+AH16-AQ15)))</f>
        <v>82.323137254901937</v>
      </c>
      <c r="AJ16" s="14">
        <f>AI16*VLOOKUP('Données projet'!$B$10,Paramètres!$A$1:$I$89,3,0)*VLOOKUP('Données projet'!$B$10,Paramètres!$A$1:$I$89,5,0)</f>
        <v>38.527228235294103</v>
      </c>
      <c r="AK16" s="14">
        <f t="shared" si="35"/>
        <v>11.607440406144804</v>
      </c>
      <c r="AL16" s="22">
        <f t="shared" si="4"/>
        <v>87.317881217172769</v>
      </c>
      <c r="AM16" s="62">
        <f t="shared" si="5"/>
        <v>380.6512145505061</v>
      </c>
      <c r="AN16" s="62">
        <f ca="1">AVERAGE(OFFSET($AM$3,0,0,'Données projet'!$E$10+1,1))-AVERAGE(OFFSET($H$3,0,0,'Données projet'!$E$10+1,1))</f>
        <v>174.86489869124688</v>
      </c>
      <c r="AO16" s="62">
        <f t="shared" si="36"/>
        <v>146.54591565663782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317.49389444813346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1.9333333333333333</v>
      </c>
      <c r="N17" s="14">
        <f>IF('Données projet'!$A$36&gt;35,N16+M17-V16,IF(A17&lt;'Données projet'!$A$36,$K$205^A17,IF(A17='Données projet'!$A$36,'Données projet'!$B$36,N16+M17-V16)))</f>
        <v>23.16886708134524</v>
      </c>
      <c r="O17" s="14">
        <f>N17*VLOOKUP('Données projet'!$B$9,Paramètres!$A$1:$I$89,3,0)*VLOOKUP('Données projet'!$B$9,Paramètres!$A$1:$I$89,5,0)</f>
        <v>23.493231220484073</v>
      </c>
      <c r="P17" s="14">
        <f t="shared" si="33"/>
        <v>7.4975104793925835</v>
      </c>
      <c r="Q17" s="22">
        <f t="shared" si="2"/>
        <v>53.975541793951841</v>
      </c>
      <c r="R17" s="62">
        <f t="shared" si="0"/>
        <v>347.30887512728515</v>
      </c>
      <c r="S17" s="62">
        <f ca="1">AVERAGE(OFFSET($R$3,0,0,'Données projet'!$E$9+1,1))-AVERAGE(OFFSET($H$3,0,0,'Données projet'!$E$9+1,1))</f>
        <v>257.49385297440318</v>
      </c>
      <c r="T17" s="62">
        <f t="shared" si="34"/>
        <v>171.3281518185355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6.3325490196078427</v>
      </c>
      <c r="AI17" s="14">
        <f>IF('Données projet'!$A$62&gt;35,AI16+AH17-AQ16,IF(A17&lt;'Données projet'!$A$62,$AF$205^A17,IF(A17='Données projet'!$A$62,'Données projet'!$B$62,AI16+AH17-AQ16)))</f>
        <v>88.655686274509776</v>
      </c>
      <c r="AJ17" s="14">
        <f>AI17*VLOOKUP('Données projet'!$B$10,Paramètres!$A$1:$I$89,3,0)*VLOOKUP('Données projet'!$B$10,Paramètres!$A$1:$I$89,5,0)</f>
        <v>41.490861176470574</v>
      </c>
      <c r="AK17" s="14">
        <f t="shared" si="35"/>
        <v>12.392954318608655</v>
      </c>
      <c r="AL17" s="22">
        <f t="shared" si="4"/>
        <v>93.847645320596328</v>
      </c>
      <c r="AM17" s="62">
        <f t="shared" si="5"/>
        <v>387.18097865392963</v>
      </c>
      <c r="AN17" s="62">
        <f ca="1">AVERAGE(OFFSET($AM$3,0,0,'Données projet'!$E$10+1,1))-AVERAGE(OFFSET($H$3,0,0,'Données projet'!$E$10+1,1))</f>
        <v>174.86489869124688</v>
      </c>
      <c r="AO17" s="62">
        <f t="shared" si="36"/>
        <v>146.54591565663782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319.1658064480248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29</v>
      </c>
      <c r="L18" s="13">
        <f>VLOOKUP(A18,'Données projet'!$A$35:$I$55,9,0)</f>
        <v>1.9333333333333333</v>
      </c>
      <c r="M18" s="13">
        <f t="array" ref="M18">INDEX(L:L,MIN(IF(ISNUMBER(L18:L214),ROW(L18:L214),"")))</f>
        <v>1.9333333333333333</v>
      </c>
      <c r="N18" s="14">
        <f>IF('Données projet'!$A$36&gt;35,N17+M18-V17,IF(A18&lt;'Données projet'!$A$36,$K$205^A18,IF(A18='Données projet'!$A$36,'Données projet'!$B$36,N17+M18-V17)))</f>
        <v>29</v>
      </c>
      <c r="O18" s="14">
        <f>N18*VLOOKUP('Données projet'!$B$9,Paramètres!$A$1:$I$89,3,0)*VLOOKUP('Données projet'!$B$9,Paramètres!$A$1:$I$89,5,0)</f>
        <v>29.406000000000002</v>
      </c>
      <c r="P18" s="14">
        <f t="shared" si="33"/>
        <v>9.1424390319972488</v>
      </c>
      <c r="Q18" s="22">
        <f t="shared" si="2"/>
        <v>67.138531314061879</v>
      </c>
      <c r="R18" s="62">
        <f t="shared" si="0"/>
        <v>360.47186464739519</v>
      </c>
      <c r="S18" s="62">
        <f ca="1">AVERAGE(OFFSET($R$3,0,0,'Données projet'!$E$9+1,1))-AVERAGE(OFFSET($H$3,0,0,'Données projet'!$E$9+1,1))</f>
        <v>257.49385297440318</v>
      </c>
      <c r="T18" s="62">
        <f t="shared" si="34"/>
        <v>171.3281518185355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6.3325490196078427</v>
      </c>
      <c r="AI18" s="14">
        <f>IF('Données projet'!$A$62&gt;35,AI17+AH18-AQ17,IF(A18&lt;'Données projet'!$A$62,$AF$205^A18,IF(A18='Données projet'!$A$62,'Données projet'!$B$62,AI17+AH18-AQ17)))</f>
        <v>94.988235294117615</v>
      </c>
      <c r="AJ18" s="14">
        <f>AI18*VLOOKUP('Données projet'!$B$10,Paramètres!$A$1:$I$89,3,0)*VLOOKUP('Données projet'!$B$10,Paramètres!$A$1:$I$89,5,0)</f>
        <v>44.454494117647045</v>
      </c>
      <c r="AK18" s="14">
        <f t="shared" si="35"/>
        <v>13.171958478545204</v>
      </c>
      <c r="AL18" s="22">
        <f t="shared" si="4"/>
        <v>100.36607160503483</v>
      </c>
      <c r="AM18" s="62">
        <f t="shared" si="5"/>
        <v>393.69940493836816</v>
      </c>
      <c r="AN18" s="62">
        <f ca="1">AVERAGE(OFFSET($AM$3,0,0,'Données projet'!$E$10+1,1))-AVERAGE(OFFSET($H$3,0,0,'Données projet'!$E$10+1,1))</f>
        <v>174.86489869124688</v>
      </c>
      <c r="AO18" s="62">
        <f t="shared" si="36"/>
        <v>146.54591565663782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320.83466332506777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5.6</v>
      </c>
      <c r="N19" s="14">
        <f>IF('Données projet'!$A$36&gt;35,N18+M19-V18,IF(A19&lt;'Données projet'!$A$36,$K$205^A19,IF(A19='Données projet'!$A$36,'Données projet'!$B$36,N18+M19-V18)))</f>
        <v>34.6</v>
      </c>
      <c r="O19" s="14">
        <f>N19*VLOOKUP('Données projet'!$B$9,Paramètres!$A$1:$I$89,3,0)*VLOOKUP('Données projet'!$B$9,Paramètres!$A$1:$I$89,5,0)</f>
        <v>35.084400000000002</v>
      </c>
      <c r="P19" s="14">
        <f t="shared" si="33"/>
        <v>10.685991952838144</v>
      </c>
      <c r="Q19" s="22">
        <f t="shared" si="2"/>
        <v>79.716765984526432</v>
      </c>
      <c r="R19" s="62">
        <f t="shared" si="0"/>
        <v>373.05009931785975</v>
      </c>
      <c r="S19" s="62">
        <f ca="1">AVERAGE(OFFSET($R$3,0,0,'Données projet'!$E$9+1,1))-AVERAGE(OFFSET($H$3,0,0,'Données projet'!$E$9+1,1))</f>
        <v>257.49385297440318</v>
      </c>
      <c r="T19" s="62">
        <f t="shared" si="34"/>
        <v>171.3281518185355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6.3325490196078427</v>
      </c>
      <c r="AI19" s="14">
        <f>IF('Données projet'!$A$62&gt;35,AI18+AH19-AQ18,IF(A19&lt;'Données projet'!$A$62,$AF$205^A19,IF(A19='Données projet'!$A$62,'Données projet'!$B$62,AI18+AH19-AQ18)))</f>
        <v>101.32078431372545</v>
      </c>
      <c r="AJ19" s="14">
        <f>AI19*VLOOKUP('Données projet'!$B$10,Paramètres!$A$1:$I$89,3,0)*VLOOKUP('Données projet'!$B$10,Paramètres!$A$1:$I$89,5,0)</f>
        <v>47.418127058823515</v>
      </c>
      <c r="AK19" s="14">
        <f t="shared" si="35"/>
        <v>13.944936249957722</v>
      </c>
      <c r="AL19" s="22">
        <f t="shared" si="4"/>
        <v>106.87400192946065</v>
      </c>
      <c r="AM19" s="62">
        <f t="shared" si="5"/>
        <v>400.20733526279395</v>
      </c>
      <c r="AN19" s="62">
        <f ca="1">AVERAGE(OFFSET($AM$3,0,0,'Données projet'!$E$10+1,1))-AVERAGE(OFFSET($H$3,0,0,'Données projet'!$E$10+1,1))</f>
        <v>174.86489869124688</v>
      </c>
      <c r="AO19" s="62">
        <f t="shared" si="36"/>
        <v>146.54591565663782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322.50067776239382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5.6</v>
      </c>
      <c r="N20" s="14">
        <f>IF('Données projet'!$A$36&gt;35,N19+M20-V19,IF(A20&lt;'Données projet'!$A$36,$K$205^A20,IF(A20='Données projet'!$A$36,'Données projet'!$B$36,N19+M20-V19)))</f>
        <v>40.200000000000003</v>
      </c>
      <c r="O20" s="14">
        <f>N20*VLOOKUP('Données projet'!$B$9,Paramètres!$A$1:$I$89,3,0)*VLOOKUP('Données projet'!$B$9,Paramètres!$A$1:$I$89,5,0)</f>
        <v>40.762800000000006</v>
      </c>
      <c r="P20" s="14">
        <f t="shared" si="33"/>
        <v>12.200604312714995</v>
      </c>
      <c r="Q20" s="22">
        <f t="shared" si="2"/>
        <v>92.244595844645289</v>
      </c>
      <c r="R20" s="62">
        <f t="shared" si="0"/>
        <v>385.5779291779786</v>
      </c>
      <c r="S20" s="62">
        <f ca="1">AVERAGE(OFFSET($R$3,0,0,'Données projet'!$E$9+1,1))-AVERAGE(OFFSET($H$3,0,0,'Données projet'!$E$9+1,1))</f>
        <v>257.49385297440318</v>
      </c>
      <c r="T20" s="62">
        <f t="shared" si="34"/>
        <v>171.3281518185355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6.3325490196078427</v>
      </c>
      <c r="AI20" s="14">
        <f>IF('Données projet'!$A$62&gt;35,AI19+AH20-AQ19,IF(A20&lt;'Données projet'!$A$62,$AF$205^A20,IF(A20='Données projet'!$A$62,'Données projet'!$B$62,AI19+AH20-AQ19)))</f>
        <v>107.65333333333329</v>
      </c>
      <c r="AJ20" s="14">
        <f>AI20*VLOOKUP('Données projet'!$B$10,Paramètres!$A$1:$I$89,3,0)*VLOOKUP('Données projet'!$B$10,Paramètres!$A$1:$I$89,5,0)</f>
        <v>50.381759999999979</v>
      </c>
      <c r="AK20" s="14">
        <f t="shared" si="35"/>
        <v>14.71230716137139</v>
      </c>
      <c r="AL20" s="22">
        <f t="shared" si="4"/>
        <v>113.3721669727218</v>
      </c>
      <c r="AM20" s="62">
        <f t="shared" si="5"/>
        <v>406.70550030605511</v>
      </c>
      <c r="AN20" s="62">
        <f ca="1">AVERAGE(OFFSET($AM$3,0,0,'Données projet'!$E$10+1,1))-AVERAGE(OFFSET($H$3,0,0,'Données projet'!$E$10+1,1))</f>
        <v>174.86489869124688</v>
      </c>
      <c r="AO20" s="62">
        <f t="shared" si="36"/>
        <v>146.54591565663782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324.16403600810418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5.6</v>
      </c>
      <c r="N21" s="14">
        <f>IF('Données projet'!$A$36&gt;35,N20+M21-V20,IF(A21&lt;'Données projet'!$A$36,$K$205^A21,IF(A21='Données projet'!$A$36,'Données projet'!$B$36,N20+M21-V20)))</f>
        <v>45.800000000000004</v>
      </c>
      <c r="O21" s="14">
        <f>N21*VLOOKUP('Données projet'!$B$9,Paramètres!$A$1:$I$89,3,0)*VLOOKUP('Données projet'!$B$9,Paramètres!$A$1:$I$89,5,0)</f>
        <v>46.441200000000009</v>
      </c>
      <c r="P21" s="14">
        <f t="shared" si="33"/>
        <v>13.690772009364476</v>
      </c>
      <c r="Q21" s="22">
        <f t="shared" si="2"/>
        <v>104.72985124964315</v>
      </c>
      <c r="R21" s="62">
        <f t="shared" si="0"/>
        <v>398.06318458297648</v>
      </c>
      <c r="S21" s="62">
        <f ca="1">AVERAGE(OFFSET($R$3,0,0,'Données projet'!$E$9+1,1))-AVERAGE(OFFSET($H$3,0,0,'Données projet'!$E$9+1,1))</f>
        <v>257.49385297440318</v>
      </c>
      <c r="T21" s="62">
        <f t="shared" si="34"/>
        <v>171.3281518185355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6.3325490196078427</v>
      </c>
      <c r="AI21" s="14">
        <f>IF('Données projet'!$A$62&gt;35,AI20+AH21-AQ20,IF(A21&lt;'Données projet'!$A$62,$AF$205^A21,IF(A21='Données projet'!$A$62,'Données projet'!$B$62,AI20+AH21-AQ20)))</f>
        <v>113.98588235294113</v>
      </c>
      <c r="AJ21" s="14">
        <f>AI21*VLOOKUP('Données projet'!$B$10,Paramètres!$A$1:$I$89,3,0)*VLOOKUP('Données projet'!$B$10,Paramètres!$A$1:$I$89,5,0)</f>
        <v>53.345392941176449</v>
      </c>
      <c r="AK21" s="14">
        <f t="shared" si="35"/>
        <v>15.474438596841097</v>
      </c>
      <c r="AL21" s="22">
        <f t="shared" si="4"/>
        <v>119.86120659538057</v>
      </c>
      <c r="AM21" s="62">
        <f t="shared" si="5"/>
        <v>413.19453992871388</v>
      </c>
      <c r="AN21" s="62">
        <f ca="1">AVERAGE(OFFSET($AM$3,0,0,'Données projet'!$E$10+1,1))-AVERAGE(OFFSET($H$3,0,0,'Données projet'!$E$10+1,1))</f>
        <v>174.86489869124688</v>
      </c>
      <c r="AO21" s="62">
        <f t="shared" si="36"/>
        <v>146.54591565663782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325.82490244727825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5.6</v>
      </c>
      <c r="N22" s="14">
        <f>IF('Données projet'!$A$36&gt;35,N21+M22-V21,IF(A22&lt;'Données projet'!$A$36,$K$205^A22,IF(A22='Données projet'!$A$36,'Données projet'!$B$36,N21+M22-V21)))</f>
        <v>51.400000000000006</v>
      </c>
      <c r="O22" s="14">
        <f>N22*VLOOKUP('Données projet'!$B$9,Paramètres!$A$1:$I$89,3,0)*VLOOKUP('Données projet'!$B$9,Paramètres!$A$1:$I$89,5,0)</f>
        <v>52.119600000000005</v>
      </c>
      <c r="P22" s="14">
        <f t="shared" si="33"/>
        <v>15.159825903252534</v>
      </c>
      <c r="Q22" s="22">
        <f t="shared" si="2"/>
        <v>117.17833344816485</v>
      </c>
      <c r="R22" s="62">
        <f t="shared" si="0"/>
        <v>410.51166678149815</v>
      </c>
      <c r="S22" s="62">
        <f ca="1">AVERAGE(OFFSET($R$3,0,0,'Données projet'!$E$9+1,1))-AVERAGE(OFFSET($H$3,0,0,'Données projet'!$E$9+1,1))</f>
        <v>257.49385297440318</v>
      </c>
      <c r="T22" s="62">
        <f t="shared" si="34"/>
        <v>171.3281518185355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6.3325490196078427</v>
      </c>
      <c r="AI22" s="14">
        <f>IF('Données projet'!$A$62&gt;35,AI21+AH22-AQ21,IF(A22&lt;'Données projet'!$A$62,$AF$205^A22,IF(A22='Données projet'!$A$62,'Données projet'!$B$62,AI21+AH22-AQ21)))</f>
        <v>120.31843137254897</v>
      </c>
      <c r="AJ22" s="14">
        <f>AI22*VLOOKUP('Données projet'!$B$10,Paramètres!$A$1:$I$89,3,0)*VLOOKUP('Données projet'!$B$10,Paramètres!$A$1:$I$89,5,0)</f>
        <v>56.30902588235292</v>
      </c>
      <c r="AK22" s="14">
        <f t="shared" si="35"/>
        <v>16.231654814475174</v>
      </c>
      <c r="AL22" s="22">
        <f t="shared" si="4"/>
        <v>126.3416855469756</v>
      </c>
      <c r="AM22" s="62">
        <f t="shared" si="5"/>
        <v>419.67501888030893</v>
      </c>
      <c r="AN22" s="62">
        <f ca="1">AVERAGE(OFFSET($AM$3,0,0,'Données projet'!$E$10+1,1))-AVERAGE(OFFSET($H$3,0,0,'Données projet'!$E$10+1,1))</f>
        <v>174.86489869124688</v>
      </c>
      <c r="AO22" s="62">
        <f t="shared" si="36"/>
        <v>146.54591565663782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327.48342318399477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57</v>
      </c>
      <c r="L23" s="13">
        <f>VLOOKUP(A23,'Données projet'!$A$35:$I$55,9,0)</f>
        <v>5.6</v>
      </c>
      <c r="M23" s="13">
        <f t="array" ref="M23">INDEX(L:L,MIN(IF(ISNUMBER(L23:L219),ROW(L23:L219),"")))</f>
        <v>5.6</v>
      </c>
      <c r="N23" s="14">
        <f>IF('Données projet'!$A$36&gt;35,N22+M23-V22,IF(A23&lt;'Données projet'!$A$36,$K$205^A23,IF(A23='Données projet'!$A$36,'Données projet'!$B$36,N22+M23-V22)))</f>
        <v>57.000000000000007</v>
      </c>
      <c r="O23" s="14">
        <f>N23*VLOOKUP('Données projet'!$B$9,Paramètres!$A$1:$I$89,3,0)*VLOOKUP('Données projet'!$B$9,Paramètres!$A$1:$I$89,5,0)</f>
        <v>57.798000000000009</v>
      </c>
      <c r="P23" s="14">
        <f t="shared" si="33"/>
        <v>16.610328609522991</v>
      </c>
      <c r="Q23" s="22">
        <f t="shared" si="2"/>
        <v>129.59450566158588</v>
      </c>
      <c r="R23" s="62">
        <f t="shared" si="0"/>
        <v>422.92783899491917</v>
      </c>
      <c r="S23" s="62">
        <f ca="1">AVERAGE(OFFSET($R$3,0,0,'Données projet'!$E$9+1,1))-AVERAGE(OFFSET($H$3,0,0,'Données projet'!$E$9+1,1))</f>
        <v>257.49385297440318</v>
      </c>
      <c r="T23" s="62">
        <f t="shared" si="34"/>
        <v>171.3281518185355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11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6.3325490196078427</v>
      </c>
      <c r="AI23" s="14">
        <f>IF('Données projet'!$A$62&gt;35,AI22+AH23-AQ22,IF(A23&lt;'Données projet'!$A$62,$AF$205^A23,IF(A23='Données projet'!$A$62,'Données projet'!$B$62,AI22+AH23-AQ22)))</f>
        <v>126.65098039215681</v>
      </c>
      <c r="AJ23" s="14">
        <f>AI23*VLOOKUP('Données projet'!$B$10,Paramètres!$A$1:$I$89,3,0)*VLOOKUP('Données projet'!$B$10,Paramètres!$A$1:$I$89,5,0)</f>
        <v>59.27265882352939</v>
      </c>
      <c r="AK23" s="14">
        <f t="shared" si="35"/>
        <v>16.984244012158705</v>
      </c>
      <c r="AL23" s="22">
        <f t="shared" si="4"/>
        <v>132.81410577215675</v>
      </c>
      <c r="AM23" s="62">
        <f t="shared" si="5"/>
        <v>426.14743910549009</v>
      </c>
      <c r="AN23" s="62">
        <f ca="1">AVERAGE(OFFSET($AM$3,0,0,'Données projet'!$E$10+1,1))-AVERAGE(OFFSET($H$3,0,0,'Données projet'!$E$10+1,1))</f>
        <v>174.86489869124688</v>
      </c>
      <c r="AO23" s="62">
        <f t="shared" si="36"/>
        <v>146.54591565663782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329.13972888659004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6.6</v>
      </c>
      <c r="N24" s="14">
        <f>IF('Données projet'!$A$36&gt;35,N23+M24-V23,IF(A24&lt;'Données projet'!$A$36,$K$205^A24,IF(A24='Données projet'!$A$36,'Données projet'!$B$36,N23+M24-V23)))</f>
        <v>52.600000000000009</v>
      </c>
      <c r="O24" s="14">
        <f>N24*VLOOKUP('Données projet'!$B$9,Paramètres!$A$1:$I$89,3,0)*VLOOKUP('Données projet'!$B$9,Paramètres!$A$1:$I$89,5,0)</f>
        <v>53.336400000000012</v>
      </c>
      <c r="P24" s="14">
        <f t="shared" si="33"/>
        <v>15.472133550267937</v>
      </c>
      <c r="Q24" s="22">
        <f t="shared" si="2"/>
        <v>119.84152926671668</v>
      </c>
      <c r="R24" s="62">
        <f t="shared" si="0"/>
        <v>413.17486260005001</v>
      </c>
      <c r="S24" s="62">
        <f ca="1">AVERAGE(OFFSET($R$3,0,0,'Données projet'!$E$9+1,1))-AVERAGE(OFFSET($H$3,0,0,'Données projet'!$E$9+1,1))</f>
        <v>257.49385297440318</v>
      </c>
      <c r="T24" s="62">
        <f t="shared" si="34"/>
        <v>171.3281518185355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6.3325490196078427</v>
      </c>
      <c r="AI24" s="14">
        <f>IF('Données projet'!$A$62&gt;35,AI23+AH24-AQ23,IF(A24&lt;'Données projet'!$A$62,$AF$205^A24,IF(A24='Données projet'!$A$62,'Données projet'!$B$62,AI23+AH24-AQ23)))</f>
        <v>132.98352941176466</v>
      </c>
      <c r="AJ24" s="14">
        <f>AI24*VLOOKUP('Données projet'!$B$10,Paramètres!$A$1:$I$89,3,0)*VLOOKUP('Données projet'!$B$10,Paramètres!$A$1:$I$89,5,0)</f>
        <v>62.236291764705861</v>
      </c>
      <c r="AK24" s="14">
        <f t="shared" si="35"/>
        <v>17.732463939972927</v>
      </c>
      <c r="AL24" s="22">
        <f t="shared" si="4"/>
        <v>139.27891618564885</v>
      </c>
      <c r="AM24" s="62">
        <f t="shared" si="5"/>
        <v>432.61224951898214</v>
      </c>
      <c r="AN24" s="62">
        <f ca="1">AVERAGE(OFFSET($AM$3,0,0,'Données projet'!$E$10+1,1))-AVERAGE(OFFSET($H$3,0,0,'Données projet'!$E$10+1,1))</f>
        <v>174.86489869124688</v>
      </c>
      <c r="AO24" s="62">
        <f t="shared" si="36"/>
        <v>146.54591565663782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330.79393707560678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6.6</v>
      </c>
      <c r="N25" s="14">
        <f>IF('Données projet'!$A$36&gt;35,N24+M25-V24,IF(A25&lt;'Données projet'!$A$36,$K$205^A25,IF(A25='Données projet'!$A$36,'Données projet'!$B$36,N24+M25-V24)))</f>
        <v>59.20000000000001</v>
      </c>
      <c r="O25" s="14">
        <f>N25*VLOOKUP('Données projet'!$B$9,Paramètres!$A$1:$I$89,3,0)*VLOOKUP('Données projet'!$B$9,Paramètres!$A$1:$I$89,5,0)</f>
        <v>60.028800000000018</v>
      </c>
      <c r="P25" s="14">
        <f t="shared" si="33"/>
        <v>17.175550352716172</v>
      </c>
      <c r="Q25" s="22">
        <f t="shared" si="2"/>
        <v>134.46424353098067</v>
      </c>
      <c r="R25" s="62">
        <f t="shared" si="0"/>
        <v>427.79757686431401</v>
      </c>
      <c r="S25" s="62">
        <f ca="1">AVERAGE(OFFSET($R$3,0,0,'Données projet'!$E$9+1,1))-AVERAGE(OFFSET($H$3,0,0,'Données projet'!$E$9+1,1))</f>
        <v>257.49385297440318</v>
      </c>
      <c r="T25" s="62">
        <f t="shared" si="34"/>
        <v>171.3281518185355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6.3325490196078427</v>
      </c>
      <c r="AI25" s="14">
        <f>IF('Données projet'!$A$62&gt;35,AI24+AH25-AQ24,IF(A25&lt;'Données projet'!$A$62,$AF$205^A25,IF(A25='Données projet'!$A$62,'Données projet'!$B$62,AI24+AH25-AQ24)))</f>
        <v>139.31607843137252</v>
      </c>
      <c r="AJ25" s="14">
        <f>AI25*VLOOKUP('Données projet'!$B$10,Paramètres!$A$1:$I$89,3,0)*VLOOKUP('Données projet'!$B$10,Paramètres!$A$1:$I$89,5,0)</f>
        <v>65.199924705882339</v>
      </c>
      <c r="AK25" s="14">
        <f t="shared" si="35"/>
        <v>18.476546413293221</v>
      </c>
      <c r="AL25" s="22">
        <f t="shared" si="4"/>
        <v>145.7365205325641</v>
      </c>
      <c r="AM25" s="62">
        <f t="shared" si="5"/>
        <v>439.06985386589741</v>
      </c>
      <c r="AN25" s="62">
        <f ca="1">AVERAGE(OFFSET($AM$3,0,0,'Données projet'!$E$10+1,1))-AVERAGE(OFFSET($H$3,0,0,'Données projet'!$E$10+1,1))</f>
        <v>174.86489869124688</v>
      </c>
      <c r="AO25" s="62">
        <f t="shared" si="36"/>
        <v>146.54591565663782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332.44615398399299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6.6</v>
      </c>
      <c r="N26" s="14">
        <f>IF('Données projet'!$A$36&gt;35,N25+M26-V25,IF(A26&lt;'Données projet'!$A$36,$K$205^A26,IF(A26='Données projet'!$A$36,'Données projet'!$B$36,N25+M26-V25)))</f>
        <v>65.800000000000011</v>
      </c>
      <c r="O26" s="14">
        <f>N26*VLOOKUP('Données projet'!$B$9,Paramètres!$A$1:$I$89,3,0)*VLOOKUP('Données projet'!$B$9,Paramètres!$A$1:$I$89,5,0)</f>
        <v>66.721200000000024</v>
      </c>
      <c r="P26" s="14">
        <f t="shared" si="33"/>
        <v>18.856956599005919</v>
      </c>
      <c r="Q26" s="22">
        <f t="shared" si="2"/>
        <v>149.04862274326868</v>
      </c>
      <c r="R26" s="62">
        <f t="shared" si="0"/>
        <v>442.38195607660202</v>
      </c>
      <c r="S26" s="62">
        <f ca="1">AVERAGE(OFFSET($R$3,0,0,'Données projet'!$E$9+1,1))-AVERAGE(OFFSET($H$3,0,0,'Données projet'!$E$9+1,1))</f>
        <v>257.49385297440318</v>
      </c>
      <c r="T26" s="62">
        <f t="shared" si="34"/>
        <v>171.3281518185355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6.3325490196078427</v>
      </c>
      <c r="AI26" s="14">
        <f>IF('Données projet'!$A$62&gt;35,AI25+AH26-AQ25,IF(A26&lt;'Données projet'!$A$62,$AF$205^A26,IF(A26='Données projet'!$A$62,'Données projet'!$B$62,AI25+AH26-AQ25)))</f>
        <v>145.64862745098037</v>
      </c>
      <c r="AJ26" s="14">
        <f>AI26*VLOOKUP('Données projet'!$B$10,Paramètres!$A$1:$I$89,3,0)*VLOOKUP('Données projet'!$B$10,Paramètres!$A$1:$I$89,5,0)</f>
        <v>68.163557647058809</v>
      </c>
      <c r="AK26" s="14">
        <f t="shared" si="35"/>
        <v>19.216700982128117</v>
      </c>
      <c r="AL26" s="22">
        <f t="shared" si="4"/>
        <v>152.18728377916722</v>
      </c>
      <c r="AM26" s="62">
        <f t="shared" si="5"/>
        <v>445.52061711250053</v>
      </c>
      <c r="AN26" s="62">
        <f ca="1">AVERAGE(OFFSET($AM$3,0,0,'Données projet'!$E$10+1,1))-AVERAGE(OFFSET($H$3,0,0,'Données projet'!$E$10+1,1))</f>
        <v>174.86489869124688</v>
      </c>
      <c r="AO26" s="62">
        <f t="shared" si="36"/>
        <v>146.54591565663782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334.0964760846598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6.6</v>
      </c>
      <c r="N27" s="14">
        <f>IF('Données projet'!$A$36&gt;35,N26+M27-V26,IF(A27&lt;'Données projet'!$A$36,$K$205^A27,IF(A27='Données projet'!$A$36,'Données projet'!$B$36,N26+M27-V26)))</f>
        <v>72.400000000000006</v>
      </c>
      <c r="O27" s="14">
        <f>N27*VLOOKUP('Données projet'!$B$9,Paramètres!$A$1:$I$89,3,0)*VLOOKUP('Données projet'!$B$9,Paramètres!$A$1:$I$89,5,0)</f>
        <v>73.413600000000002</v>
      </c>
      <c r="P27" s="14">
        <f t="shared" si="33"/>
        <v>20.518811369252536</v>
      </c>
      <c r="Q27" s="22">
        <f t="shared" si="2"/>
        <v>163.59894980144816</v>
      </c>
      <c r="R27" s="62">
        <f t="shared" si="0"/>
        <v>456.93228313478147</v>
      </c>
      <c r="S27" s="62">
        <f ca="1">AVERAGE(OFFSET($R$3,0,0,'Données projet'!$E$9+1,1))-AVERAGE(OFFSET($H$3,0,0,'Données projet'!$E$9+1,1))</f>
        <v>257.49385297440318</v>
      </c>
      <c r="T27" s="62">
        <f t="shared" si="34"/>
        <v>171.3281518185355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6.3325490196078427</v>
      </c>
      <c r="AI27" s="14">
        <f>IF('Données projet'!$A$62&gt;35,AI26+AH27-AQ26,IF(A27&lt;'Données projet'!$A$62,$AF$205^A27,IF(A27='Données projet'!$A$62,'Données projet'!$B$62,AI26+AH27-AQ26)))</f>
        <v>151.98117647058822</v>
      </c>
      <c r="AJ27" s="14">
        <f>AI27*VLOOKUP('Données projet'!$B$10,Paramètres!$A$1:$I$89,3,0)*VLOOKUP('Données projet'!$B$10,Paramètres!$A$1:$I$89,5,0)</f>
        <v>71.12719058823528</v>
      </c>
      <c r="AK27" s="14">
        <f t="shared" si="35"/>
        <v>19.953117944306157</v>
      </c>
      <c r="AL27" s="22">
        <f t="shared" si="4"/>
        <v>158.631537360843</v>
      </c>
      <c r="AM27" s="62">
        <f t="shared" si="5"/>
        <v>451.96487069417628</v>
      </c>
      <c r="AN27" s="62">
        <f ca="1">AVERAGE(OFFSET($AM$3,0,0,'Données projet'!$E$10+1,1))-AVERAGE(OFFSET($H$3,0,0,'Données projet'!$E$10+1,1))</f>
        <v>174.86489869124688</v>
      </c>
      <c r="AO27" s="62">
        <f t="shared" si="36"/>
        <v>146.54591565663782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335.74499135627178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79</v>
      </c>
      <c r="L28" s="13">
        <f>VLOOKUP(A28,'Données projet'!$A$35:$I$55,9,0)</f>
        <v>6.6</v>
      </c>
      <c r="M28" s="13">
        <f t="array" ref="M28">INDEX(L:L,MIN(IF(ISNUMBER(L28:L224),ROW(L28:L224),"")))</f>
        <v>6.6</v>
      </c>
      <c r="N28" s="14">
        <f>IF('Données projet'!$A$36&gt;35,N27+M28-V27,IF(A28&lt;'Données projet'!$A$36,$K$205^A28,IF(A28='Données projet'!$A$36,'Données projet'!$B$36,N27+M28-V27)))</f>
        <v>79</v>
      </c>
      <c r="O28" s="14">
        <f>N28*VLOOKUP('Données projet'!$B$9,Paramètres!$A$1:$I$89,3,0)*VLOOKUP('Données projet'!$B$9,Paramètres!$A$1:$I$89,5,0)</f>
        <v>80.106000000000009</v>
      </c>
      <c r="P28" s="14">
        <f t="shared" si="33"/>
        <v>22.163099682076496</v>
      </c>
      <c r="Q28" s="22">
        <f t="shared" si="2"/>
        <v>178.11868194628323</v>
      </c>
      <c r="R28" s="62">
        <f t="shared" si="0"/>
        <v>471.45201527961655</v>
      </c>
      <c r="S28" s="62">
        <f ca="1">AVERAGE(OFFSET($R$3,0,0,'Données projet'!$E$9+1,1))-AVERAGE(OFFSET($H$3,0,0,'Données projet'!$E$9+1,1))</f>
        <v>257.49385297440318</v>
      </c>
      <c r="T28" s="62">
        <f t="shared" si="34"/>
        <v>171.3281518185355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15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6.3325490196078427</v>
      </c>
      <c r="AI28" s="14">
        <f>IF('Données projet'!$A$62&gt;35,AI27+AH28-AQ27,IF(A28&lt;'Données projet'!$A$62,$AF$205^A28,IF(A28='Données projet'!$A$62,'Données projet'!$B$62,AI27+AH28-AQ27)))</f>
        <v>158.31372549019608</v>
      </c>
      <c r="AJ28" s="14">
        <f>AI28*VLOOKUP('Données projet'!$B$10,Paramètres!$A$1:$I$89,3,0)*VLOOKUP('Données projet'!$B$10,Paramètres!$A$1:$I$89,5,0)</f>
        <v>74.090823529411765</v>
      </c>
      <c r="AK28" s="14">
        <f t="shared" si="35"/>
        <v>20.685970842313679</v>
      </c>
      <c r="AL28" s="22">
        <f t="shared" si="4"/>
        <v>165.06958353075512</v>
      </c>
      <c r="AM28" s="62">
        <f t="shared" si="5"/>
        <v>458.40291686408841</v>
      </c>
      <c r="AN28" s="62">
        <f ca="1">AVERAGE(OFFSET($AM$3,0,0,'Données projet'!$E$10+1,1))-AVERAGE(OFFSET($H$3,0,0,'Données projet'!$E$10+1,1))</f>
        <v>174.86489869124688</v>
      </c>
      <c r="AO28" s="62">
        <f t="shared" si="36"/>
        <v>146.54591565663782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337.39178034081073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71</v>
      </c>
      <c r="O29" s="14">
        <f>N29*VLOOKUP('Données projet'!$B$9,Paramètres!$A$1:$I$89,3,0)*VLOOKUP('Données projet'!$B$9,Paramètres!$A$1:$I$89,5,0)</f>
        <v>71.994</v>
      </c>
      <c r="P29" s="14">
        <f t="shared" si="33"/>
        <v>20.167825678149413</v>
      </c>
      <c r="Q29" s="22">
        <f t="shared" si="2"/>
        <v>160.51517972277688</v>
      </c>
      <c r="R29" s="62">
        <f t="shared" si="0"/>
        <v>453.84851305611016</v>
      </c>
      <c r="S29" s="62">
        <f ca="1">AVERAGE(OFFSET($R$3,0,0,'Données projet'!$E$9+1,1))-AVERAGE(OFFSET($H$3,0,0,'Données projet'!$E$9+1,1))</f>
        <v>257.49385297440318</v>
      </c>
      <c r="T29" s="62">
        <f t="shared" si="34"/>
        <v>171.3281518185355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6.3325490196078427</v>
      </c>
      <c r="AI29" s="14">
        <f>IF('Données projet'!$A$62&gt;35,AI28+AH29-AQ28,IF(A29&lt;'Données projet'!$A$62,$AF$205^A29,IF(A29='Données projet'!$A$62,'Données projet'!$B$62,AI28+AH29-AQ28)))</f>
        <v>164.64627450980393</v>
      </c>
      <c r="AJ29" s="14">
        <f>AI29*VLOOKUP('Données projet'!$B$10,Paramètres!$A$1:$I$89,3,0)*VLOOKUP('Données projet'!$B$10,Paramètres!$A$1:$I$89,5,0)</f>
        <v>77.054456470588235</v>
      </c>
      <c r="AK29" s="14">
        <f t="shared" si="35"/>
        <v>21.415418549393475</v>
      </c>
      <c r="AL29" s="22">
        <f t="shared" si="4"/>
        <v>171.50169899313482</v>
      </c>
      <c r="AM29" s="62">
        <f t="shared" si="5"/>
        <v>464.83503232646814</v>
      </c>
      <c r="AN29" s="62">
        <f ca="1">AVERAGE(OFFSET($AM$3,0,0,'Données projet'!$E$10+1,1))-AVERAGE(OFFSET($H$3,0,0,'Données projet'!$E$10+1,1))</f>
        <v>174.86489869124688</v>
      </c>
      <c r="AO29" s="62">
        <f t="shared" si="36"/>
        <v>146.54591565663782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339.03691703386005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78</v>
      </c>
      <c r="O30" s="14">
        <f>N30*VLOOKUP('Données projet'!$B$9,Paramètres!$A$1:$I$89,3,0)*VLOOKUP('Données projet'!$B$9,Paramètres!$A$1:$I$89,5,0)</f>
        <v>79.092000000000013</v>
      </c>
      <c r="P30" s="14">
        <f t="shared" si="33"/>
        <v>21.915026131450009</v>
      </c>
      <c r="Q30" s="22">
        <f t="shared" si="2"/>
        <v>175.92057051227542</v>
      </c>
      <c r="R30" s="62">
        <f t="shared" si="0"/>
        <v>469.25390384560876</v>
      </c>
      <c r="S30" s="62">
        <f ca="1">AVERAGE(OFFSET($R$3,0,0,'Données projet'!$E$9+1,1))-AVERAGE(OFFSET($H$3,0,0,'Données projet'!$E$9+1,1))</f>
        <v>257.49385297440318</v>
      </c>
      <c r="T30" s="62">
        <f t="shared" si="34"/>
        <v>171.3281518185355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6.3325490196078427</v>
      </c>
      <c r="AI30" s="14">
        <f>IF('Données projet'!$A$62&gt;35,AI29+AH30-AQ29,IF(A30&lt;'Données projet'!$A$62,$AF$205^A30,IF(A30='Données projet'!$A$62,'Données projet'!$B$62,AI29+AH30-AQ29)))</f>
        <v>170.97882352941178</v>
      </c>
      <c r="AJ30" s="14">
        <f>AI30*VLOOKUP('Données projet'!$B$10,Paramètres!$A$1:$I$89,3,0)*VLOOKUP('Données projet'!$B$10,Paramètres!$A$1:$I$89,5,0)</f>
        <v>80.01808941176472</v>
      </c>
      <c r="AK30" s="14">
        <f t="shared" si="35"/>
        <v>22.141607025677867</v>
      </c>
      <c r="AL30" s="22">
        <f t="shared" si="4"/>
        <v>177.92813796187917</v>
      </c>
      <c r="AM30" s="62">
        <f t="shared" si="5"/>
        <v>471.26147129521246</v>
      </c>
      <c r="AN30" s="62">
        <f ca="1">AVERAGE(OFFSET($AM$3,0,0,'Données projet'!$E$10+1,1))-AVERAGE(OFFSET($H$3,0,0,'Données projet'!$E$10+1,1))</f>
        <v>174.86489869124688</v>
      </c>
      <c r="AO30" s="62">
        <f t="shared" si="36"/>
        <v>146.54591565663782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340.68046963928816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85</v>
      </c>
      <c r="O31" s="14">
        <f>N31*VLOOKUP('Données projet'!$B$9,Paramètres!$A$1:$I$89,3,0)*VLOOKUP('Données projet'!$B$9,Paramètres!$A$1:$I$89,5,0)</f>
        <v>86.19</v>
      </c>
      <c r="P31" s="14">
        <f t="shared" si="33"/>
        <v>23.644044315518833</v>
      </c>
      <c r="Q31" s="22">
        <f t="shared" si="2"/>
        <v>191.29429384952866</v>
      </c>
      <c r="R31" s="62">
        <f t="shared" si="0"/>
        <v>484.62762718286194</v>
      </c>
      <c r="S31" s="62">
        <f ca="1">AVERAGE(OFFSET($R$3,0,0,'Données projet'!$E$9+1,1))-AVERAGE(OFFSET($H$3,0,0,'Données projet'!$E$9+1,1))</f>
        <v>257.49385297440318</v>
      </c>
      <c r="T31" s="62">
        <f t="shared" si="34"/>
        <v>171.3281518185355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6.3325490196078427</v>
      </c>
      <c r="AI31" s="14">
        <f>IF('Données projet'!$A$62&gt;35,AI30+AH31-AQ30,IF(A31&lt;'Données projet'!$A$62,$AF$205^A31,IF(A31='Données projet'!$A$62,'Données projet'!$B$62,AI30+AH31-AQ30)))</f>
        <v>177.31137254901964</v>
      </c>
      <c r="AJ31" s="14">
        <f>AI31*VLOOKUP('Données projet'!$B$10,Paramètres!$A$1:$I$89,3,0)*VLOOKUP('Données projet'!$B$10,Paramètres!$A$1:$I$89,5,0)</f>
        <v>82.98172235294119</v>
      </c>
      <c r="AK31" s="14">
        <f t="shared" si="35"/>
        <v>22.864670806840319</v>
      </c>
      <c r="AL31" s="22">
        <f t="shared" si="4"/>
        <v>184.34913475328611</v>
      </c>
      <c r="AM31" s="62">
        <f t="shared" si="5"/>
        <v>477.68246808661945</v>
      </c>
      <c r="AN31" s="62">
        <f ca="1">AVERAGE(OFFSET($AM$3,0,0,'Données projet'!$E$10+1,1))-AVERAGE(OFFSET($H$3,0,0,'Données projet'!$E$10+1,1))</f>
        <v>174.86489869124688</v>
      </c>
      <c r="AO31" s="62">
        <f t="shared" si="36"/>
        <v>146.54591565663782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342.32250121309005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92</v>
      </c>
      <c r="O32" s="14">
        <f>N32*VLOOKUP('Données projet'!$B$9,Paramètres!$A$1:$I$89,3,0)*VLOOKUP('Données projet'!$B$9,Paramètres!$A$1:$I$89,5,0)</f>
        <v>93.288000000000011</v>
      </c>
      <c r="P32" s="14">
        <f t="shared" si="33"/>
        <v>25.356547829040977</v>
      </c>
      <c r="Q32" s="22">
        <f t="shared" si="2"/>
        <v>206.63925413557971</v>
      </c>
      <c r="R32" s="62">
        <f t="shared" si="0"/>
        <v>499.97258746891305</v>
      </c>
      <c r="S32" s="62">
        <f ca="1">AVERAGE(OFFSET($R$3,0,0,'Données projet'!$E$9+1,1))-AVERAGE(OFFSET($H$3,0,0,'Données projet'!$E$9+1,1))</f>
        <v>257.49385297440318</v>
      </c>
      <c r="T32" s="62">
        <f t="shared" si="34"/>
        <v>171.3281518185355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6.3325490196078427</v>
      </c>
      <c r="AI32" s="14">
        <f>IF('Données projet'!$A$62&gt;35,AI31+AH32-AQ31,IF(A32&lt;'Données projet'!$A$62,$AF$205^A32,IF(A32='Données projet'!$A$62,'Données projet'!$B$62,AI31+AH32-AQ31)))</f>
        <v>183.64392156862749</v>
      </c>
      <c r="AJ32" s="14">
        <f>AI32*VLOOKUP('Données projet'!$B$10,Paramètres!$A$1:$I$89,3,0)*VLOOKUP('Données projet'!$B$10,Paramètres!$A$1:$I$89,5,0)</f>
        <v>85.945355294117661</v>
      </c>
      <c r="AK32" s="14">
        <f t="shared" si="35"/>
        <v>23.584734274106435</v>
      </c>
      <c r="AL32" s="22">
        <f t="shared" si="4"/>
        <v>190.76490599799027</v>
      </c>
      <c r="AM32" s="62">
        <f t="shared" si="5"/>
        <v>484.09823933132361</v>
      </c>
      <c r="AN32" s="62">
        <f ca="1">AVERAGE(OFFSET($AM$3,0,0,'Données projet'!$E$10+1,1))-AVERAGE(OFFSET($H$3,0,0,'Données projet'!$E$10+1,1))</f>
        <v>174.86489869124688</v>
      </c>
      <c r="AO32" s="62">
        <f t="shared" si="36"/>
        <v>146.54591565663782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343.96307021592793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99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99</v>
      </c>
      <c r="O33" s="14">
        <f>N33*VLOOKUP('Données projet'!$B$9,Paramètres!$A$1:$I$89,3,0)*VLOOKUP('Données projet'!$B$9,Paramètres!$A$1:$I$89,5,0)</f>
        <v>100.38600000000001</v>
      </c>
      <c r="P33" s="14">
        <f t="shared" si="33"/>
        <v>27.05393609634266</v>
      </c>
      <c r="Q33" s="22">
        <f t="shared" si="2"/>
        <v>221.95788870113014</v>
      </c>
      <c r="R33" s="62">
        <f t="shared" si="0"/>
        <v>515.29122203446343</v>
      </c>
      <c r="S33" s="62">
        <f ca="1">AVERAGE(OFFSET($R$3,0,0,'Données projet'!$E$9+1,1))-AVERAGE(OFFSET($H$3,0,0,'Données projet'!$E$9+1,1))</f>
        <v>257.49385297440318</v>
      </c>
      <c r="T33" s="62">
        <f t="shared" si="34"/>
        <v>171.3281518185355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17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6.3325490196078427</v>
      </c>
      <c r="AI33" s="14">
        <f>IF('Données projet'!$A$62&gt;35,AI32+AH33-AQ32,IF(A33&lt;'Données projet'!$A$62,$AF$205^A33,IF(A33='Données projet'!$A$62,'Données projet'!$B$62,AI32+AH33-AQ32)))</f>
        <v>189.97647058823534</v>
      </c>
      <c r="AJ33" s="14">
        <f>AI33*VLOOKUP('Données projet'!$B$10,Paramètres!$A$1:$I$89,3,0)*VLOOKUP('Données projet'!$B$10,Paramètres!$A$1:$I$89,5,0)</f>
        <v>88.908988235294146</v>
      </c>
      <c r="AK33" s="14">
        <f t="shared" si="35"/>
        <v>24.301912744169435</v>
      </c>
      <c r="AL33" s="22">
        <f t="shared" si="4"/>
        <v>197.1756525392324</v>
      </c>
      <c r="AM33" s="62">
        <f t="shared" si="5"/>
        <v>490.50898587256575</v>
      </c>
      <c r="AN33" s="62">
        <f ca="1">AVERAGE(OFFSET($AM$3,0,0,'Données projet'!$E$10+1,1))-AVERAGE(OFFSET($H$3,0,0,'Données projet'!$E$10+1,1))</f>
        <v>174.86489869124688</v>
      </c>
      <c r="AO33" s="62">
        <f t="shared" si="36"/>
        <v>146.54591565663782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345.60223098993072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7.4</v>
      </c>
      <c r="N34" s="14">
        <f>IF('Données projet'!$A$36&gt;35,N33+M34-V33,IF(A34&lt;'Données projet'!$A$36,$K$205^A34,IF(A34='Données projet'!$A$36,'Données projet'!$B$36,N33+M34-V33)))</f>
        <v>89.4</v>
      </c>
      <c r="O34" s="14">
        <f>N34*VLOOKUP('Données projet'!$B$9,Paramètres!$A$1:$I$89,3,0)*VLOOKUP('Données projet'!$B$9,Paramètres!$A$1:$I$89,5,0)</f>
        <v>90.651600000000016</v>
      </c>
      <c r="P34" s="14">
        <f t="shared" si="33"/>
        <v>24.722309183064368</v>
      </c>
      <c r="Q34" s="22">
        <f t="shared" si="2"/>
        <v>200.94289182717046</v>
      </c>
      <c r="R34" s="62">
        <f t="shared" si="0"/>
        <v>494.27622516050377</v>
      </c>
      <c r="S34" s="62">
        <f ca="1">AVERAGE(OFFSET($R$3,0,0,'Données projet'!$E$9+1,1))-AVERAGE(OFFSET($H$3,0,0,'Données projet'!$E$9+1,1))</f>
        <v>257.49385297440318</v>
      </c>
      <c r="T34" s="62">
        <f t="shared" si="34"/>
        <v>171.3281518185355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6.3325490196078427</v>
      </c>
      <c r="AI34" s="14">
        <f>IF('Données projet'!$A$62&gt;35,AI33+AH34-AQ33,IF(A34&lt;'Données projet'!$A$62,$AF$205^A34,IF(A34='Données projet'!$A$62,'Données projet'!$B$62,AI33+AH34-AQ33)))</f>
        <v>196.3090196078432</v>
      </c>
      <c r="AJ34" s="14">
        <f>AI34*VLOOKUP('Données projet'!$B$10,Paramètres!$A$1:$I$89,3,0)*VLOOKUP('Données projet'!$B$10,Paramètres!$A$1:$I$89,5,0)</f>
        <v>91.872621176470616</v>
      </c>
      <c r="AK34" s="14">
        <f t="shared" si="35"/>
        <v>25.016313409701443</v>
      </c>
      <c r="AL34" s="22">
        <f t="shared" si="4"/>
        <v>203.58156107091631</v>
      </c>
      <c r="AM34" s="62">
        <f t="shared" si="5"/>
        <v>496.91489440424959</v>
      </c>
      <c r="AN34" s="62">
        <f ca="1">AVERAGE(OFFSET($AM$3,0,0,'Données projet'!$E$10+1,1))-AVERAGE(OFFSET($H$3,0,0,'Données projet'!$E$10+1,1))</f>
        <v>174.86489869124688</v>
      </c>
      <c r="AO34" s="62">
        <f t="shared" si="36"/>
        <v>146.54591565663782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347.24003417224236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7.4</v>
      </c>
      <c r="N35" s="14">
        <f>IF('Données projet'!$A$36&gt;35,N34+M35-V34,IF(A35&lt;'Données projet'!$A$36,$K$205^A35,IF(A35='Données projet'!$A$36,'Données projet'!$B$36,N34+M35-V34)))</f>
        <v>96.800000000000011</v>
      </c>
      <c r="O35" s="14">
        <f>N35*VLOOKUP('Données projet'!$B$9,Paramètres!$A$1:$I$89,3,0)*VLOOKUP('Données projet'!$B$9,Paramètres!$A$1:$I$89,5,0)</f>
        <v>98.155200000000022</v>
      </c>
      <c r="P35" s="14">
        <f t="shared" si="33"/>
        <v>26.522024238465775</v>
      </c>
      <c r="Q35" s="22">
        <f t="shared" ref="Q35:Q66" si="53">(O35+P35)*0.475*44/12</f>
        <v>217.14616554866123</v>
      </c>
      <c r="R35" s="62">
        <f t="shared" si="0"/>
        <v>510.47949888199457</v>
      </c>
      <c r="S35" s="62">
        <f ca="1">AVERAGE(OFFSET($R$3,0,0,'Données projet'!$E$9+1,1))-AVERAGE(OFFSET($H$3,0,0,'Données projet'!$E$9+1,1))</f>
        <v>257.49385297440318</v>
      </c>
      <c r="T35" s="62">
        <f t="shared" si="34"/>
        <v>171.3281518185355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6.3325490196078427</v>
      </c>
      <c r="AI35" s="14">
        <f>IF('Données projet'!$A$62&gt;35,AI34+AH35-AQ34,IF(A35&lt;'Données projet'!$A$62,$AF$205^A35,IF(A35='Données projet'!$A$62,'Données projet'!$B$62,AI34+AH35-AQ34)))</f>
        <v>202.64156862745105</v>
      </c>
      <c r="AJ35" s="14">
        <f>AI35*VLOOKUP('Données projet'!$B$10,Paramètres!$A$1:$I$89,3,0)*VLOOKUP('Données projet'!$B$10,Paramètres!$A$1:$I$89,5,0)</f>
        <v>94.836254117647087</v>
      </c>
      <c r="AK35" s="14">
        <f t="shared" si="35"/>
        <v>25.728036155099314</v>
      </c>
      <c r="AL35" s="22">
        <f t="shared" si="4"/>
        <v>209.98280555836664</v>
      </c>
      <c r="AM35" s="62">
        <f t="shared" si="5"/>
        <v>503.31613889169995</v>
      </c>
      <c r="AN35" s="62">
        <f ca="1">AVERAGE(OFFSET($AM$3,0,0,'Données projet'!$E$10+1,1))-AVERAGE(OFFSET($H$3,0,0,'Données projet'!$E$10+1,1))</f>
        <v>174.86489869124688</v>
      </c>
      <c r="AO35" s="62">
        <f t="shared" si="36"/>
        <v>146.54591565663782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348.87652705542462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7.4</v>
      </c>
      <c r="N36" s="14">
        <f>IF('Données projet'!$A$36&gt;35,N35+M36-V35,IF(A36&lt;'Données projet'!$A$36,$K$205^A36,IF(A36='Données projet'!$A$36,'Données projet'!$B$36,N35+M36-V35)))</f>
        <v>104.20000000000002</v>
      </c>
      <c r="O36" s="14">
        <f>N36*VLOOKUP('Données projet'!$B$9,Paramètres!$A$1:$I$89,3,0)*VLOOKUP('Données projet'!$B$9,Paramètres!$A$1:$I$89,5,0)</f>
        <v>105.65880000000003</v>
      </c>
      <c r="P36" s="14">
        <f t="shared" si="33"/>
        <v>28.305779445097876</v>
      </c>
      <c r="Q36" s="22">
        <f t="shared" si="53"/>
        <v>233.32164253354551</v>
      </c>
      <c r="R36" s="62">
        <f t="shared" si="0"/>
        <v>526.65497586687889</v>
      </c>
      <c r="S36" s="62">
        <f ca="1">AVERAGE(OFFSET($R$3,0,0,'Données projet'!$E$9+1,1))-AVERAGE(OFFSET($H$3,0,0,'Données projet'!$E$9+1,1))</f>
        <v>257.49385297440318</v>
      </c>
      <c r="T36" s="62">
        <f t="shared" si="34"/>
        <v>171.3281518185355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6.3325490196078427</v>
      </c>
      <c r="AI36" s="14">
        <f>IF('Données projet'!$A$62&gt;35,AI35+AH36-AQ35,IF(A36&lt;'Données projet'!$A$62,$AF$205^A36,IF(A36='Données projet'!$A$62,'Données projet'!$B$62,AI35+AH36-AQ35)))</f>
        <v>208.9741176470589</v>
      </c>
      <c r="AJ36" s="14">
        <f>AI36*VLOOKUP('Données projet'!$B$10,Paramètres!$A$1:$I$89,3,0)*VLOOKUP('Données projet'!$B$10,Paramètres!$A$1:$I$89,5,0)</f>
        <v>97.799887058823572</v>
      </c>
      <c r="AK36" s="14">
        <f t="shared" si="35"/>
        <v>26.437174267397893</v>
      </c>
      <c r="AL36" s="22">
        <f t="shared" si="4"/>
        <v>216.37954847650238</v>
      </c>
      <c r="AM36" s="62">
        <f t="shared" si="5"/>
        <v>509.71288180983572</v>
      </c>
      <c r="AN36" s="62">
        <f ca="1">AVERAGE(OFFSET($AM$3,0,0,'Données projet'!$E$10+1,1))-AVERAGE(OFFSET($H$3,0,0,'Données projet'!$E$10+1,1))</f>
        <v>174.86489869124688</v>
      </c>
      <c r="AO36" s="62">
        <f t="shared" si="36"/>
        <v>146.54591565663782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350.51175390294725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7.4</v>
      </c>
      <c r="N37" s="14">
        <f>IF('Données projet'!$A$36&gt;35,N36+M37-V36,IF(A37&lt;'Données projet'!$A$36,$K$205^A37,IF(A37='Données projet'!$A$36,'Données projet'!$B$36,N36+M37-V36)))</f>
        <v>111.60000000000002</v>
      </c>
      <c r="O37" s="14">
        <f>N37*VLOOKUP('Données projet'!$B$9,Paramètres!$A$1:$I$89,3,0)*VLOOKUP('Données projet'!$B$9,Paramètres!$A$1:$I$89,5,0)</f>
        <v>113.16240000000003</v>
      </c>
      <c r="P37" s="14">
        <f t="shared" si="33"/>
        <v>30.074837140704965</v>
      </c>
      <c r="Q37" s="22">
        <f t="shared" si="53"/>
        <v>249.47152135339448</v>
      </c>
      <c r="R37" s="62">
        <f t="shared" si="0"/>
        <v>542.80485468672782</v>
      </c>
      <c r="S37" s="62">
        <f ca="1">AVERAGE(OFFSET($R$3,0,0,'Données projet'!$E$9+1,1))-AVERAGE(OFFSET($H$3,0,0,'Données projet'!$E$9+1,1))</f>
        <v>257.49385297440318</v>
      </c>
      <c r="T37" s="62">
        <f t="shared" si="34"/>
        <v>171.3281518185355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6.3325490196078427</v>
      </c>
      <c r="AI37" s="14">
        <f>IF('Données projet'!$A$62&gt;35,AI36+AH37-AQ36,IF(A37&lt;'Données projet'!$A$62,$AF$205^A37,IF(A37='Données projet'!$A$62,'Données projet'!$B$62,AI36+AH37-AQ36)))</f>
        <v>215.30666666666676</v>
      </c>
      <c r="AJ37" s="14">
        <f>AI37*VLOOKUP('Données projet'!$B$10,Paramètres!$A$1:$I$89,3,0)*VLOOKUP('Données projet'!$B$10,Paramètres!$A$1:$I$89,5,0)</f>
        <v>100.76352000000004</v>
      </c>
      <c r="AK37" s="14">
        <f t="shared" si="35"/>
        <v>27.143815058590718</v>
      </c>
      <c r="AL37" s="22">
        <f t="shared" si="4"/>
        <v>222.77194189371221</v>
      </c>
      <c r="AM37" s="62">
        <f t="shared" si="5"/>
        <v>516.10527522704547</v>
      </c>
      <c r="AN37" s="62">
        <f ca="1">AVERAGE(OFFSET($AM$3,0,0,'Données projet'!$E$10+1,1))-AVERAGE(OFFSET($H$3,0,0,'Données projet'!$E$10+1,1))</f>
        <v>174.86489869124688</v>
      </c>
      <c r="AO37" s="62">
        <f t="shared" si="36"/>
        <v>146.54591565663782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352.14575622651876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119</v>
      </c>
      <c r="L38" s="13">
        <f>VLOOKUP(A38,'Données projet'!$A$35:$I$55,9,0)</f>
        <v>7.4</v>
      </c>
      <c r="M38" s="13">
        <f t="array" ref="M38">INDEX(L:L,MIN(IF(ISNUMBER(L38:L234),ROW(L38:L234),"")))</f>
        <v>7.4</v>
      </c>
      <c r="N38" s="14">
        <f>IF('Données projet'!$A$36&gt;35,N37+M38-V37,IF(A38&lt;'Données projet'!$A$36,$K$205^A38,IF(A38='Données projet'!$A$36,'Données projet'!$B$36,N37+M38-V37)))</f>
        <v>119.00000000000003</v>
      </c>
      <c r="O38" s="14">
        <f>N38*VLOOKUP('Données projet'!$B$9,Paramètres!$A$1:$I$89,3,0)*VLOOKUP('Données projet'!$B$9,Paramètres!$A$1:$I$89,5,0)</f>
        <v>120.66600000000004</v>
      </c>
      <c r="P38" s="14">
        <f t="shared" si="33"/>
        <v>31.830282786190971</v>
      </c>
      <c r="Q38" s="22">
        <f t="shared" si="53"/>
        <v>265.59769251928265</v>
      </c>
      <c r="R38" s="62">
        <f t="shared" si="0"/>
        <v>558.9310258526159</v>
      </c>
      <c r="S38" s="62">
        <f ca="1">AVERAGE(OFFSET($R$3,0,0,'Données projet'!$E$9+1,1))-AVERAGE(OFFSET($H$3,0,0,'Données projet'!$E$9+1,1))</f>
        <v>257.49385297440318</v>
      </c>
      <c r="T38" s="62">
        <f t="shared" si="34"/>
        <v>171.3281518185355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19</v>
      </c>
      <c r="W38" s="17">
        <f>IF(ISNA(VLOOKUP(A38,'Données projet'!$A$35:$I$55,5,0)),0%,VLOOKUP(A38,'Données projet'!$A$35:$I$55,5,0)*VLOOKUP('Données projet'!$B$9,Paramètres!$A$1:$I$89,7,0))</f>
        <v>8.6000000000000007E-2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1.8316273405590362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1.8316273405590362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6.3325490196078427</v>
      </c>
      <c r="AI38" s="14">
        <f>IF('Données projet'!$A$62&gt;35,AI37+AH38-AQ37,IF(A38&lt;'Données projet'!$A$62,$AF$205^A38,IF(A38='Données projet'!$A$62,'Données projet'!$B$62,AI37+AH38-AQ37)))</f>
        <v>221.63921568627461</v>
      </c>
      <c r="AJ38" s="14">
        <f>AI38*VLOOKUP('Données projet'!$B$10,Paramètres!$A$1:$I$89,3,0)*VLOOKUP('Données projet'!$B$10,Paramètres!$A$1:$I$89,5,0)</f>
        <v>103.72715294117653</v>
      </c>
      <c r="AK38" s="14">
        <f t="shared" si="35"/>
        <v>27.848040412679186</v>
      </c>
      <c r="AL38" s="22">
        <f t="shared" si="4"/>
        <v>229.16012842463203</v>
      </c>
      <c r="AM38" s="62">
        <f t="shared" si="5"/>
        <v>522.49346175796541</v>
      </c>
      <c r="AN38" s="62">
        <f ca="1">AVERAGE(OFFSET($AM$3,0,0,'Données projet'!$E$10+1,1))-AVERAGE(OFFSET($H$3,0,0,'Données projet'!$E$10+1,1))</f>
        <v>174.86489869124688</v>
      </c>
      <c r="AO38" s="62">
        <f t="shared" si="36"/>
        <v>146.54591565663782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353.77857303083135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7.4</v>
      </c>
      <c r="N39" s="14">
        <f>IF('Données projet'!$A$36&gt;35,N38+M39-V38,IF(A39&lt;'Données projet'!$A$36,$K$205^A39,IF(A39='Données projet'!$A$36,'Données projet'!$B$36,N38+M39-V38)))</f>
        <v>107.40000000000003</v>
      </c>
      <c r="O39" s="14">
        <f>N39*VLOOKUP('Données projet'!$B$9,Paramètres!$A$1:$I$89,3,0)*VLOOKUP('Données projet'!$B$9,Paramètres!$A$1:$I$89,5,0)</f>
        <v>108.90360000000005</v>
      </c>
      <c r="P39" s="14">
        <f t="shared" si="33"/>
        <v>29.072513771748902</v>
      </c>
      <c r="Q39" s="22">
        <f t="shared" si="53"/>
        <v>240.30839815246273</v>
      </c>
      <c r="R39" s="62">
        <f t="shared" si="0"/>
        <v>533.64173148579607</v>
      </c>
      <c r="S39" s="62">
        <f ca="1">AVERAGE(OFFSET($R$3,0,0,'Données projet'!$E$9+1,1))-AVERAGE(OFFSET($H$3,0,0,'Données projet'!$E$9+1,1))</f>
        <v>257.49385297440318</v>
      </c>
      <c r="T39" s="62">
        <f t="shared" si="34"/>
        <v>171.3281518185355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1.7957102455930387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1.7957102455930387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6.3325490196078427</v>
      </c>
      <c r="AI39" s="14">
        <f>IF('Données projet'!$A$62&gt;35,AI38+AH39-AQ38,IF(A39&lt;'Données projet'!$A$62,$AF$205^A39,IF(A39='Données projet'!$A$62,'Données projet'!$B$62,AI38+AH39-AQ38)))</f>
        <v>227.97176470588246</v>
      </c>
      <c r="AJ39" s="14">
        <f>AI39*VLOOKUP('Données projet'!$B$10,Paramètres!$A$1:$I$89,3,0)*VLOOKUP('Données projet'!$B$10,Paramètres!$A$1:$I$89,5,0)</f>
        <v>106.69078588235298</v>
      </c>
      <c r="AK39" s="14">
        <f t="shared" si="35"/>
        <v>28.549927268444787</v>
      </c>
      <c r="AL39" s="22">
        <f t="shared" si="4"/>
        <v>235.54424207097281</v>
      </c>
      <c r="AM39" s="62">
        <f t="shared" si="5"/>
        <v>528.87757540430607</v>
      </c>
      <c r="AN39" s="62">
        <f ca="1">AVERAGE(OFFSET($AM$3,0,0,'Données projet'!$E$10+1,1))-AVERAGE(OFFSET($H$3,0,0,'Données projet'!$E$10+1,1))</f>
        <v>174.86489869124688</v>
      </c>
      <c r="AO39" s="62">
        <f t="shared" si="36"/>
        <v>146.54591565663782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355.41024103034721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7.4</v>
      </c>
      <c r="N40" s="14">
        <f>IF('Données projet'!$A$36&gt;35,N39+M40-V39,IF(A40&lt;'Données projet'!$A$36,$K$205^A40,IF(A40='Données projet'!$A$36,'Données projet'!$B$36,N39+M40-V39)))</f>
        <v>114.80000000000004</v>
      </c>
      <c r="O40" s="14">
        <f>N40*VLOOKUP('Données projet'!$B$9,Paramètres!$A$1:$I$89,3,0)*VLOOKUP('Données projet'!$B$9,Paramètres!$A$1:$I$89,5,0)</f>
        <v>116.40720000000006</v>
      </c>
      <c r="P40" s="14">
        <f t="shared" si="33"/>
        <v>30.835561008615734</v>
      </c>
      <c r="Q40" s="22">
        <f t="shared" si="53"/>
        <v>256.44780875667249</v>
      </c>
      <c r="R40" s="62">
        <f t="shared" si="0"/>
        <v>549.7811420900058</v>
      </c>
      <c r="S40" s="62">
        <f ca="1">AVERAGE(OFFSET($R$3,0,0,'Données projet'!$E$9+1,1))-AVERAGE(OFFSET($H$3,0,0,'Données projet'!$E$9+1,1))</f>
        <v>257.49385297440318</v>
      </c>
      <c r="T40" s="62">
        <f t="shared" si="34"/>
        <v>171.3281518185355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1.7604974629520596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1.7604974629520596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6.3325490196078427</v>
      </c>
      <c r="AI40" s="14">
        <f>IF('Données projet'!$A$62&gt;35,AI39+AH40-AQ39,IF(A40&lt;'Données projet'!$A$62,$AF$205^A40,IF(A40='Données projet'!$A$62,'Données projet'!$B$62,AI39+AH40-AQ39)))</f>
        <v>234.30431372549032</v>
      </c>
      <c r="AJ40" s="14">
        <f>AI40*VLOOKUP('Données projet'!$B$10,Paramètres!$A$1:$I$89,3,0)*VLOOKUP('Données projet'!$B$10,Paramètres!$A$1:$I$89,5,0)</f>
        <v>109.65441882352947</v>
      </c>
      <c r="AK40" s="14">
        <f t="shared" si="35"/>
        <v>29.249548047071574</v>
      </c>
      <c r="AL40" s="22">
        <f t="shared" si="4"/>
        <v>241.92440896629682</v>
      </c>
      <c r="AM40" s="62">
        <f t="shared" si="5"/>
        <v>535.25774229963008</v>
      </c>
      <c r="AN40" s="62">
        <f ca="1">AVERAGE(OFFSET($AM$3,0,0,'Données projet'!$E$10+1,1))-AVERAGE(OFFSET($H$3,0,0,'Données projet'!$E$10+1,1))</f>
        <v>174.86489869124688</v>
      </c>
      <c r="AO40" s="62">
        <f t="shared" si="36"/>
        <v>146.54591565663782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357.04079484198991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7.4</v>
      </c>
      <c r="N41" s="14">
        <f>IF('Données projet'!$A$36&gt;35,N40+M41-V40,IF(A41&lt;'Données projet'!$A$36,$K$205^A41,IF(A41='Données projet'!$A$36,'Données projet'!$B$36,N40+M41-V40)))</f>
        <v>122.20000000000005</v>
      </c>
      <c r="O41" s="14">
        <f>N41*VLOOKUP('Données projet'!$B$9,Paramètres!$A$1:$I$89,3,0)*VLOOKUP('Données projet'!$B$9,Paramètres!$A$1:$I$89,5,0)</f>
        <v>123.91080000000007</v>
      </c>
      <c r="P41" s="14">
        <f t="shared" si="33"/>
        <v>32.58541972748889</v>
      </c>
      <c r="Q41" s="22">
        <f t="shared" si="53"/>
        <v>272.5642493587099</v>
      </c>
      <c r="R41" s="62">
        <f t="shared" si="0"/>
        <v>565.89758269204322</v>
      </c>
      <c r="S41" s="62">
        <f ca="1">AVERAGE(OFFSET($R$3,0,0,'Données projet'!$E$9+1,1))-AVERAGE(OFFSET($H$3,0,0,'Données projet'!$E$9+1,1))</f>
        <v>257.49385297440318</v>
      </c>
      <c r="T41" s="62">
        <f t="shared" si="34"/>
        <v>171.3281518185355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1.7259751815009934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1.7259751815009934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6.3325490196078427</v>
      </c>
      <c r="AI41" s="14">
        <f>IF('Données projet'!$A$62&gt;35,AI40+AH41-AQ40,IF(A41&lt;'Données projet'!$A$62,$AF$205^A41,IF(A41='Données projet'!$A$62,'Données projet'!$B$62,AI40+AH41-AQ40)))</f>
        <v>240.63686274509817</v>
      </c>
      <c r="AJ41" s="14">
        <f>AI41*VLOOKUP('Données projet'!$B$10,Paramètres!$A$1:$I$89,3,0)*VLOOKUP('Données projet'!$B$10,Paramètres!$A$1:$I$89,5,0)</f>
        <v>112.61805176470595</v>
      </c>
      <c r="AK41" s="14">
        <f t="shared" si="35"/>
        <v>29.946971032239418</v>
      </c>
      <c r="AL41" s="22">
        <f t="shared" si="4"/>
        <v>248.30074803801315</v>
      </c>
      <c r="AM41" s="62">
        <f t="shared" si="5"/>
        <v>541.6340813713465</v>
      </c>
      <c r="AN41" s="62">
        <f ca="1">AVERAGE(OFFSET($AM$3,0,0,'Données projet'!$E$10+1,1))-AVERAGE(OFFSET($H$3,0,0,'Données projet'!$E$10+1,1))</f>
        <v>174.86489869124688</v>
      </c>
      <c r="AO41" s="62">
        <f t="shared" si="36"/>
        <v>146.54591565663782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358.67026715698137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7.4</v>
      </c>
      <c r="N42" s="14">
        <f>IF('Données projet'!$A$36&gt;35,N41+M42-V41,IF(A42&lt;'Données projet'!$A$36,$K$205^A42,IF(A42='Données projet'!$A$36,'Données projet'!$B$36,N41+M42-V41)))</f>
        <v>129.60000000000005</v>
      </c>
      <c r="O42" s="14">
        <f>N42*VLOOKUP('Données projet'!$B$9,Paramètres!$A$1:$I$89,3,0)*VLOOKUP('Données projet'!$B$9,Paramètres!$A$1:$I$89,5,0)</f>
        <v>131.41440000000006</v>
      </c>
      <c r="P42" s="14">
        <f t="shared" si="33"/>
        <v>34.32297952601067</v>
      </c>
      <c r="Q42" s="22">
        <f t="shared" si="53"/>
        <v>288.65926934113531</v>
      </c>
      <c r="R42" s="62">
        <f t="shared" si="0"/>
        <v>581.99260267446857</v>
      </c>
      <c r="S42" s="62">
        <f ca="1">AVERAGE(OFFSET($R$3,0,0,'Données projet'!$E$9+1,1))-AVERAGE(OFFSET($H$3,0,0,'Données projet'!$E$9+1,1))</f>
        <v>257.49385297440318</v>
      </c>
      <c r="T42" s="62">
        <f t="shared" si="34"/>
        <v>171.3281518185355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1.69212986093267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1.69212986093267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6.3325490196078427</v>
      </c>
      <c r="AI42" s="14">
        <f>IF('Données projet'!$A$62&gt;35,AI41+AH42-AQ41,IF(A42&lt;'Données projet'!$A$62,$AF$205^A42,IF(A42='Données projet'!$A$62,'Données projet'!$B$62,AI41+AH42-AQ41)))</f>
        <v>246.96941176470602</v>
      </c>
      <c r="AJ42" s="14">
        <f>AI42*VLOOKUP('Données projet'!$B$10,Paramètres!$A$1:$I$89,3,0)*VLOOKUP('Données projet'!$B$10,Paramètres!$A$1:$I$89,5,0)</f>
        <v>115.58168470588241</v>
      </c>
      <c r="AK42" s="14">
        <f t="shared" si="35"/>
        <v>30.642260709081778</v>
      </c>
      <c r="AL42" s="22">
        <f t="shared" si="4"/>
        <v>254.6733715977293</v>
      </c>
      <c r="AM42" s="62">
        <f t="shared" si="5"/>
        <v>548.00670493106259</v>
      </c>
      <c r="AN42" s="62">
        <f ca="1">AVERAGE(OFFSET($AM$3,0,0,'Données projet'!$E$10+1,1))-AVERAGE(OFFSET($H$3,0,0,'Données projet'!$E$10+1,1))</f>
        <v>174.86489869124688</v>
      </c>
      <c r="AO42" s="62">
        <f t="shared" si="36"/>
        <v>146.54591565663782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360.29868889455889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7.4</v>
      </c>
      <c r="M43" s="13">
        <f t="array" ref="M43">INDEX(L:L,MIN(IF(ISNUMBER(L43:L239),ROW(L43:L239),"")))</f>
        <v>7.4</v>
      </c>
      <c r="N43" s="14">
        <f>IF('Données projet'!$A$36&gt;35,N42+M43-V42,IF(A43&lt;'Données projet'!$A$36,$K$205^A43,IF(A43='Données projet'!$A$36,'Données projet'!$B$36,N42+M43-V42)))</f>
        <v>137.00000000000006</v>
      </c>
      <c r="O43" s="14">
        <f>N43*VLOOKUP('Données projet'!$B$9,Paramètres!$A$1:$I$89,3,0)*VLOOKUP('Données projet'!$B$9,Paramètres!$A$1:$I$89,5,0)</f>
        <v>138.91800000000006</v>
      </c>
      <c r="P43" s="14">
        <f t="shared" si="33"/>
        <v>36.049022673886341</v>
      </c>
      <c r="Q43" s="22">
        <f t="shared" si="53"/>
        <v>304.73423115701877</v>
      </c>
      <c r="R43" s="62">
        <f t="shared" si="0"/>
        <v>598.06756449035208</v>
      </c>
      <c r="S43" s="62">
        <f ca="1">AVERAGE(OFFSET($R$3,0,0,'Données projet'!$E$9+1,1))-AVERAGE(OFFSET($H$3,0,0,'Données projet'!$E$9+1,1))</f>
        <v>257.49385297440318</v>
      </c>
      <c r="T43" s="62">
        <f t="shared" si="34"/>
        <v>171.3281518185355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20</v>
      </c>
      <c r="W43" s="17">
        <f>IF(ISNA(VLOOKUP(A43,'Données projet'!$A$35:$I$55,5,0)),0%,VLOOKUP(A43,'Données projet'!$A$35:$I$55,5,0)*VLOOKUP('Données projet'!$B$9,Paramètres!$A$1:$I$89,7,0))</f>
        <v>8.6000000000000007E-2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3.5869770059929129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3.5869770059929129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6.3325490196078427</v>
      </c>
      <c r="AI43" s="14">
        <f>IF('Données projet'!$A$62&gt;35,AI42+AH43-AQ42,IF(A43&lt;'Données projet'!$A$62,$AF$205^A43,IF(A43='Données projet'!$A$62,'Données projet'!$B$62,AI42+AH43-AQ42)))</f>
        <v>253.30196078431388</v>
      </c>
      <c r="AJ43" s="14">
        <f>AI43*VLOOKUP('Données projet'!$B$10,Paramètres!$A$1:$I$89,3,0)*VLOOKUP('Données projet'!$B$10,Paramètres!$A$1:$I$89,5,0)</f>
        <v>118.54531764705889</v>
      </c>
      <c r="AK43" s="14">
        <f t="shared" si="35"/>
        <v>31.335478067400494</v>
      </c>
      <c r="AL43" s="22">
        <f t="shared" si="4"/>
        <v>261.04238586935008</v>
      </c>
      <c r="AM43" s="62">
        <f t="shared" si="5"/>
        <v>554.3757192026834</v>
      </c>
      <c r="AN43" s="62">
        <f ca="1">AVERAGE(OFFSET($AM$3,0,0,'Données projet'!$E$10+1,1))-AVERAGE(OFFSET($H$3,0,0,'Données projet'!$E$10+1,1))</f>
        <v>174.86489869124688</v>
      </c>
      <c r="AO43" s="62">
        <f t="shared" si="36"/>
        <v>146.54591565663782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361.92608933988788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7.4</v>
      </c>
      <c r="N44" s="14">
        <f>IF('Données projet'!$A$36&gt;35,N43+M44-V43,IF(A44&lt;'Données projet'!$A$36,$K$205^A44,IF(A44='Données projet'!$A$36,'Données projet'!$B$36,N43+M44-V43)))</f>
        <v>124.40000000000006</v>
      </c>
      <c r="O44" s="14">
        <f>N44*VLOOKUP('Données projet'!$B$9,Paramètres!$A$1:$I$89,3,0)*VLOOKUP('Données projet'!$B$9,Paramètres!$A$1:$I$89,5,0)</f>
        <v>126.14160000000007</v>
      </c>
      <c r="P44" s="14">
        <f t="shared" si="33"/>
        <v>33.10323903126482</v>
      </c>
      <c r="Q44" s="22">
        <f t="shared" si="53"/>
        <v>277.35142797945304</v>
      </c>
      <c r="R44" s="62">
        <f t="shared" si="0"/>
        <v>570.68476131278635</v>
      </c>
      <c r="S44" s="62">
        <f ca="1">AVERAGE(OFFSET($R$3,0,0,'Données projet'!$E$9+1,1))-AVERAGE(OFFSET($H$3,0,0,'Données projet'!$E$9+1,1))</f>
        <v>257.49385297440318</v>
      </c>
      <c r="T44" s="62">
        <f t="shared" si="34"/>
        <v>171.3281518185355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3.5166385747453344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3.5166385747453344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6.3325490196078427</v>
      </c>
      <c r="AI44" s="14">
        <f>IF('Données projet'!$A$62&gt;35,AI43+AH44-AQ43,IF(A44&lt;'Données projet'!$A$62,$AF$205^A44,IF(A44='Données projet'!$A$62,'Données projet'!$B$62,AI43+AH44-AQ43)))</f>
        <v>259.63450980392173</v>
      </c>
      <c r="AJ44" s="14">
        <f>AI44*VLOOKUP('Données projet'!$B$10,Paramètres!$A$1:$I$89,3,0)*VLOOKUP('Données projet'!$B$10,Paramètres!$A$1:$I$89,5,0)</f>
        <v>121.50895058823538</v>
      </c>
      <c r="AK44" s="14">
        <f t="shared" si="35"/>
        <v>32.026680873705374</v>
      </c>
      <c r="AL44" s="22">
        <f t="shared" si="4"/>
        <v>267.40789146288012</v>
      </c>
      <c r="AM44" s="62">
        <f t="shared" si="5"/>
        <v>560.74122479621337</v>
      </c>
      <c r="AN44" s="62">
        <f ca="1">AVERAGE(OFFSET($AM$3,0,0,'Données projet'!$E$10+1,1))-AVERAGE(OFFSET($H$3,0,0,'Données projet'!$E$10+1,1))</f>
        <v>174.86489869124688</v>
      </c>
      <c r="AO44" s="62">
        <f t="shared" si="36"/>
        <v>146.54591565663782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363.55249626814032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7.4</v>
      </c>
      <c r="N45" s="14">
        <f>IF('Données projet'!$A$36&gt;35,N44+M45-V44,IF(A45&lt;'Données projet'!$A$36,$K$205^A45,IF(A45='Données projet'!$A$36,'Données projet'!$B$36,N44+M45-V44)))</f>
        <v>131.80000000000007</v>
      </c>
      <c r="O45" s="14">
        <f>N45*VLOOKUP('Données projet'!$B$9,Paramètres!$A$1:$I$89,3,0)*VLOOKUP('Données projet'!$B$9,Paramètres!$A$1:$I$89,5,0)</f>
        <v>133.64520000000007</v>
      </c>
      <c r="P45" s="14">
        <f t="shared" si="33"/>
        <v>34.837297589797402</v>
      </c>
      <c r="Q45" s="22">
        <f t="shared" si="53"/>
        <v>293.44034996889724</v>
      </c>
      <c r="R45" s="62">
        <f t="shared" si="0"/>
        <v>586.77368330223055</v>
      </c>
      <c r="S45" s="62">
        <f ca="1">AVERAGE(OFFSET($R$3,0,0,'Données projet'!$E$9+1,1))-AVERAGE(OFFSET($H$3,0,0,'Données projet'!$E$9+1,1))</f>
        <v>257.49385297440318</v>
      </c>
      <c r="T45" s="62">
        <f t="shared" si="34"/>
        <v>171.3281518185355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3.4476794372323138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3.4476794372323138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6.3325490196078427</v>
      </c>
      <c r="AI45" s="14">
        <f>IF('Données projet'!$A$62&gt;35,AI44+AH45-AQ44,IF(A45&lt;'Données projet'!$A$62,$AF$205^A45,IF(A45='Données projet'!$A$62,'Données projet'!$B$62,AI44+AH45-AQ44)))</f>
        <v>265.96705882352956</v>
      </c>
      <c r="AJ45" s="14">
        <f>AI45*VLOOKUP('Données projet'!$B$10,Paramètres!$A$1:$I$89,3,0)*VLOOKUP('Données projet'!$B$10,Paramètres!$A$1:$I$89,5,0)</f>
        <v>124.47258352941184</v>
      </c>
      <c r="AK45" s="14">
        <f t="shared" si="35"/>
        <v>32.715923915966371</v>
      </c>
      <c r="AL45" s="22">
        <f t="shared" si="4"/>
        <v>273.76998380070035</v>
      </c>
      <c r="AM45" s="62">
        <f t="shared" si="5"/>
        <v>567.10331713403366</v>
      </c>
      <c r="AN45" s="62">
        <f ca="1">AVERAGE(OFFSET($AM$3,0,0,'Données projet'!$E$10+1,1))-AVERAGE(OFFSET($H$3,0,0,'Données projet'!$E$10+1,1))</f>
        <v>174.86489869124688</v>
      </c>
      <c r="AO45" s="62">
        <f t="shared" si="36"/>
        <v>146.54591565663782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365.17793605642424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7.4</v>
      </c>
      <c r="N46" s="14">
        <f>IF('Données projet'!$A$36&gt;35,N45+M46-V45,IF(A46&lt;'Données projet'!$A$36,$K$205^A46,IF(A46='Données projet'!$A$36,'Données projet'!$B$36,N45+M46-V45)))</f>
        <v>139.20000000000007</v>
      </c>
      <c r="O46" s="14">
        <f>N46*VLOOKUP('Données projet'!$B$9,Paramètres!$A$1:$I$89,3,0)*VLOOKUP('Données projet'!$B$9,Paramètres!$A$1:$I$89,5,0)</f>
        <v>141.14880000000008</v>
      </c>
      <c r="P46" s="14">
        <f t="shared" si="33"/>
        <v>36.560054140504519</v>
      </c>
      <c r="Q46" s="22">
        <f t="shared" si="53"/>
        <v>309.50958762804549</v>
      </c>
      <c r="R46" s="62">
        <f t="shared" si="0"/>
        <v>602.84292096137881</v>
      </c>
      <c r="S46" s="62">
        <f ca="1">AVERAGE(OFFSET($R$3,0,0,'Données projet'!$E$9+1,1))-AVERAGE(OFFSET($H$3,0,0,'Données projet'!$E$9+1,1))</f>
        <v>257.49385297440318</v>
      </c>
      <c r="T46" s="62">
        <f t="shared" si="34"/>
        <v>171.3281518185355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3.3800725463450032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3.3800725463450032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6.3325490196078427</v>
      </c>
      <c r="AI46" s="14">
        <f>IF('Données projet'!$A$62&gt;35,AI45+AH46-AQ45,IF(A46&lt;'Données projet'!$A$62,$AF$205^A46,IF(A46='Données projet'!$A$62,'Données projet'!$B$62,AI45+AH46-AQ45)))</f>
        <v>272.29960784313738</v>
      </c>
      <c r="AJ46" s="14">
        <f>AI46*VLOOKUP('Données projet'!$B$10,Paramètres!$A$1:$I$89,3,0)*VLOOKUP('Données projet'!$B$10,Paramètres!$A$1:$I$89,5,0)</f>
        <v>127.43621647058829</v>
      </c>
      <c r="AK46" s="14">
        <f t="shared" si="35"/>
        <v>33.403259224399079</v>
      </c>
      <c r="AL46" s="22">
        <f t="shared" si="4"/>
        <v>280.12875350210294</v>
      </c>
      <c r="AM46" s="62">
        <f t="shared" si="5"/>
        <v>573.46208683543625</v>
      </c>
      <c r="AN46" s="62">
        <f ca="1">AVERAGE(OFFSET($AM$3,0,0,'Données projet'!$E$10+1,1))-AVERAGE(OFFSET($H$3,0,0,'Données projet'!$E$10+1,1))</f>
        <v>174.86489869124688</v>
      </c>
      <c r="AO46" s="62">
        <f t="shared" si="36"/>
        <v>146.54591565663782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366.80243378500688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7.4</v>
      </c>
      <c r="N47" s="14">
        <f>IF('Données projet'!$A$36&gt;35,N46+M47-V46,IF(A47&lt;'Données projet'!$A$36,$K$205^A47,IF(A47='Données projet'!$A$36,'Données projet'!$B$36,N46+M47-V46)))</f>
        <v>146.60000000000008</v>
      </c>
      <c r="O47" s="14">
        <f>N47*VLOOKUP('Données projet'!$B$9,Paramètres!$A$1:$I$89,3,0)*VLOOKUP('Données projet'!$B$9,Paramètres!$A$1:$I$89,5,0)</f>
        <v>148.65240000000009</v>
      </c>
      <c r="P47" s="14">
        <f t="shared" si="33"/>
        <v>38.272178020303841</v>
      </c>
      <c r="Q47" s="22">
        <f t="shared" si="53"/>
        <v>325.56030671869604</v>
      </c>
      <c r="R47" s="62">
        <f t="shared" si="0"/>
        <v>618.89364005202935</v>
      </c>
      <c r="S47" s="62">
        <f ca="1">AVERAGE(OFFSET($R$3,0,0,'Données projet'!$E$9+1,1))-AVERAGE(OFFSET($H$3,0,0,'Données projet'!$E$9+1,1))</f>
        <v>257.49385297440318</v>
      </c>
      <c r="T47" s="62">
        <f t="shared" si="34"/>
        <v>171.3281518185355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3.3137913853518608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3.3137913853518608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6.3325490196078427</v>
      </c>
      <c r="AI47" s="14">
        <f>IF('Données projet'!$A$62&gt;35,AI46+AH47-AQ46,IF(A47&lt;'Données projet'!$A$62,$AF$205^A47,IF(A47='Données projet'!$A$62,'Données projet'!$B$62,AI46+AH47-AQ46)))</f>
        <v>278.63215686274521</v>
      </c>
      <c r="AJ47" s="14">
        <f>AI47*VLOOKUP('Données projet'!$B$10,Paramètres!$A$1:$I$89,3,0)*VLOOKUP('Données projet'!$B$10,Paramètres!$A$1:$I$89,5,0)</f>
        <v>130.39984941176476</v>
      </c>
      <c r="AK47" s="14">
        <f t="shared" si="35"/>
        <v>34.088736271133541</v>
      </c>
      <c r="AL47" s="22">
        <f t="shared" si="4"/>
        <v>286.48428673104786</v>
      </c>
      <c r="AM47" s="62">
        <f t="shared" si="5"/>
        <v>579.81762006438112</v>
      </c>
      <c r="AN47" s="62">
        <f ca="1">AVERAGE(OFFSET($AM$3,0,0,'Données projet'!$E$10+1,1))-AVERAGE(OFFSET($H$3,0,0,'Données projet'!$E$10+1,1))</f>
        <v>174.86489869124688</v>
      </c>
      <c r="AO47" s="62">
        <f t="shared" si="36"/>
        <v>146.54591565663782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368.42601332907691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154</v>
      </c>
      <c r="L48" s="13">
        <f>VLOOKUP(A48,'Données projet'!$A$35:$I$55,9,0)</f>
        <v>7.4</v>
      </c>
      <c r="M48" s="13">
        <f t="array" ref="M48">INDEX(L:L,MIN(IF(ISNUMBER(L48:L244),ROW(L48:L244),"")))</f>
        <v>7.4</v>
      </c>
      <c r="N48" s="14">
        <f>IF('Données projet'!$A$36&gt;35,N47+M48-V47,IF(A48&lt;'Données projet'!$A$36,$K$205^A48,IF(A48='Données projet'!$A$36,'Données projet'!$B$36,N47+M48-V47)))</f>
        <v>154.00000000000009</v>
      </c>
      <c r="O48" s="14">
        <f>N48*VLOOKUP('Données projet'!$B$9,Paramètres!$A$1:$I$89,3,0)*VLOOKUP('Données projet'!$B$9,Paramètres!$A$1:$I$89,5,0)</f>
        <v>156.15600000000012</v>
      </c>
      <c r="P48" s="14">
        <f t="shared" si="33"/>
        <v>39.974267176222121</v>
      </c>
      <c r="Q48" s="22">
        <f t="shared" si="53"/>
        <v>341.59354866525376</v>
      </c>
      <c r="R48" s="62">
        <f t="shared" si="0"/>
        <v>634.92688199858708</v>
      </c>
      <c r="S48" s="62">
        <f ca="1">AVERAGE(OFFSET($R$3,0,0,'Données projet'!$E$9+1,1))-AVERAGE(OFFSET($H$3,0,0,'Données projet'!$E$9+1,1))</f>
        <v>257.49385297440318</v>
      </c>
      <c r="T48" s="62">
        <f t="shared" si="34"/>
        <v>171.3281518185355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0.129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6.2854552852672061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6.2854552852672061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6.3325490196078427</v>
      </c>
      <c r="AI48" s="14">
        <f>IF('Données projet'!$A$62&gt;35,AI47+AH48-AQ47,IF(A48&lt;'Données projet'!$A$62,$AF$205^A48,IF(A48='Données projet'!$A$62,'Données projet'!$B$62,AI47+AH48-AQ47)))</f>
        <v>284.96470588235303</v>
      </c>
      <c r="AJ48" s="14">
        <f>AI48*VLOOKUP('Données projet'!$B$10,Paramètres!$A$1:$I$89,3,0)*VLOOKUP('Données projet'!$B$10,Paramètres!$A$1:$I$89,5,0)</f>
        <v>133.36348235294122</v>
      </c>
      <c r="AK48" s="14">
        <f t="shared" si="35"/>
        <v>34.772402151219566</v>
      </c>
      <c r="AL48" s="22">
        <f t="shared" si="4"/>
        <v>292.8366655114134</v>
      </c>
      <c r="AM48" s="62">
        <f t="shared" si="5"/>
        <v>586.16999884474671</v>
      </c>
      <c r="AN48" s="62">
        <f ca="1">AVERAGE(OFFSET($AM$3,0,0,'Données projet'!$E$10+1,1))-AVERAGE(OFFSET($H$3,0,0,'Données projet'!$E$10+1,1))</f>
        <v>174.86489869124688</v>
      </c>
      <c r="AO48" s="62">
        <f t="shared" si="36"/>
        <v>146.54591565663782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370.04869744211982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7.6</v>
      </c>
      <c r="N49" s="14">
        <f>IF('Données projet'!$A$36&gt;35,N48+M49-V48,IF(A49&lt;'Données projet'!$A$36,$K$205^A49,IF(A49='Données projet'!$A$36,'Données projet'!$B$36,N48+M49-V48)))</f>
        <v>140.60000000000008</v>
      </c>
      <c r="O49" s="14">
        <f>N49*VLOOKUP('Données projet'!$B$9,Paramètres!$A$1:$I$89,3,0)*VLOOKUP('Données projet'!$B$9,Paramètres!$A$1:$I$89,5,0)</f>
        <v>142.56840000000008</v>
      </c>
      <c r="P49" s="14">
        <f t="shared" si="33"/>
        <v>36.884765886048392</v>
      </c>
      <c r="Q49" s="22">
        <f t="shared" si="53"/>
        <v>312.54759725153446</v>
      </c>
      <c r="R49" s="62">
        <f t="shared" si="0"/>
        <v>605.88093058486777</v>
      </c>
      <c r="S49" s="62">
        <f ca="1">AVERAGE(OFFSET($R$3,0,0,'Données projet'!$E$9+1,1))-AVERAGE(OFFSET($H$3,0,0,'Données projet'!$E$9+1,1))</f>
        <v>257.49385297440318</v>
      </c>
      <c r="T49" s="62">
        <f t="shared" si="34"/>
        <v>171.3281518185355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6.1622013408722891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6.1622013408722891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6.3325490196078427</v>
      </c>
      <c r="AI49" s="14">
        <f>IF('Données projet'!$A$62&gt;35,AI48+AH49-AQ48,IF(A49&lt;'Données projet'!$A$62,$AF$205^A49,IF(A49='Données projet'!$A$62,'Données projet'!$B$62,AI48+AH49-AQ48)))</f>
        <v>291.29725490196086</v>
      </c>
      <c r="AJ49" s="14">
        <f>AI49*VLOOKUP('Données projet'!$B$10,Paramètres!$A$1:$I$89,3,0)*VLOOKUP('Données projet'!$B$10,Paramètres!$A$1:$I$89,5,0)</f>
        <v>136.32711529411768</v>
      </c>
      <c r="AK49" s="14">
        <f t="shared" si="35"/>
        <v>35.454301747089289</v>
      </c>
      <c r="AL49" s="22">
        <f t="shared" si="4"/>
        <v>299.18596801343546</v>
      </c>
      <c r="AM49" s="62">
        <f t="shared" si="5"/>
        <v>592.51930134676877</v>
      </c>
      <c r="AN49" s="62">
        <f ca="1">AVERAGE(OFFSET($AM$3,0,0,'Données projet'!$E$10+1,1))-AVERAGE(OFFSET($H$3,0,0,'Données projet'!$E$10+1,1))</f>
        <v>174.86489869124688</v>
      </c>
      <c r="AO49" s="62">
        <f t="shared" si="36"/>
        <v>146.54591565663782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371.67050783183868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7.6</v>
      </c>
      <c r="N50" s="14">
        <f>IF('Données projet'!$A$36&gt;35,N49+M50-V49,IF(A50&lt;'Données projet'!$A$36,$K$205^A50,IF(A50='Données projet'!$A$36,'Données projet'!$B$36,N49+M50-V49)))</f>
        <v>148.20000000000007</v>
      </c>
      <c r="O50" s="14">
        <f>N50*VLOOKUP('Données projet'!$B$9,Paramètres!$A$1:$I$89,3,0)*VLOOKUP('Données projet'!$B$9,Paramètres!$A$1:$I$89,5,0)</f>
        <v>150.27480000000008</v>
      </c>
      <c r="P50" s="14">
        <f t="shared" si="33"/>
        <v>38.641028252978359</v>
      </c>
      <c r="Q50" s="22">
        <f t="shared" si="53"/>
        <v>329.02840087393741</v>
      </c>
      <c r="R50" s="62">
        <f t="shared" si="0"/>
        <v>622.36173420727073</v>
      </c>
      <c r="S50" s="62">
        <f ca="1">AVERAGE(OFFSET($R$3,0,0,'Données projet'!$E$9+1,1))-AVERAGE(OFFSET($H$3,0,0,'Données projet'!$E$9+1,1))</f>
        <v>257.49385297440318</v>
      </c>
      <c r="T50" s="62">
        <f t="shared" si="34"/>
        <v>171.3281518185355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6.0413643311494729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6.0413643311494729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6.3325490196078427</v>
      </c>
      <c r="AI50" s="14">
        <f>IF('Données projet'!$A$62&gt;35,AI49+AH50-AQ49,IF(A50&lt;'Données projet'!$A$62,$AF$205^A50,IF(A50='Données projet'!$A$62,'Données projet'!$B$62,AI49+AH50-AQ49)))</f>
        <v>297.62980392156868</v>
      </c>
      <c r="AJ50" s="14">
        <f>AI50*VLOOKUP('Données projet'!$B$10,Paramètres!$A$1:$I$89,3,0)*VLOOKUP('Données projet'!$B$10,Paramètres!$A$1:$I$89,5,0)</f>
        <v>139.29074823529416</v>
      </c>
      <c r="AK50" s="14">
        <f t="shared" si="35"/>
        <v>36.134477878314861</v>
      </c>
      <c r="AL50" s="22">
        <f t="shared" si="4"/>
        <v>305.53226881453571</v>
      </c>
      <c r="AM50" s="62">
        <f t="shared" si="5"/>
        <v>598.86560214786903</v>
      </c>
      <c r="AN50" s="62">
        <f ca="1">AVERAGE(OFFSET($AM$3,0,0,'Données projet'!$E$10+1,1))-AVERAGE(OFFSET($H$3,0,0,'Données projet'!$E$10+1,1))</f>
        <v>174.86489869124688</v>
      </c>
      <c r="AO50" s="62">
        <f t="shared" si="36"/>
        <v>146.54591565663782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373.29146522943171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7.6</v>
      </c>
      <c r="N51" s="14">
        <f>IF('Données projet'!$A$36&gt;35,N50+M51-V50,IF(A51&lt;'Données projet'!$A$36,$K$205^A51,IF(A51='Données projet'!$A$36,'Données projet'!$B$36,N50+M51-V50)))</f>
        <v>155.80000000000007</v>
      </c>
      <c r="O51" s="14">
        <f>N51*VLOOKUP('Données projet'!$B$9,Paramètres!$A$1:$I$89,3,0)*VLOOKUP('Données projet'!$B$9,Paramètres!$A$1:$I$89,5,0)</f>
        <v>157.98120000000009</v>
      </c>
      <c r="P51" s="14">
        <f t="shared" si="33"/>
        <v>40.386833472870585</v>
      </c>
      <c r="Q51" s="22">
        <f t="shared" si="53"/>
        <v>345.49099163191642</v>
      </c>
      <c r="R51" s="62">
        <f t="shared" si="0"/>
        <v>638.82432496524973</v>
      </c>
      <c r="S51" s="62">
        <f ca="1">AVERAGE(OFFSET($R$3,0,0,'Données projet'!$E$9+1,1))-AVERAGE(OFFSET($H$3,0,0,'Données projet'!$E$9+1,1))</f>
        <v>257.49385297440318</v>
      </c>
      <c r="T51" s="62">
        <f t="shared" si="34"/>
        <v>171.3281518185355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5.9228968614840234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5.9228968614840234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6.3325490196078427</v>
      </c>
      <c r="AI51" s="14">
        <f>IF('Données projet'!$A$62&gt;35,AI50+AH51-AQ50,IF(A51&lt;'Données projet'!$A$62,$AF$205^A51,IF(A51='Données projet'!$A$62,'Données projet'!$B$62,AI50+AH51-AQ50)))</f>
        <v>303.9623529411765</v>
      </c>
      <c r="AJ51" s="14">
        <f>AI51*VLOOKUP('Données projet'!$B$10,Paramètres!$A$1:$I$89,3,0)*VLOOKUP('Données projet'!$B$10,Paramètres!$A$1:$I$89,5,0)</f>
        <v>142.25438117647062</v>
      </c>
      <c r="AK51" s="14">
        <f t="shared" si="35"/>
        <v>36.812971438261386</v>
      </c>
      <c r="AL51" s="22">
        <f t="shared" si="4"/>
        <v>311.87563913732487</v>
      </c>
      <c r="AM51" s="62">
        <f t="shared" si="5"/>
        <v>605.20897247065818</v>
      </c>
      <c r="AN51" s="62">
        <f ca="1">AVERAGE(OFFSET($AM$3,0,0,'Données projet'!$E$10+1,1))-AVERAGE(OFFSET($H$3,0,0,'Données projet'!$E$10+1,1))</f>
        <v>174.86489869124688</v>
      </c>
      <c r="AO51" s="62">
        <f t="shared" si="36"/>
        <v>146.54591565663782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374.9115894529329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7.6</v>
      </c>
      <c r="N52" s="14">
        <f>IF('Données projet'!$A$36&gt;35,N51+M52-V51,IF(A52&lt;'Données projet'!$A$36,$K$205^A52,IF(A52='Données projet'!$A$36,'Données projet'!$B$36,N51+M52-V51)))</f>
        <v>163.40000000000006</v>
      </c>
      <c r="O52" s="14">
        <f>N52*VLOOKUP('Données projet'!$B$9,Paramètres!$A$1:$I$89,3,0)*VLOOKUP('Données projet'!$B$9,Paramètres!$A$1:$I$89,5,0)</f>
        <v>165.68760000000009</v>
      </c>
      <c r="P52" s="14">
        <f t="shared" si="33"/>
        <v>42.122749874294243</v>
      </c>
      <c r="Q52" s="22">
        <f t="shared" si="53"/>
        <v>361.93635936439591</v>
      </c>
      <c r="R52" s="62">
        <f t="shared" si="0"/>
        <v>655.26969269772917</v>
      </c>
      <c r="S52" s="62">
        <f ca="1">AVERAGE(OFFSET($R$3,0,0,'Données projet'!$E$9+1,1))-AVERAGE(OFFSET($H$3,0,0,'Données projet'!$E$9+1,1))</f>
        <v>257.49385297440318</v>
      </c>
      <c r="T52" s="62">
        <f t="shared" si="34"/>
        <v>171.3281518185355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5.8067524666406918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5.8067524666406918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6.3325490196078427</v>
      </c>
      <c r="AI52" s="14">
        <f>IF('Données projet'!$A$62&gt;35,AI51+AH52-AQ51,IF(A52&lt;'Données projet'!$A$62,$AF$205^A52,IF(A52='Données projet'!$A$62,'Données projet'!$B$62,AI51+AH52-AQ51)))</f>
        <v>310.29490196078433</v>
      </c>
      <c r="AJ52" s="14">
        <f>AI52*VLOOKUP('Données projet'!$B$10,Paramètres!$A$1:$I$89,3,0)*VLOOKUP('Données projet'!$B$10,Paramètres!$A$1:$I$89,5,0)</f>
        <v>145.21801411764707</v>
      </c>
      <c r="AK52" s="14">
        <f t="shared" si="35"/>
        <v>37.489821519030656</v>
      </c>
      <c r="AL52" s="22">
        <f t="shared" si="4"/>
        <v>318.21614706721363</v>
      </c>
      <c r="AM52" s="62">
        <f t="shared" si="5"/>
        <v>611.54948040054694</v>
      </c>
      <c r="AN52" s="62">
        <f ca="1">AVERAGE(OFFSET($AM$3,0,0,'Données projet'!$E$10+1,1))-AVERAGE(OFFSET($H$3,0,0,'Données projet'!$E$10+1,1))</f>
        <v>174.86489869124688</v>
      </c>
      <c r="AO52" s="62">
        <f t="shared" si="36"/>
        <v>146.54591565663782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376.53089946523693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171</v>
      </c>
      <c r="L53" s="13">
        <f>VLOOKUP(A53,'Données projet'!$A$35:$I$55,9,0)</f>
        <v>7.6</v>
      </c>
      <c r="M53" s="13">
        <f t="array" ref="M53">INDEX(L:L,MIN(IF(ISNUMBER(L53:L249),ROW(L53:L249),"")))</f>
        <v>7.6</v>
      </c>
      <c r="N53" s="14">
        <f>IF('Données projet'!$A$36&gt;35,N52+M53-V52,IF(A53&lt;'Données projet'!$A$36,$K$205^A53,IF(A53='Données projet'!$A$36,'Données projet'!$B$36,N52+M53-V52)))</f>
        <v>171.00000000000006</v>
      </c>
      <c r="O53" s="14">
        <f>N53*VLOOKUP('Données projet'!$B$9,Paramètres!$A$1:$I$89,3,0)*VLOOKUP('Données projet'!$B$9,Paramètres!$A$1:$I$89,5,0)</f>
        <v>173.39400000000006</v>
      </c>
      <c r="P53" s="14">
        <f t="shared" si="33"/>
        <v>43.849289930196633</v>
      </c>
      <c r="Q53" s="22">
        <f t="shared" si="53"/>
        <v>378.36539662842591</v>
      </c>
      <c r="R53" s="62">
        <f t="shared" si="0"/>
        <v>671.69872996175923</v>
      </c>
      <c r="S53" s="62">
        <f ca="1">AVERAGE(OFFSET($R$3,0,0,'Données projet'!$E$9+1,1))-AVERAGE(OFFSET($H$3,0,0,'Données projet'!$E$9+1,1))</f>
        <v>257.49385297440318</v>
      </c>
      <c r="T53" s="62">
        <f t="shared" si="34"/>
        <v>171.3281518185355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22</v>
      </c>
      <c r="W53" s="17">
        <f>IF(ISNA(VLOOKUP(A53,'Données projet'!$A$35:$I$55,5,0)),0%,VLOOKUP(A53,'Données projet'!$A$35:$I$55,5,0)*VLOOKUP('Données projet'!$B$9,Paramètres!$A$1:$I$89,7,0))</f>
        <v>0.129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8.8741330787732675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8.8741330787732675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6.3325490196078427</v>
      </c>
      <c r="AI53" s="14">
        <f>IF('Données projet'!$A$62&gt;35,AI52+AH53-AQ52,IF(A53&lt;'Données projet'!$A$62,$AF$205^A53,IF(A53='Données projet'!$A$62,'Données projet'!$B$62,AI52+AH53-AQ52)))</f>
        <v>316.62745098039215</v>
      </c>
      <c r="AJ53" s="14">
        <f>AI53*VLOOKUP('Données projet'!$B$10,Paramètres!$A$1:$I$89,3,0)*VLOOKUP('Données projet'!$B$10,Paramètres!$A$1:$I$89,5,0)</f>
        <v>148.18164705882353</v>
      </c>
      <c r="AK53" s="14">
        <f t="shared" si="35"/>
        <v>38.165065525917342</v>
      </c>
      <c r="AL53" s="22">
        <f t="shared" si="4"/>
        <v>324.55385775175705</v>
      </c>
      <c r="AM53" s="62">
        <f t="shared" si="5"/>
        <v>617.88719108509031</v>
      </c>
      <c r="AN53" s="62">
        <f ca="1">AVERAGE(OFFSET($AM$3,0,0,'Données projet'!$E$10+1,1))-AVERAGE(OFFSET($H$3,0,0,'Données projet'!$E$10+1,1))</f>
        <v>174.86489869124688</v>
      </c>
      <c r="AO53" s="62">
        <f t="shared" si="36"/>
        <v>146.54591565663782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378.14941342735011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7.2</v>
      </c>
      <c r="N54" s="14">
        <f>IF('Données projet'!$A$36&gt;35,N53+M54-V53,IF(A54&lt;'Données projet'!$A$36,$K$205^A54,IF(A54='Données projet'!$A$36,'Données projet'!$B$36,N53+M54-V53)))</f>
        <v>156.20000000000005</v>
      </c>
      <c r="O54" s="14">
        <f>N54*VLOOKUP('Données projet'!$B$9,Paramètres!$A$1:$I$89,3,0)*VLOOKUP('Données projet'!$B$9,Paramètres!$A$1:$I$89,5,0)</f>
        <v>158.38680000000005</v>
      </c>
      <c r="P54" s="14">
        <f t="shared" si="33"/>
        <v>40.478439323673456</v>
      </c>
      <c r="Q54" s="22">
        <f t="shared" si="53"/>
        <v>346.35695848873138</v>
      </c>
      <c r="R54" s="62">
        <f t="shared" si="0"/>
        <v>639.69029182206464</v>
      </c>
      <c r="S54" s="62">
        <f ca="1">AVERAGE(OFFSET($R$3,0,0,'Données projet'!$E$9+1,1))-AVERAGE(OFFSET($H$3,0,0,'Données projet'!$E$9+1,1))</f>
        <v>257.49385297440318</v>
      </c>
      <c r="T54" s="62">
        <f t="shared" si="34"/>
        <v>171.3281518185355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8.7001167417852425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8.7001167417852425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322.95999999999998</v>
      </c>
      <c r="AG54" s="13">
        <f>VLOOKUP(A54,'Données projet'!$A$61:$I$81,9,0)</f>
        <v>6.3325490196078427</v>
      </c>
      <c r="AH54" s="13">
        <f t="array" ref="AH54">INDEX(AG:AG,MIN(IF(ISNUMBER(AG54:AG250),ROW(AG54:AG250),"")))</f>
        <v>6.3325490196078427</v>
      </c>
      <c r="AI54" s="14">
        <f>IF('Données projet'!$A$62&gt;35,AI53+AH54-AQ53,IF(A54&lt;'Données projet'!$A$62,$AF$205^A54,IF(A54='Données projet'!$A$62,'Données projet'!$B$62,AI53+AH54-AQ53)))</f>
        <v>322.95999999999998</v>
      </c>
      <c r="AJ54" s="14">
        <f>AI54*VLOOKUP('Données projet'!$B$10,Paramètres!$A$1:$I$89,3,0)*VLOOKUP('Données projet'!$B$10,Paramètres!$A$1:$I$89,5,0)</f>
        <v>151.14527999999999</v>
      </c>
      <c r="AK54" s="14">
        <f t="shared" si="35"/>
        <v>38.838739282449957</v>
      </c>
      <c r="AL54" s="22">
        <f t="shared" si="4"/>
        <v>330.88883358360027</v>
      </c>
      <c r="AM54" s="62">
        <f t="shared" si="5"/>
        <v>624.22216691693359</v>
      </c>
      <c r="AN54" s="62">
        <f ca="1">AVERAGE(OFFSET($AM$3,0,0,'Données projet'!$E$10+1,1))-AVERAGE(OFFSET($H$3,0,0,'Données projet'!$E$10+1,1))</f>
        <v>174.86489869124688</v>
      </c>
      <c r="AO54" s="62">
        <f t="shared" si="36"/>
        <v>146.54591565663782</v>
      </c>
      <c r="AP54" s="16">
        <f>IF(ISNA(VLOOKUP(A54,'Données projet'!$A$61:$I$81,3,0)),0,VLOOKUP(A54,'Données projet'!$A$61:$I$81,3,0))</f>
        <v>1</v>
      </c>
      <c r="AQ54" s="16">
        <f>IF(ISNA(VLOOKUP(A54,'Données projet'!$A$61:$I$81,4,0)),0,VLOOKUP(A54,'Données projet'!$A$61:$I$81,4,0))</f>
        <v>99.93</v>
      </c>
      <c r="AR54" s="17">
        <f>IF(ISNA(VLOOKUP(A54,'Données projet'!$A$61:$I$81,5,0)),0%,VLOOKUP(A54,'Données projet'!$A$61:$I$81,5,0)*VLOOKUP('Données projet'!$B$10,Paramètres!$A$1:$I$89,7,0))</f>
        <v>0.22000000000000003</v>
      </c>
      <c r="AS54" s="17">
        <f>IF(ISNA(VLOOKUP(A54,'Données projet'!$A$61:$I$81,6,0)),0%,VLOOKUP(A54,'Données projet'!$A$61:$I$81,6,0)*VLOOKUP('Données projet'!$B$10,Paramètres!$A$1:$I$89,7,0))</f>
        <v>0.18700000000000003</v>
      </c>
      <c r="AT54" s="17">
        <f>IF(ISNA(VLOOKUP(A54,'Données projet'!$A$61:$I$81,7,0)),0%,VLOOKUP(A54,'Données projet'!$A$61:$I$81,7,0))</f>
        <v>0.26</v>
      </c>
      <c r="AU54" s="23">
        <f>EXP(-LN(2)/35)*AU53+(1-EXP(-LN(2)/35))/(LN(2)/35)*AQ54*AR54*VLOOKUP('Données projet'!$B$10,Paramètres!$A$1:$I$89,3,0)*0.475*44/12</f>
        <v>13.648746817862266</v>
      </c>
      <c r="AV54" s="23">
        <f>EXP(-LN(2)/25)*AV53+(1-EXP(-LN(2)/25))/(LN(2)/25)*Calculateur!AQ54*Calculateur!AS54*VLOOKUP('Données projet'!$B$10,Paramètres!$A$1:$I$89,3,0)*0.475*44/12</f>
        <v>11.555755525901072</v>
      </c>
      <c r="AW54" s="23">
        <f>EXP(-LN(2)/2)*AW53+(1-EXP(-LN(2)/2))/(LN(2)/2)*AQ54*AT54*VLOOKUP('Données projet'!$B$10,Paramètres!$A$1:$I$89,3,0)*0.475*44/12</f>
        <v>13.767358694484626</v>
      </c>
      <c r="AX54" s="23">
        <f t="shared" si="6"/>
        <v>38.971861038247965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379.76714874734745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7.2</v>
      </c>
      <c r="N55" s="14">
        <f>IF('Données projet'!$A$36&gt;35,N54+M55-V54,IF(A55&lt;'Données projet'!$A$36,$K$205^A55,IF(A55='Données projet'!$A$36,'Données projet'!$B$36,N54+M55-V54)))</f>
        <v>163.40000000000003</v>
      </c>
      <c r="O55" s="14">
        <f>N55*VLOOKUP('Données projet'!$B$9,Paramètres!$A$1:$I$89,3,0)*VLOOKUP('Données projet'!$B$9,Paramètres!$A$1:$I$89,5,0)</f>
        <v>165.68760000000003</v>
      </c>
      <c r="P55" s="14">
        <f t="shared" si="33"/>
        <v>42.122749874294207</v>
      </c>
      <c r="Q55" s="22">
        <f t="shared" si="53"/>
        <v>361.93635936439574</v>
      </c>
      <c r="R55" s="62">
        <f t="shared" si="0"/>
        <v>655.26969269772906</v>
      </c>
      <c r="S55" s="62">
        <f ca="1">AVERAGE(OFFSET($R$3,0,0,'Données projet'!$E$9+1,1))-AVERAGE(OFFSET($H$3,0,0,'Données projet'!$E$9+1,1))</f>
        <v>257.49385297440318</v>
      </c>
      <c r="T55" s="62">
        <f t="shared" si="34"/>
        <v>171.3281518185355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8.5295127590260691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8.5295127590260691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12.18916666666667</v>
      </c>
      <c r="AI55" s="14">
        <f>IF('Données projet'!$A$62&gt;35,AI54+AH55-AQ54,IF(A55&lt;'Données projet'!$A$62,$AF$205^A55,IF(A55='Données projet'!$A$62,'Données projet'!$B$62,AI54+AH55-AQ54)))</f>
        <v>235.21916666666664</v>
      </c>
      <c r="AJ55" s="14">
        <f>AI55*VLOOKUP('Données projet'!$B$10,Paramètres!$A$1:$I$89,3,0)*VLOOKUP('Données projet'!$B$10,Paramètres!$A$1:$I$89,5,0)</f>
        <v>110.08256999999999</v>
      </c>
      <c r="AK55" s="14">
        <f t="shared" si="35"/>
        <v>29.350437858925002</v>
      </c>
      <c r="AL55" s="22">
        <f t="shared" si="4"/>
        <v>242.84582202096098</v>
      </c>
      <c r="AM55" s="62">
        <f t="shared" si="5"/>
        <v>536.17915535429427</v>
      </c>
      <c r="AN55" s="62">
        <f ca="1">AVERAGE(OFFSET($AM$3,0,0,'Données projet'!$E$10+1,1))-AVERAGE(OFFSET($H$3,0,0,'Données projet'!$E$10+1,1))</f>
        <v>174.86489869124688</v>
      </c>
      <c r="AO55" s="62">
        <f t="shared" si="36"/>
        <v>146.54591565663782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13.381103217677529</v>
      </c>
      <c r="AV55" s="23">
        <f>EXP(-LN(2)/25)*AV54+(1-EXP(-LN(2)/25))/(LN(2)/25)*Calculateur!AQ55*Calculateur!AS55*VLOOKUP('Données projet'!$B$10,Paramètres!$A$1:$I$89,3,0)*0.475*44/12</f>
        <v>11.239762783354534</v>
      </c>
      <c r="AW55" s="23">
        <f>EXP(-LN(2)/2)*AW54+(1-EXP(-LN(2)/2))/(LN(2)/2)*AQ55*AT55*VLOOKUP('Données projet'!$B$10,Paramètres!$A$1:$I$89,3,0)*0.475*44/12</f>
        <v>9.7349926918976539</v>
      </c>
      <c r="AX55" s="23">
        <f t="shared" si="6"/>
        <v>34.355858692929715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381.38412212545694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7.2</v>
      </c>
      <c r="N56" s="14">
        <f>IF('Données projet'!$A$36&gt;35,N55+M56-V55,IF(A56&lt;'Données projet'!$A$36,$K$205^A56,IF(A56='Données projet'!$A$36,'Données projet'!$B$36,N55+M56-V55)))</f>
        <v>170.60000000000002</v>
      </c>
      <c r="O56" s="14">
        <f>N56*VLOOKUP('Données projet'!$B$9,Paramètres!$A$1:$I$89,3,0)*VLOOKUP('Données projet'!$B$9,Paramètres!$A$1:$I$89,5,0)</f>
        <v>172.98840000000004</v>
      </c>
      <c r="P56" s="14">
        <f t="shared" si="33"/>
        <v>43.758645457754092</v>
      </c>
      <c r="Q56" s="22">
        <f t="shared" si="53"/>
        <v>377.50110417225505</v>
      </c>
      <c r="R56" s="62">
        <f t="shared" si="0"/>
        <v>670.83443750558831</v>
      </c>
      <c r="S56" s="62">
        <f ca="1">AVERAGE(OFFSET($R$3,0,0,'Données projet'!$E$9+1,1))-AVERAGE(OFFSET($H$3,0,0,'Données projet'!$E$9+1,1))</f>
        <v>257.49385297440318</v>
      </c>
      <c r="T56" s="62">
        <f t="shared" si="34"/>
        <v>171.3281518185355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8.3622542163106477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8.3622542163106477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12.18916666666667</v>
      </c>
      <c r="AI56" s="14">
        <f>IF('Données projet'!$A$62&gt;35,AI55+AH56-AQ55,IF(A56&lt;'Données projet'!$A$62,$AF$205^A56,IF(A56='Données projet'!$A$62,'Données projet'!$B$62,AI55+AH56-AQ55)))</f>
        <v>247.4083333333333</v>
      </c>
      <c r="AJ56" s="14">
        <f>AI56*VLOOKUP('Données projet'!$B$10,Paramètres!$A$1:$I$89,3,0)*VLOOKUP('Données projet'!$B$10,Paramètres!$A$1:$I$89,5,0)</f>
        <v>115.78709999999998</v>
      </c>
      <c r="AK56" s="14">
        <f t="shared" si="35"/>
        <v>30.690375142051142</v>
      </c>
      <c r="AL56" s="22">
        <f t="shared" si="4"/>
        <v>255.11493587240568</v>
      </c>
      <c r="AM56" s="62">
        <f t="shared" si="5"/>
        <v>548.44826920573905</v>
      </c>
      <c r="AN56" s="62">
        <f ca="1">AVERAGE(OFFSET($AM$3,0,0,'Données projet'!$E$10+1,1))-AVERAGE(OFFSET($H$3,0,0,'Données projet'!$E$10+1,1))</f>
        <v>174.86489869124688</v>
      </c>
      <c r="AO56" s="62">
        <f t="shared" si="36"/>
        <v>146.54591565663782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13.118707945245937</v>
      </c>
      <c r="AV56" s="23">
        <f>EXP(-LN(2)/25)*AV55+(1-EXP(-LN(2)/25))/(LN(2)/25)*Calculateur!AQ56*Calculateur!AS56*VLOOKUP('Données projet'!$B$10,Paramètres!$A$1:$I$89,3,0)*0.475*44/12</f>
        <v>10.932410878970268</v>
      </c>
      <c r="AW56" s="23">
        <f>EXP(-LN(2)/2)*AW55+(1-EXP(-LN(2)/2))/(LN(2)/2)*AQ56*AT56*VLOOKUP('Données projet'!$B$10,Paramètres!$A$1:$I$89,3,0)*0.475*44/12</f>
        <v>6.8836793472423139</v>
      </c>
      <c r="AX56" s="23">
        <f t="shared" si="6"/>
        <v>30.934798171458517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383.0003495956451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7.2</v>
      </c>
      <c r="N57" s="14">
        <f>IF('Données projet'!$A$36&gt;35,N56+M57-V56,IF(A57&lt;'Données projet'!$A$36,$K$205^A57,IF(A57='Données projet'!$A$36,'Données projet'!$B$36,N56+M57-V56)))</f>
        <v>177.8</v>
      </c>
      <c r="O57" s="14">
        <f>N57*VLOOKUP('Données projet'!$B$9,Paramètres!$A$1:$I$89,3,0)*VLOOKUP('Données projet'!$B$9,Paramètres!$A$1:$I$89,5,0)</f>
        <v>180.28920000000002</v>
      </c>
      <c r="P57" s="14">
        <f t="shared" si="33"/>
        <v>45.386521825503259</v>
      </c>
      <c r="Q57" s="22">
        <f t="shared" si="53"/>
        <v>393.05188217941821</v>
      </c>
      <c r="R57" s="62">
        <f t="shared" si="0"/>
        <v>686.38521551275153</v>
      </c>
      <c r="S57" s="62">
        <f ca="1">AVERAGE(OFFSET($R$3,0,0,'Données projet'!$E$9+1,1))-AVERAGE(OFFSET($H$3,0,0,'Données projet'!$E$9+1,1))</f>
        <v>257.49385297440318</v>
      </c>
      <c r="T57" s="62">
        <f t="shared" si="34"/>
        <v>171.3281518185355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8.1982755116002384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8.1982755116002384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12.18916666666667</v>
      </c>
      <c r="AI57" s="14">
        <f>IF('Données projet'!$A$62&gt;35,AI56+AH57-AQ56,IF(A57&lt;'Données projet'!$A$62,$AF$205^A57,IF(A57='Données projet'!$A$62,'Données projet'!$B$62,AI56+AH57-AQ56)))</f>
        <v>259.59749999999997</v>
      </c>
      <c r="AJ57" s="14">
        <f>AI57*VLOOKUP('Données projet'!$B$10,Paramètres!$A$1:$I$89,3,0)*VLOOKUP('Données projet'!$B$10,Paramètres!$A$1:$I$89,5,0)</f>
        <v>121.49162999999999</v>
      </c>
      <c r="AK57" s="14">
        <f t="shared" si="35"/>
        <v>32.022646969228624</v>
      </c>
      <c r="AL57" s="22">
        <f t="shared" si="4"/>
        <v>267.37069905473982</v>
      </c>
      <c r="AM57" s="62">
        <f t="shared" si="5"/>
        <v>560.70403238807307</v>
      </c>
      <c r="AN57" s="62">
        <f ca="1">AVERAGE(OFFSET($AM$3,0,0,'Données projet'!$E$10+1,1))-AVERAGE(OFFSET($H$3,0,0,'Données projet'!$E$10+1,1))</f>
        <v>174.86489869124688</v>
      </c>
      <c r="AO57" s="62">
        <f t="shared" si="36"/>
        <v>146.54591565663782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12.861458084061416</v>
      </c>
      <c r="AV57" s="23">
        <f>EXP(-LN(2)/25)*AV56+(1-EXP(-LN(2)/25))/(LN(2)/25)*Calculateur!AQ57*Calculateur!AS57*VLOOKUP('Données projet'!$B$10,Paramètres!$A$1:$I$89,3,0)*0.475*44/12</f>
        <v>10.633463528574325</v>
      </c>
      <c r="AW57" s="23">
        <f>EXP(-LN(2)/2)*AW56+(1-EXP(-LN(2)/2))/(LN(2)/2)*AQ57*AT57*VLOOKUP('Données projet'!$B$10,Paramètres!$A$1:$I$89,3,0)*0.475*44/12</f>
        <v>4.8674963459488279</v>
      </c>
      <c r="AX57" s="23">
        <f t="shared" si="6"/>
        <v>28.362417958584572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384.615846564035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185</v>
      </c>
      <c r="L58" s="13">
        <f>VLOOKUP(A58,'Données projet'!$A$35:$I$55,9,0)</f>
        <v>7.2</v>
      </c>
      <c r="M58" s="13">
        <f t="array" ref="M58">INDEX(L:L,MIN(IF(ISNUMBER(L58:L254),ROW(L58:L254),"")))</f>
        <v>7.2</v>
      </c>
      <c r="N58" s="14">
        <f>IF('Données projet'!$A$36&gt;35,N57+M58-V57,IF(A58&lt;'Données projet'!$A$36,$K$205^A58,IF(A58='Données projet'!$A$36,'Données projet'!$B$36,N57+M58-V57)))</f>
        <v>185</v>
      </c>
      <c r="O58" s="14">
        <f>N58*VLOOKUP('Données projet'!$B$9,Paramètres!$A$1:$I$89,3,0)*VLOOKUP('Données projet'!$B$9,Paramètres!$A$1:$I$89,5,0)</f>
        <v>187.59</v>
      </c>
      <c r="P58" s="14">
        <f t="shared" si="33"/>
        <v>47.006740863164012</v>
      </c>
      <c r="Q58" s="22">
        <f t="shared" si="53"/>
        <v>408.58932367001074</v>
      </c>
      <c r="R58" s="62">
        <f t="shared" si="0"/>
        <v>701.92265700334406</v>
      </c>
      <c r="S58" s="62">
        <f ca="1">AVERAGE(OFFSET($R$3,0,0,'Données projet'!$E$9+1,1))-AVERAGE(OFFSET($H$3,0,0,'Données projet'!$E$9+1,1))</f>
        <v>257.49385297440318</v>
      </c>
      <c r="T58" s="62">
        <f t="shared" si="34"/>
        <v>171.3281518185355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22</v>
      </c>
      <c r="W58" s="17">
        <f>IF(ISNA(VLOOKUP(A58,'Données projet'!$A$35:$I$55,5,0)),0%,VLOOKUP(A58,'Données projet'!$A$35:$I$55,5,0)*VLOOKUP('Données projet'!$B$9,Paramètres!$A$1:$I$89,7,0))</f>
        <v>0.17200000000000001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12.279175644250888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12.279175644250888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12.18916666666667</v>
      </c>
      <c r="AI58" s="14">
        <f>IF('Données projet'!$A$62&gt;35,AI57+AH58-AQ57,IF(A58&lt;'Données projet'!$A$62,$AF$205^A58,IF(A58='Données projet'!$A$62,'Données projet'!$B$62,AI57+AH58-AQ57)))</f>
        <v>271.78666666666663</v>
      </c>
      <c r="AJ58" s="14">
        <f>AI58*VLOOKUP('Données projet'!$B$10,Paramètres!$A$1:$I$89,3,0)*VLOOKUP('Données projet'!$B$10,Paramètres!$A$1:$I$89,5,0)</f>
        <v>127.19615999999998</v>
      </c>
      <c r="AK58" s="14">
        <f t="shared" si="35"/>
        <v>33.347654365530325</v>
      </c>
      <c r="AL58" s="22">
        <f t="shared" si="4"/>
        <v>279.61381001996523</v>
      </c>
      <c r="AM58" s="62">
        <f t="shared" si="5"/>
        <v>572.94714335329854</v>
      </c>
      <c r="AN58" s="62">
        <f ca="1">AVERAGE(OFFSET($AM$3,0,0,'Données projet'!$E$10+1,1))-AVERAGE(OFFSET($H$3,0,0,'Données projet'!$E$10+1,1))</f>
        <v>174.86489869124688</v>
      </c>
      <c r="AO58" s="62">
        <f t="shared" si="36"/>
        <v>146.54591565663782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12.609252735747802</v>
      </c>
      <c r="AV58" s="23">
        <f>EXP(-LN(2)/25)*AV57+(1-EXP(-LN(2)/25))/(LN(2)/25)*Calculateur!AQ58*Calculateur!AS58*VLOOKUP('Données projet'!$B$10,Paramètres!$A$1:$I$89,3,0)*0.475*44/12</f>
        <v>10.342690909195916</v>
      </c>
      <c r="AW58" s="23">
        <f>EXP(-LN(2)/2)*AW57+(1-EXP(-LN(2)/2))/(LN(2)/2)*AQ58*AT58*VLOOKUP('Données projet'!$B$10,Paramètres!$A$1:$I$89,3,0)*0.475*44/12</f>
        <v>3.4418396736211578</v>
      </c>
      <c r="AX58" s="23">
        <f t="shared" si="6"/>
        <v>26.393783318564875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386.23062784445136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7.2</v>
      </c>
      <c r="N59" s="14">
        <f>IF('Données projet'!$A$36&gt;35,N58+M59-V58,IF(A59&lt;'Données projet'!$A$36,$K$205^A59,IF(A59='Données projet'!$A$36,'Données projet'!$B$36,N58+M59-V58)))</f>
        <v>170.2</v>
      </c>
      <c r="O59" s="14">
        <f>N59*VLOOKUP('Données projet'!$B$9,Paramètres!$A$1:$I$89,3,0)*VLOOKUP('Données projet'!$B$9,Paramètres!$A$1:$I$89,5,0)</f>
        <v>172.58279999999999</v>
      </c>
      <c r="P59" s="14">
        <f t="shared" si="33"/>
        <v>43.667976243302661</v>
      </c>
      <c r="Q59" s="22">
        <f t="shared" si="53"/>
        <v>376.63676862375206</v>
      </c>
      <c r="R59" s="62">
        <f t="shared" si="0"/>
        <v>669.97010195708538</v>
      </c>
      <c r="S59" s="62">
        <f ca="1">AVERAGE(OFFSET($R$3,0,0,'Données projet'!$E$9+1,1))-AVERAGE(OFFSET($H$3,0,0,'Données projet'!$E$9+1,1))</f>
        <v>257.49385297440318</v>
      </c>
      <c r="T59" s="62">
        <f t="shared" si="34"/>
        <v>171.3281518185355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12.038388499424739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12.038388499424739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12.18916666666667</v>
      </c>
      <c r="AI59" s="14">
        <f>IF('Données projet'!$A$62&gt;35,AI58+AH59-AQ58,IF(A59&lt;'Données projet'!$A$62,$AF$205^A59,IF(A59='Données projet'!$A$62,'Données projet'!$B$62,AI58+AH59-AQ58)))</f>
        <v>283.9758333333333</v>
      </c>
      <c r="AJ59" s="14">
        <f>AI59*VLOOKUP('Données projet'!$B$10,Paramètres!$A$1:$I$89,3,0)*VLOOKUP('Données projet'!$B$10,Paramètres!$A$1:$I$89,5,0)</f>
        <v>132.90069</v>
      </c>
      <c r="AK59" s="14">
        <f t="shared" si="35"/>
        <v>34.665760351926387</v>
      </c>
      <c r="AL59" s="22">
        <f t="shared" si="4"/>
        <v>291.84490102960513</v>
      </c>
      <c r="AM59" s="62">
        <f t="shared" si="5"/>
        <v>585.17823436293838</v>
      </c>
      <c r="AN59" s="62">
        <f ca="1">AVERAGE(OFFSET($AM$3,0,0,'Données projet'!$E$10+1,1))-AVERAGE(OFFSET($H$3,0,0,'Données projet'!$E$10+1,1))</f>
        <v>174.86489869124688</v>
      </c>
      <c r="AO59" s="62">
        <f t="shared" si="36"/>
        <v>146.54591565663782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12.361992980484544</v>
      </c>
      <c r="AV59" s="23">
        <f>EXP(-LN(2)/25)*AV58+(1-EXP(-LN(2)/25))/(LN(2)/25)*Calculateur!AQ59*Calculateur!AS59*VLOOKUP('Données projet'!$B$10,Paramètres!$A$1:$I$89,3,0)*0.475*44/12</f>
        <v>10.059869482385478</v>
      </c>
      <c r="AW59" s="23">
        <f>EXP(-LN(2)/2)*AW58+(1-EXP(-LN(2)/2))/(LN(2)/2)*AQ59*AT59*VLOOKUP('Données projet'!$B$10,Paramètres!$A$1:$I$89,3,0)*0.475*44/12</f>
        <v>2.4337481729744144</v>
      </c>
      <c r="AX59" s="23">
        <f t="shared" si="6"/>
        <v>24.855610635844439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387.84470769135464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7.2</v>
      </c>
      <c r="N60" s="14">
        <f>IF('Données projet'!$A$36&gt;35,N59+M60-V59,IF(A60&lt;'Données projet'!$A$36,$K$205^A60,IF(A60='Données projet'!$A$36,'Données projet'!$B$36,N59+M60-V59)))</f>
        <v>177.39999999999998</v>
      </c>
      <c r="O60" s="14">
        <f>N60*VLOOKUP('Données projet'!$B$9,Paramètres!$A$1:$I$89,3,0)*VLOOKUP('Données projet'!$B$9,Paramètres!$A$1:$I$89,5,0)</f>
        <v>179.8836</v>
      </c>
      <c r="P60" s="14">
        <f t="shared" si="33"/>
        <v>45.296288336218105</v>
      </c>
      <c r="Q60" s="22">
        <f t="shared" si="53"/>
        <v>392.18830551891324</v>
      </c>
      <c r="R60" s="62">
        <f t="shared" si="0"/>
        <v>685.5216388522465</v>
      </c>
      <c r="S60" s="62">
        <f ca="1">AVERAGE(OFFSET($R$3,0,0,'Données projet'!$E$9+1,1))-AVERAGE(OFFSET($H$3,0,0,'Données projet'!$E$9+1,1))</f>
        <v>257.49385297440318</v>
      </c>
      <c r="T60" s="62">
        <f t="shared" si="34"/>
        <v>171.3281518185355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11.802323043642975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11.802323043642975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12.18916666666667</v>
      </c>
      <c r="AI60" s="14">
        <f>IF('Données projet'!$A$62&gt;35,AI59+AH60-AQ59,IF(A60&lt;'Données projet'!$A$62,$AF$205^A60,IF(A60='Données projet'!$A$62,'Données projet'!$B$62,AI59+AH60-AQ59)))</f>
        <v>296.16499999999996</v>
      </c>
      <c r="AJ60" s="14">
        <f>AI60*VLOOKUP('Données projet'!$B$10,Paramètres!$A$1:$I$89,3,0)*VLOOKUP('Données projet'!$B$10,Paramètres!$A$1:$I$89,5,0)</f>
        <v>138.60521999999997</v>
      </c>
      <c r="AK60" s="14">
        <f t="shared" si="35"/>
        <v>35.977295022740158</v>
      </c>
      <c r="AL60" s="22">
        <f t="shared" si="4"/>
        <v>304.06454699793903</v>
      </c>
      <c r="AM60" s="62">
        <f t="shared" si="5"/>
        <v>597.39788033127229</v>
      </c>
      <c r="AN60" s="62">
        <f ca="1">AVERAGE(OFFSET($AM$3,0,0,'Données projet'!$E$10+1,1))-AVERAGE(OFFSET($H$3,0,0,'Données projet'!$E$10+1,1))</f>
        <v>174.86489869124688</v>
      </c>
      <c r="AO60" s="62">
        <f t="shared" si="36"/>
        <v>146.54591565663782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12.11958183820844</v>
      </c>
      <c r="AV60" s="23">
        <f>EXP(-LN(2)/25)*AV59+(1-EXP(-LN(2)/25))/(LN(2)/25)*Calculateur!AQ60*Calculateur!AS60*VLOOKUP('Données projet'!$B$10,Paramètres!$A$1:$I$89,3,0)*0.475*44/12</f>
        <v>9.7847818223641028</v>
      </c>
      <c r="AW60" s="23">
        <f>EXP(-LN(2)/2)*AW59+(1-EXP(-LN(2)/2))/(LN(2)/2)*AQ60*AT60*VLOOKUP('Données projet'!$B$10,Paramètres!$A$1:$I$89,3,0)*0.475*44/12</f>
        <v>1.7209198368105791</v>
      </c>
      <c r="AX60" s="23">
        <f t="shared" si="6"/>
        <v>23.625283497383123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389.4580998303984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7.2</v>
      </c>
      <c r="N61" s="14">
        <f>IF('Données projet'!$A$36&gt;35,N60+M61-V60,IF(A61&lt;'Données projet'!$A$36,$K$205^A61,IF(A61='Données projet'!$A$36,'Données projet'!$B$36,N60+M61-V60)))</f>
        <v>184.59999999999997</v>
      </c>
      <c r="O61" s="14">
        <f>N61*VLOOKUP('Données projet'!$B$9,Paramètres!$A$1:$I$89,3,0)*VLOOKUP('Données projet'!$B$9,Paramètres!$A$1:$I$89,5,0)</f>
        <v>187.18439999999998</v>
      </c>
      <c r="P61" s="14">
        <f t="shared" si="33"/>
        <v>46.916923809907296</v>
      </c>
      <c r="Q61" s="22">
        <f t="shared" si="53"/>
        <v>407.72647230225516</v>
      </c>
      <c r="R61" s="62">
        <f t="shared" si="0"/>
        <v>701.05980563558842</v>
      </c>
      <c r="S61" s="62">
        <f ca="1">AVERAGE(OFFSET($R$3,0,0,'Données projet'!$E$9+1,1))-AVERAGE(OFFSET($H$3,0,0,'Données projet'!$E$9+1,1))</f>
        <v>257.49385297440318</v>
      </c>
      <c r="T61" s="62">
        <f t="shared" si="34"/>
        <v>171.3281518185355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11.57088668746338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11.57088668746338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12.18916666666667</v>
      </c>
      <c r="AI61" s="14">
        <f>IF('Données projet'!$A$62&gt;35,AI60+AH61-AQ60,IF(A61&lt;'Données projet'!$A$62,$AF$205^A61,IF(A61='Données projet'!$A$62,'Données projet'!$B$62,AI60+AH61-AQ60)))</f>
        <v>308.35416666666663</v>
      </c>
      <c r="AJ61" s="14">
        <f>AI61*VLOOKUP('Données projet'!$B$10,Paramètres!$A$1:$I$89,3,0)*VLOOKUP('Données projet'!$B$10,Paramètres!$A$1:$I$89,5,0)</f>
        <v>144.30974999999998</v>
      </c>
      <c r="AK61" s="14">
        <f t="shared" si="35"/>
        <v>37.282559763674065</v>
      </c>
      <c r="AL61" s="22">
        <f t="shared" si="4"/>
        <v>316.27327283839895</v>
      </c>
      <c r="AM61" s="62">
        <f t="shared" si="5"/>
        <v>609.60660617173221</v>
      </c>
      <c r="AN61" s="62">
        <f ca="1">AVERAGE(OFFSET($AM$3,0,0,'Données projet'!$E$10+1,1))-AVERAGE(OFFSET($H$3,0,0,'Données projet'!$E$10+1,1))</f>
        <v>174.86489869124688</v>
      </c>
      <c r="AO61" s="62">
        <f t="shared" si="36"/>
        <v>146.54591565663782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11.881924230576173</v>
      </c>
      <c r="AV61" s="23">
        <f>EXP(-LN(2)/25)*AV60+(1-EXP(-LN(2)/25))/(LN(2)/25)*Calculateur!AQ61*Calculateur!AS61*VLOOKUP('Données projet'!$B$10,Paramètres!$A$1:$I$89,3,0)*0.475*44/12</f>
        <v>9.5172164488722437</v>
      </c>
      <c r="AW61" s="23">
        <f>EXP(-LN(2)/2)*AW60+(1-EXP(-LN(2)/2))/(LN(2)/2)*AQ61*AT61*VLOOKUP('Données projet'!$B$10,Paramètres!$A$1:$I$89,3,0)*0.475*44/12</f>
        <v>1.2168740864872074</v>
      </c>
      <c r="AX61" s="23">
        <f t="shared" si="6"/>
        <v>22.616014765935624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391.07081748682009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7.2</v>
      </c>
      <c r="N62" s="14">
        <f>IF('Données projet'!$A$36&gt;35,N61+M62-V61,IF(A62&lt;'Données projet'!$A$36,$K$205^A62,IF(A62='Données projet'!$A$36,'Données projet'!$B$36,N61+M62-V61)))</f>
        <v>191.79999999999995</v>
      </c>
      <c r="O62" s="14">
        <f>N62*VLOOKUP('Données projet'!$B$9,Paramètres!$A$1:$I$89,3,0)*VLOOKUP('Données projet'!$B$9,Paramètres!$A$1:$I$89,5,0)</f>
        <v>194.48519999999996</v>
      </c>
      <c r="P62" s="14">
        <f t="shared" si="33"/>
        <v>48.530216343846028</v>
      </c>
      <c r="Q62" s="22">
        <f t="shared" si="53"/>
        <v>423.2518501321984</v>
      </c>
      <c r="R62" s="62">
        <f t="shared" si="0"/>
        <v>716.58518346553171</v>
      </c>
      <c r="S62" s="62">
        <f ca="1">AVERAGE(OFFSET($R$3,0,0,'Données projet'!$E$9+1,1))-AVERAGE(OFFSET($H$3,0,0,'Données projet'!$E$9+1,1))</f>
        <v>257.49385297440318</v>
      </c>
      <c r="T62" s="62">
        <f t="shared" si="34"/>
        <v>171.3281518185355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11.343988657066228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11.343988657066228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12.18916666666667</v>
      </c>
      <c r="AI62" s="14">
        <f>IF('Données projet'!$A$62&gt;35,AI61+AH62-AQ61,IF(A62&lt;'Données projet'!$A$62,$AF$205^A62,IF(A62='Données projet'!$A$62,'Données projet'!$B$62,AI61+AH62-AQ61)))</f>
        <v>320.54333333333329</v>
      </c>
      <c r="AJ62" s="14">
        <f>AI62*VLOOKUP('Données projet'!$B$10,Paramètres!$A$1:$I$89,3,0)*VLOOKUP('Données projet'!$B$10,Paramètres!$A$1:$I$89,5,0)</f>
        <v>150.01427999999999</v>
      </c>
      <c r="AK62" s="14">
        <f t="shared" si="35"/>
        <v>38.581830784115766</v>
      </c>
      <c r="AL62" s="22">
        <f t="shared" si="4"/>
        <v>328.47155961566824</v>
      </c>
      <c r="AM62" s="62">
        <f t="shared" si="5"/>
        <v>621.80489294900156</v>
      </c>
      <c r="AN62" s="62">
        <f ca="1">AVERAGE(OFFSET($AM$3,0,0,'Données projet'!$E$10+1,1))-AVERAGE(OFFSET($H$3,0,0,'Données projet'!$E$10+1,1))</f>
        <v>174.86489869124688</v>
      </c>
      <c r="AO62" s="62">
        <f t="shared" si="36"/>
        <v>146.54591565663782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11.648926943672748</v>
      </c>
      <c r="AV62" s="23">
        <f>EXP(-LN(2)/25)*AV61+(1-EXP(-LN(2)/25))/(LN(2)/25)*Calculateur!AQ62*Calculateur!AS62*VLOOKUP('Données projet'!$B$10,Paramètres!$A$1:$I$89,3,0)*0.475*44/12</f>
        <v>9.2569676645891708</v>
      </c>
      <c r="AW62" s="23">
        <f>EXP(-LN(2)/2)*AW61+(1-EXP(-LN(2)/2))/(LN(2)/2)*AQ62*AT62*VLOOKUP('Données projet'!$B$10,Paramètres!$A$1:$I$89,3,0)*0.475*44/12</f>
        <v>0.86045991840528968</v>
      </c>
      <c r="AX62" s="23">
        <f t="shared" si="6"/>
        <v>21.766354526667207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392.6828734118518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199</v>
      </c>
      <c r="L63" s="13">
        <f>VLOOKUP(A63,'Données projet'!$A$35:$I$55,9,0)</f>
        <v>7.2</v>
      </c>
      <c r="M63" s="13">
        <f t="array" ref="M63">INDEX(L:L,MIN(IF(ISNUMBER(L63:L259),ROW(L63:L259),"")))</f>
        <v>7.2</v>
      </c>
      <c r="N63" s="14">
        <f>IF('Données projet'!$A$36&gt;35,N62+M63-V62,IF(A63&lt;'Données projet'!$A$36,$K$205^A63,IF(A63='Données projet'!$A$36,'Données projet'!$B$36,N62+M63-V62)))</f>
        <v>198.99999999999994</v>
      </c>
      <c r="O63" s="14">
        <f>N63*VLOOKUP('Données projet'!$B$9,Paramètres!$A$1:$I$89,3,0)*VLOOKUP('Données projet'!$B$9,Paramètres!$A$1:$I$89,5,0)</f>
        <v>201.78599999999994</v>
      </c>
      <c r="P63" s="14">
        <f t="shared" si="33"/>
        <v>50.136473146268756</v>
      </c>
      <c r="Q63" s="22">
        <f t="shared" si="53"/>
        <v>438.76497406308459</v>
      </c>
      <c r="R63" s="62">
        <f t="shared" si="0"/>
        <v>732.09830739641791</v>
      </c>
      <c r="S63" s="62">
        <f ca="1">AVERAGE(OFFSET($R$3,0,0,'Données projet'!$E$9+1,1))-AVERAGE(OFFSET($H$3,0,0,'Données projet'!$E$9+1,1))</f>
        <v>257.49385297440318</v>
      </c>
      <c r="T63" s="62">
        <f t="shared" si="34"/>
        <v>171.3281518185355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22</v>
      </c>
      <c r="W63" s="17">
        <f>IF(ISNA(VLOOKUP(A63,'Données projet'!$A$35:$I$55,5,0)),0%,VLOOKUP(A63,'Données projet'!$A$35:$I$55,5,0)*VLOOKUP('Données projet'!$B$9,Paramètres!$A$1:$I$89,7,0))</f>
        <v>0.17200000000000001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15.363203273629853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15.363203273629853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12.18916666666667</v>
      </c>
      <c r="AI63" s="14">
        <f>IF('Données projet'!$A$62&gt;35,AI62+AH63-AQ62,IF(A63&lt;'Données projet'!$A$62,$AF$205^A63,IF(A63='Données projet'!$A$62,'Données projet'!$B$62,AI62+AH63-AQ62)))</f>
        <v>332.73249999999996</v>
      </c>
      <c r="AJ63" s="14">
        <f>AI63*VLOOKUP('Données projet'!$B$10,Paramètres!$A$1:$I$89,3,0)*VLOOKUP('Données projet'!$B$10,Paramètres!$A$1:$I$89,5,0)</f>
        <v>155.71880999999999</v>
      </c>
      <c r="AK63" s="14">
        <f t="shared" si="35"/>
        <v>39.875362097048765</v>
      </c>
      <c r="AL63" s="22">
        <f t="shared" si="4"/>
        <v>340.65984973569317</v>
      </c>
      <c r="AM63" s="62">
        <f t="shared" si="5"/>
        <v>633.99318306902649</v>
      </c>
      <c r="AN63" s="62">
        <f ca="1">AVERAGE(OFFSET($AM$3,0,0,'Données projet'!$E$10+1,1))-AVERAGE(OFFSET($H$3,0,0,'Données projet'!$E$10+1,1))</f>
        <v>174.86489869124688</v>
      </c>
      <c r="AO63" s="62">
        <f t="shared" si="36"/>
        <v>146.54591565663782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11.420498591451187</v>
      </c>
      <c r="AV63" s="23">
        <f>EXP(-LN(2)/25)*AV62+(1-EXP(-LN(2)/25))/(LN(2)/25)*Calculateur!AQ63*Calculateur!AS63*VLOOKUP('Données projet'!$B$10,Paramètres!$A$1:$I$89,3,0)*0.475*44/12</f>
        <v>9.0038353969982072</v>
      </c>
      <c r="AW63" s="23">
        <f>EXP(-LN(2)/2)*AW62+(1-EXP(-LN(2)/2))/(LN(2)/2)*AQ63*AT63*VLOOKUP('Données projet'!$B$10,Paramètres!$A$1:$I$89,3,0)*0.475*44/12</f>
        <v>0.6084370432436037</v>
      </c>
      <c r="AX63" s="23">
        <f t="shared" si="6"/>
        <v>21.032771031692999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394.2942799073212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</v>
      </c>
      <c r="N64" s="14">
        <f>IF('Données projet'!$A$36&gt;35,N63+M64-V63,IF(A64&lt;'Données projet'!$A$36,$K$205^A64,IF(A64='Données projet'!$A$36,'Données projet'!$B$36,N63+M64-V63)))</f>
        <v>183.99999999999994</v>
      </c>
      <c r="O64" s="14">
        <f>N64*VLOOKUP('Données projet'!$B$9,Paramètres!$A$1:$I$89,3,0)*VLOOKUP('Données projet'!$B$9,Paramètres!$A$1:$I$89,5,0)</f>
        <v>186.57599999999996</v>
      </c>
      <c r="P64" s="14">
        <f t="shared" si="33"/>
        <v>46.782155731694274</v>
      </c>
      <c r="Q64" s="22">
        <f t="shared" si="53"/>
        <v>406.43212123270081</v>
      </c>
      <c r="R64" s="62">
        <f t="shared" si="0"/>
        <v>699.76545456603412</v>
      </c>
      <c r="S64" s="62">
        <f ca="1">AVERAGE(OFFSET($R$3,0,0,'Données projet'!$E$9+1,1))-AVERAGE(OFFSET($H$3,0,0,'Données projet'!$E$9+1,1))</f>
        <v>257.49385297440318</v>
      </c>
      <c r="T64" s="62">
        <f t="shared" si="34"/>
        <v>171.3281518185355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15.061940228062696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15.061940228062696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12.18916666666667</v>
      </c>
      <c r="AI64" s="14">
        <f>IF('Données projet'!$A$62&gt;35,AI63+AH64-AQ63,IF(A64&lt;'Données projet'!$A$62,$AF$205^A64,IF(A64='Données projet'!$A$62,'Données projet'!$B$62,AI63+AH64-AQ63)))</f>
        <v>344.92166666666662</v>
      </c>
      <c r="AJ64" s="14">
        <f>AI64*VLOOKUP('Données projet'!$B$10,Paramètres!$A$1:$I$89,3,0)*VLOOKUP('Données projet'!$B$10,Paramètres!$A$1:$I$89,5,0)</f>
        <v>161.42333999999997</v>
      </c>
      <c r="AK64" s="14">
        <f t="shared" si="35"/>
        <v>41.163388050030811</v>
      </c>
      <c r="AL64" s="22">
        <f t="shared" si="4"/>
        <v>352.83855135380367</v>
      </c>
      <c r="AM64" s="62">
        <f t="shared" si="5"/>
        <v>646.17188468713698</v>
      </c>
      <c r="AN64" s="62">
        <f ca="1">AVERAGE(OFFSET($AM$3,0,0,'Données projet'!$E$10+1,1))-AVERAGE(OFFSET($H$3,0,0,'Données projet'!$E$10+1,1))</f>
        <v>174.86489869124688</v>
      </c>
      <c r="AO64" s="62">
        <f t="shared" si="36"/>
        <v>146.54591565663782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11.196549579889153</v>
      </c>
      <c r="AV64" s="23">
        <f>EXP(-LN(2)/25)*AV63+(1-EXP(-LN(2)/25))/(LN(2)/25)*Calculateur!AQ64*Calculateur!AS64*VLOOKUP('Données projet'!$B$10,Paramètres!$A$1:$I$89,3,0)*0.475*44/12</f>
        <v>8.7576250445761659</v>
      </c>
      <c r="AW64" s="23">
        <f>EXP(-LN(2)/2)*AW63+(1-EXP(-LN(2)/2))/(LN(2)/2)*AQ64*AT64*VLOOKUP('Données projet'!$B$10,Paramètres!$A$1:$I$89,3,0)*0.475*44/12</f>
        <v>0.43022995920264484</v>
      </c>
      <c r="AX64" s="23">
        <f t="shared" si="6"/>
        <v>20.384404583667962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395.90504884859268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</v>
      </c>
      <c r="N65" s="14">
        <f>IF('Données projet'!$A$36&gt;35,N64+M65-V64,IF(A65&lt;'Données projet'!$A$36,$K$205^A65,IF(A65='Données projet'!$A$36,'Données projet'!$B$36,N64+M65-V64)))</f>
        <v>190.99999999999994</v>
      </c>
      <c r="O65" s="14">
        <f>N65*VLOOKUP('Données projet'!$B$9,Paramètres!$A$1:$I$89,3,0)*VLOOKUP('Données projet'!$B$9,Paramètres!$A$1:$I$89,5,0)</f>
        <v>193.67399999999995</v>
      </c>
      <c r="P65" s="14">
        <f t="shared" si="33"/>
        <v>48.351314467254007</v>
      </c>
      <c r="Q65" s="22">
        <f t="shared" si="53"/>
        <v>421.527422697134</v>
      </c>
      <c r="R65" s="62">
        <f t="shared" si="0"/>
        <v>714.86075603046731</v>
      </c>
      <c r="S65" s="62">
        <f ca="1">AVERAGE(OFFSET($R$3,0,0,'Données projet'!$E$9+1,1))-AVERAGE(OFFSET($H$3,0,0,'Données projet'!$E$9+1,1))</f>
        <v>257.49385297440318</v>
      </c>
      <c r="T65" s="62">
        <f t="shared" si="34"/>
        <v>171.3281518185355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14.766584767066796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14.766584767066796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12.18916666666667</v>
      </c>
      <c r="AI65" s="14">
        <f>IF('Données projet'!$A$62&gt;35,AI64+AH65-AQ64,IF(A65&lt;'Données projet'!$A$62,$AF$205^A65,IF(A65='Données projet'!$A$62,'Données projet'!$B$62,AI64+AH65-AQ64)))</f>
        <v>357.11083333333329</v>
      </c>
      <c r="AJ65" s="14">
        <f>AI65*VLOOKUP('Données projet'!$B$10,Paramètres!$A$1:$I$89,3,0)*VLOOKUP('Données projet'!$B$10,Paramètres!$A$1:$I$89,5,0)</f>
        <v>167.12786999999997</v>
      </c>
      <c r="AK65" s="14">
        <f t="shared" si="35"/>
        <v>42.446125488351107</v>
      </c>
      <c r="AL65" s="22">
        <f t="shared" si="4"/>
        <v>365.00804214221148</v>
      </c>
      <c r="AM65" s="62">
        <f t="shared" si="5"/>
        <v>658.34137547554474</v>
      </c>
      <c r="AN65" s="62">
        <f ca="1">AVERAGE(OFFSET($AM$3,0,0,'Données projet'!$E$10+1,1))-AVERAGE(OFFSET($H$3,0,0,'Données projet'!$E$10+1,1))</f>
        <v>174.86489869124688</v>
      </c>
      <c r="AO65" s="62">
        <f t="shared" si="36"/>
        <v>146.54591565663782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10.976992071848441</v>
      </c>
      <c r="AV65" s="23">
        <f>EXP(-LN(2)/25)*AV64+(1-EXP(-LN(2)/25))/(LN(2)/25)*Calculateur!AQ65*Calculateur!AS65*VLOOKUP('Données projet'!$B$10,Paramètres!$A$1:$I$89,3,0)*0.475*44/12</f>
        <v>8.5181473271887445</v>
      </c>
      <c r="AW65" s="23">
        <f>EXP(-LN(2)/2)*AW64+(1-EXP(-LN(2)/2))/(LN(2)/2)*AQ65*AT65*VLOOKUP('Données projet'!$B$10,Paramètres!$A$1:$I$89,3,0)*0.475*44/12</f>
        <v>0.30421852162180185</v>
      </c>
      <c r="AX65" s="23">
        <f t="shared" si="6"/>
        <v>19.799357920658988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397.51519170598732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</v>
      </c>
      <c r="N66" s="14">
        <f>IF('Données projet'!$A$36&gt;35,N65+M66-V65,IF(A66&lt;'Données projet'!$A$36,$K$205^A66,IF(A66='Données projet'!$A$36,'Données projet'!$B$36,N65+M66-V65)))</f>
        <v>197.99999999999994</v>
      </c>
      <c r="O66" s="14">
        <f>N66*VLOOKUP('Données projet'!$B$9,Paramètres!$A$1:$I$89,3,0)*VLOOKUP('Données projet'!$B$9,Paramètres!$A$1:$I$89,5,0)</f>
        <v>200.77199999999993</v>
      </c>
      <c r="P66" s="14">
        <f t="shared" si="33"/>
        <v>49.913791898945412</v>
      </c>
      <c r="Q66" s="22">
        <f t="shared" si="53"/>
        <v>436.61108755732977</v>
      </c>
      <c r="R66" s="62">
        <f t="shared" si="0"/>
        <v>729.94442089066308</v>
      </c>
      <c r="S66" s="62">
        <f ca="1">AVERAGE(OFFSET($R$3,0,0,'Données projet'!$E$9+1,1))-AVERAGE(OFFSET($H$3,0,0,'Données projet'!$E$9+1,1))</f>
        <v>257.49385297440318</v>
      </c>
      <c r="T66" s="62">
        <f t="shared" si="34"/>
        <v>171.3281518185355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14.477021046511984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14.477021046511984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369.3</v>
      </c>
      <c r="AG66" s="13">
        <f>VLOOKUP(A66,'Données projet'!$A$61:$I$81,9,0)</f>
        <v>12.18916666666667</v>
      </c>
      <c r="AH66" s="13">
        <f t="array" ref="AH66">INDEX(AG:AG,MIN(IF(ISNUMBER(AG66:AG262),ROW(AG66:AG262),"")))</f>
        <v>12.18916666666667</v>
      </c>
      <c r="AI66" s="14">
        <f>IF('Données projet'!$A$62&gt;35,AI65+AH66-AQ65,IF(A66&lt;'Données projet'!$A$62,$AF$205^A66,IF(A66='Données projet'!$A$62,'Données projet'!$B$62,AI65+AH66-AQ65)))</f>
        <v>369.29999999999995</v>
      </c>
      <c r="AJ66" s="14">
        <f>AI66*VLOOKUP('Données projet'!$B$10,Paramètres!$A$1:$I$89,3,0)*VLOOKUP('Données projet'!$B$10,Paramètres!$A$1:$I$89,5,0)</f>
        <v>172.83239999999998</v>
      </c>
      <c r="AK66" s="14">
        <f t="shared" si="35"/>
        <v>43.723775614552544</v>
      </c>
      <c r="AL66" s="22">
        <f t="shared" si="4"/>
        <v>377.168672528679</v>
      </c>
      <c r="AM66" s="62">
        <f t="shared" si="5"/>
        <v>670.50200586201231</v>
      </c>
      <c r="AN66" s="62">
        <f ca="1">AVERAGE(OFFSET($AM$3,0,0,'Données projet'!$E$10+1,1))-AVERAGE(OFFSET($H$3,0,0,'Données projet'!$E$10+1,1))</f>
        <v>174.86489869124688</v>
      </c>
      <c r="AO66" s="62">
        <f t="shared" si="36"/>
        <v>146.54591565663782</v>
      </c>
      <c r="AP66" s="16">
        <f>IF(ISNA(VLOOKUP(A66,'Données projet'!$A$61:$I$81,3,0)),0,VLOOKUP(A66,'Données projet'!$A$61:$I$81,3,0))</f>
        <v>2</v>
      </c>
      <c r="AQ66" s="16">
        <f>IF(ISNA(VLOOKUP(A66,'Données projet'!$A$61:$I$81,4,0)),0,VLOOKUP(A66,'Données projet'!$A$61:$I$81,4,0))</f>
        <v>113.87</v>
      </c>
      <c r="AR66" s="17">
        <f>IF(ISNA(VLOOKUP(A66,'Données projet'!$A$61:$I$81,5,0)),0%,VLOOKUP(A66,'Données projet'!$A$61:$I$81,5,0)*VLOOKUP('Données projet'!$B$10,Paramètres!$A$1:$I$89,7,0))</f>
        <v>0.27500000000000002</v>
      </c>
      <c r="AS66" s="17">
        <f>IF(ISNA(VLOOKUP(A66,'Données projet'!$A$61:$I$81,6,0)),0%,VLOOKUP(A66,'Données projet'!$A$61:$I$81,6,0)*VLOOKUP('Données projet'!$B$10,Paramètres!$A$1:$I$89,7,0))</f>
        <v>0.15400000000000003</v>
      </c>
      <c r="AT66" s="17">
        <f>IF(ISNA(VLOOKUP(A66,'Données projet'!$A$61:$I$81,7,0)),0%,VLOOKUP(A66,'Données projet'!$A$61:$I$81,7,0))</f>
        <v>0.22</v>
      </c>
      <c r="AU66" s="23">
        <f>EXP(-LN(2)/35)*AU65+(1-EXP(-LN(2)/35))/(LN(2)/35)*AQ66*AR66*VLOOKUP('Données projet'!$B$10,Paramètres!$A$1:$I$89,3,0)*0.475*44/12</f>
        <v>30.202633580037439</v>
      </c>
      <c r="AV66" s="23">
        <f>EXP(-LN(2)/25)*AV65+(1-EXP(-LN(2)/25))/(LN(2)/25)*Calculateur!AQ66*Calculateur!AS66*VLOOKUP('Données projet'!$B$10,Paramètres!$A$1:$I$89,3,0)*0.475*44/12</f>
        <v>19.129252696696135</v>
      </c>
      <c r="AW66" s="23">
        <f>EXP(-LN(2)/2)*AW65+(1-EXP(-LN(2)/2))/(LN(2)/2)*AQ66*AT66*VLOOKUP('Données projet'!$B$10,Paramètres!$A$1:$I$89,3,0)*0.475*44/12</f>
        <v>13.489468935024432</v>
      </c>
      <c r="AX66" s="23">
        <f t="shared" si="6"/>
        <v>62.821355211758004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399.12471956480363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</v>
      </c>
      <c r="N67" s="14">
        <f>IF('Données projet'!$A$36&gt;35,N66+M67-V66,IF(A67&lt;'Données projet'!$A$36,$K$205^A67,IF(A67='Données projet'!$A$36,'Données projet'!$B$36,N66+M67-V66)))</f>
        <v>204.99999999999994</v>
      </c>
      <c r="O67" s="14">
        <f>N67*VLOOKUP('Données projet'!$B$9,Paramètres!$A$1:$I$89,3,0)*VLOOKUP('Données projet'!$B$9,Paramètres!$A$1:$I$89,5,0)</f>
        <v>207.86999999999998</v>
      </c>
      <c r="P67" s="14">
        <f t="shared" si="33"/>
        <v>51.469851298719313</v>
      </c>
      <c r="Q67" s="22">
        <f t="shared" ref="Q67:Q98" si="54">(O67+P67)*0.475*44/12</f>
        <v>451.68357434526939</v>
      </c>
      <c r="R67" s="62">
        <f t="shared" ref="R67:R130" si="55">Q67+(I67+J67)*44/12</f>
        <v>745.01690767860271</v>
      </c>
      <c r="S67" s="62">
        <f ca="1">AVERAGE(OFFSET($R$3,0,0,'Données projet'!$E$9+1,1))-AVERAGE(OFFSET($H$3,0,0,'Données projet'!$E$9+1,1))</f>
        <v>257.49385297440318</v>
      </c>
      <c r="T67" s="62">
        <f t="shared" si="34"/>
        <v>171.3281518185355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14.193135493900822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14.193135493900822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11.169166666666664</v>
      </c>
      <c r="AI67" s="14">
        <f>IF('Données projet'!$A$62&gt;35,AI66+AH67-AQ66,IF(A67&lt;'Données projet'!$A$62,$AF$205^A67,IF(A67='Données projet'!$A$62,'Données projet'!$B$62,AI66+AH67-AQ66)))</f>
        <v>266.59916666666663</v>
      </c>
      <c r="AJ67" s="14">
        <f>AI67*VLOOKUP('Données projet'!$B$10,Paramètres!$A$1:$I$89,3,0)*VLOOKUP('Données projet'!$B$10,Paramètres!$A$1:$I$89,5,0)</f>
        <v>124.76840999999999</v>
      </c>
      <c r="AK67" s="14">
        <f t="shared" si="35"/>
        <v>32.784617820498312</v>
      </c>
      <c r="AL67" s="22">
        <f t="shared" si="4"/>
        <v>274.40485678736786</v>
      </c>
      <c r="AM67" s="62">
        <f t="shared" si="5"/>
        <v>567.73819012070112</v>
      </c>
      <c r="AN67" s="62">
        <f ca="1">AVERAGE(OFFSET($AM$3,0,0,'Données projet'!$E$10+1,1))-AVERAGE(OFFSET($H$3,0,0,'Données projet'!$E$10+1,1))</f>
        <v>174.86489869124688</v>
      </c>
      <c r="AO67" s="62">
        <f t="shared" si="36"/>
        <v>146.54591565663782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29.610378357320389</v>
      </c>
      <c r="AV67" s="23">
        <f>EXP(-LN(2)/25)*AV66+(1-EXP(-LN(2)/25))/(LN(2)/25)*Calculateur!AQ67*Calculateur!AS67*VLOOKUP('Données projet'!$B$10,Paramètres!$A$1:$I$89,3,0)*0.475*44/12</f>
        <v>18.606162275741301</v>
      </c>
      <c r="AW67" s="23">
        <f>EXP(-LN(2)/2)*AW66+(1-EXP(-LN(2)/2))/(LN(2)/2)*AQ67*AT67*VLOOKUP('Données projet'!$B$10,Paramètres!$A$1:$I$89,3,0)*0.475*44/12</f>
        <v>9.538494958561051</v>
      </c>
      <c r="AX67" s="23">
        <f t="shared" si="6"/>
        <v>57.755035591622743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400.73364314405171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212</v>
      </c>
      <c r="L68" s="13">
        <f>VLOOKUP(A68,'Données projet'!$A$35:$I$55,9,0)</f>
        <v>7</v>
      </c>
      <c r="M68" s="13">
        <f t="array" ref="M68">INDEX(L:L,MIN(IF(ISNUMBER(L68:L264),ROW(L68:L264),"")))</f>
        <v>7</v>
      </c>
      <c r="N68" s="14">
        <f>IF('Données projet'!$A$36&gt;35,N67+M68-V67,IF(A68&lt;'Données projet'!$A$36,$K$205^A68,IF(A68='Données projet'!$A$36,'Données projet'!$B$36,N67+M68-V67)))</f>
        <v>211.99999999999994</v>
      </c>
      <c r="O68" s="14">
        <f>N68*VLOOKUP('Données projet'!$B$9,Paramètres!$A$1:$I$89,3,0)*VLOOKUP('Données projet'!$B$9,Paramètres!$A$1:$I$89,5,0)</f>
        <v>214.96799999999993</v>
      </c>
      <c r="P68" s="14">
        <f t="shared" si="33"/>
        <v>53.019736939092994</v>
      </c>
      <c r="Q68" s="22">
        <f t="shared" si="54"/>
        <v>466.74530850225352</v>
      </c>
      <c r="R68" s="62">
        <f t="shared" si="55"/>
        <v>760.07864183558684</v>
      </c>
      <c r="S68" s="62">
        <f ca="1">AVERAGE(OFFSET($R$3,0,0,'Données projet'!$E$9+1,1))-AVERAGE(OFFSET($H$3,0,0,'Données projet'!$E$9+1,1))</f>
        <v>257.49385297440318</v>
      </c>
      <c r="T68" s="62">
        <f t="shared" si="34"/>
        <v>171.3281518185355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22</v>
      </c>
      <c r="W68" s="17">
        <f>IF(ISNA(VLOOKUP(A68,'Données projet'!$A$35:$I$55,5,0)),0%,VLOOKUP(A68,'Données projet'!$A$35:$I$55,5,0)*VLOOKUP('Données projet'!$B$9,Paramètres!$A$1:$I$89,7,0))</f>
        <v>0.215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19.216895907546803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19.216895907546803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11.169166666666664</v>
      </c>
      <c r="AI68" s="14">
        <f>IF('Données projet'!$A$62&gt;35,AI67+AH68-AQ67,IF(A68&lt;'Données projet'!$A$62,$AF$205^A68,IF(A68='Données projet'!$A$62,'Données projet'!$B$62,AI67+AH68-AQ67)))</f>
        <v>277.76833333333332</v>
      </c>
      <c r="AJ68" s="14">
        <f>AI68*VLOOKUP('Données projet'!$B$10,Paramètres!$A$1:$I$89,3,0)*VLOOKUP('Données projet'!$B$10,Paramètres!$A$1:$I$89,5,0)</f>
        <v>129.99557999999999</v>
      </c>
      <c r="AK68" s="14">
        <f t="shared" si="35"/>
        <v>33.995337998103132</v>
      </c>
      <c r="AL68" s="22">
        <f t="shared" ref="AL68:AL131" si="58">(AJ68+AK68)*0.475*44/12</f>
        <v>285.61751551336295</v>
      </c>
      <c r="AM68" s="62">
        <f t="shared" ref="AM68:AM131" si="59">AL68+(AD68+AE68)*44/12</f>
        <v>578.95084884669632</v>
      </c>
      <c r="AN68" s="62">
        <f ca="1">AVERAGE(OFFSET($AM$3,0,0,'Données projet'!$E$10+1,1))-AVERAGE(OFFSET($H$3,0,0,'Données projet'!$E$10+1,1))</f>
        <v>174.86489869124688</v>
      </c>
      <c r="AO68" s="62">
        <f t="shared" si="36"/>
        <v>146.54591565663782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29.029736898280802</v>
      </c>
      <c r="AV68" s="23">
        <f>EXP(-LN(2)/25)*AV67+(1-EXP(-LN(2)/25))/(LN(2)/25)*Calculateur!AQ68*Calculateur!AS68*VLOOKUP('Données projet'!$B$10,Paramètres!$A$1:$I$89,3,0)*0.475*44/12</f>
        <v>18.097375789855604</v>
      </c>
      <c r="AW68" s="23">
        <f>EXP(-LN(2)/2)*AW67+(1-EXP(-LN(2)/2))/(LN(2)/2)*AQ68*AT68*VLOOKUP('Données projet'!$B$10,Paramètres!$A$1:$I$89,3,0)*0.475*44/12</f>
        <v>6.7447344675122158</v>
      </c>
      <c r="AX68" s="23">
        <f t="shared" ref="AX68:AX131" si="60">SUM(AU68:AW68)</f>
        <v>53.871847155648624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402.34197281400208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6.6</v>
      </c>
      <c r="N69" s="14">
        <f>IF('Données projet'!$A$36&gt;35,N68+M69-V68,IF(A69&lt;'Données projet'!$A$36,$K$205^A69,IF(A69='Données projet'!$A$36,'Données projet'!$B$36,N68+M69-V68)))</f>
        <v>196.59999999999994</v>
      </c>
      <c r="O69" s="14">
        <f>N69*VLOOKUP('Données projet'!$B$9,Paramètres!$A$1:$I$89,3,0)*VLOOKUP('Données projet'!$B$9,Paramètres!$A$1:$I$89,5,0)</f>
        <v>199.35239999999996</v>
      </c>
      <c r="P69" s="14">
        <f t="shared" ref="P69:P132" si="87">EXP(-1.0587+0.8836*LN(O69)+0.284)</f>
        <v>49.601817992937235</v>
      </c>
      <c r="Q69" s="22">
        <f t="shared" si="54"/>
        <v>433.59526300436556</v>
      </c>
      <c r="R69" s="62">
        <f t="shared" si="55"/>
        <v>726.92859633769888</v>
      </c>
      <c r="S69" s="62">
        <f ca="1">AVERAGE(OFFSET($R$3,0,0,'Données projet'!$E$9+1,1))-AVERAGE(OFFSET($H$3,0,0,'Données projet'!$E$9+1,1))</f>
        <v>257.49385297440318</v>
      </c>
      <c r="T69" s="62">
        <f t="shared" ref="T69:T132" si="88">$T$3</f>
        <v>171.3281518185355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18.840064299948946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18.840064299948946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11.169166666666664</v>
      </c>
      <c r="AI69" s="14">
        <f>IF('Données projet'!$A$62&gt;35,AI68+AH69-AQ68,IF(A69&lt;'Données projet'!$A$62,$AF$205^A69,IF(A69='Données projet'!$A$62,'Données projet'!$B$62,AI68+AH69-AQ68)))</f>
        <v>288.9375</v>
      </c>
      <c r="AJ69" s="14">
        <f>AI69*VLOOKUP('Données projet'!$B$10,Paramètres!$A$1:$I$89,3,0)*VLOOKUP('Données projet'!$B$10,Paramètres!$A$1:$I$89,5,0)</f>
        <v>135.22274999999999</v>
      </c>
      <c r="AK69" s="14">
        <f t="shared" ref="AK69:AK132" si="89">EXP(-1.0587+0.8836*LN(AJ69)+0.284)</f>
        <v>35.200403047414646</v>
      </c>
      <c r="AL69" s="22">
        <f t="shared" si="58"/>
        <v>296.82032489091381</v>
      </c>
      <c r="AM69" s="62">
        <f t="shared" si="59"/>
        <v>590.15365822424712</v>
      </c>
      <c r="AN69" s="62">
        <f ca="1">AVERAGE(OFFSET($AM$3,0,0,'Données projet'!$E$10+1,1))-AVERAGE(OFFSET($H$3,0,0,'Données projet'!$E$10+1,1))</f>
        <v>174.86489869124688</v>
      </c>
      <c r="AO69" s="62">
        <f t="shared" ref="AO69:AO132" si="90">$AO$3</f>
        <v>146.54591565663782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28.460481464096663</v>
      </c>
      <c r="AV69" s="23">
        <f>EXP(-LN(2)/25)*AV68+(1-EXP(-LN(2)/25))/(LN(2)/25)*Calculateur!AQ69*Calculateur!AS69*VLOOKUP('Données projet'!$B$10,Paramètres!$A$1:$I$89,3,0)*0.475*44/12</f>
        <v>17.602502097182374</v>
      </c>
      <c r="AW69" s="23">
        <f>EXP(-LN(2)/2)*AW68+(1-EXP(-LN(2)/2))/(LN(2)/2)*AQ69*AT69*VLOOKUP('Données projet'!$B$10,Paramètres!$A$1:$I$89,3,0)*0.475*44/12</f>
        <v>4.7692474792805255</v>
      </c>
      <c r="AX69" s="23">
        <f t="shared" si="60"/>
        <v>50.832231040559563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403.94971861264025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6.6</v>
      </c>
      <c r="N70" s="14">
        <f>IF('Données projet'!$A$36&gt;35,N69+M70-V69,IF(A70&lt;'Données projet'!$A$36,$K$205^A70,IF(A70='Données projet'!$A$36,'Données projet'!$B$36,N69+M70-V69)))</f>
        <v>203.19999999999993</v>
      </c>
      <c r="O70" s="14">
        <f>N70*VLOOKUP('Données projet'!$B$9,Paramètres!$A$1:$I$89,3,0)*VLOOKUP('Données projet'!$B$9,Paramètres!$A$1:$I$89,5,0)</f>
        <v>206.04479999999992</v>
      </c>
      <c r="P70" s="14">
        <f t="shared" si="87"/>
        <v>51.070320860749725</v>
      </c>
      <c r="Q70" s="22">
        <f t="shared" si="54"/>
        <v>447.80883549913892</v>
      </c>
      <c r="R70" s="62">
        <f t="shared" si="55"/>
        <v>741.14216883247218</v>
      </c>
      <c r="S70" s="62">
        <f ca="1">AVERAGE(OFFSET($R$3,0,0,'Données projet'!$E$9+1,1))-AVERAGE(OFFSET($H$3,0,0,'Données projet'!$E$9+1,1))</f>
        <v>257.49385297440318</v>
      </c>
      <c r="T70" s="62">
        <f t="shared" si="88"/>
        <v>171.3281518185355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18.470622130331499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18.470622130331499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11.169166666666664</v>
      </c>
      <c r="AI70" s="14">
        <f>IF('Données projet'!$A$62&gt;35,AI69+AH70-AQ69,IF(A70&lt;'Données projet'!$A$62,$AF$205^A70,IF(A70='Données projet'!$A$62,'Données projet'!$B$62,AI69+AH70-AQ69)))</f>
        <v>300.10666666666668</v>
      </c>
      <c r="AJ70" s="14">
        <f>AI70*VLOOKUP('Données projet'!$B$10,Paramètres!$A$1:$I$89,3,0)*VLOOKUP('Données projet'!$B$10,Paramètres!$A$1:$I$89,5,0)</f>
        <v>140.44991999999999</v>
      </c>
      <c r="AK70" s="14">
        <f t="shared" si="89"/>
        <v>36.400056593949301</v>
      </c>
      <c r="AL70" s="22">
        <f t="shared" si="58"/>
        <v>308.01370923446171</v>
      </c>
      <c r="AM70" s="62">
        <f t="shared" si="59"/>
        <v>601.34704256779503</v>
      </c>
      <c r="AN70" s="62">
        <f ca="1">AVERAGE(OFFSET($AM$3,0,0,'Données projet'!$E$10+1,1))-AVERAGE(OFFSET($H$3,0,0,'Données projet'!$E$10+1,1))</f>
        <v>174.86489869124688</v>
      </c>
      <c r="AO70" s="62">
        <f t="shared" si="90"/>
        <v>146.54591565663782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27.902388781765342</v>
      </c>
      <c r="AV70" s="23">
        <f>EXP(-LN(2)/25)*AV69+(1-EXP(-LN(2)/25))/(LN(2)/25)*Calculateur!AQ70*Calculateur!AS70*VLOOKUP('Données projet'!$B$10,Paramètres!$A$1:$I$89,3,0)*0.475*44/12</f>
        <v>17.121160751659566</v>
      </c>
      <c r="AW70" s="23">
        <f>EXP(-LN(2)/2)*AW69+(1-EXP(-LN(2)/2))/(LN(2)/2)*AQ70*AT70*VLOOKUP('Données projet'!$B$10,Paramètres!$A$1:$I$89,3,0)*0.475*44/12</f>
        <v>3.3723672337561079</v>
      </c>
      <c r="AX70" s="23">
        <f t="shared" si="60"/>
        <v>48.395916767181021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405.5568902611115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6.6</v>
      </c>
      <c r="N71" s="14">
        <f>IF('Données projet'!$A$36&gt;35,N70+M71-V70,IF(A71&lt;'Données projet'!$A$36,$K$205^A71,IF(A71='Données projet'!$A$36,'Données projet'!$B$36,N70+M71-V70)))</f>
        <v>209.79999999999993</v>
      </c>
      <c r="O71" s="14">
        <f>N71*VLOOKUP('Données projet'!$B$9,Paramètres!$A$1:$I$89,3,0)*VLOOKUP('Données projet'!$B$9,Paramètres!$A$1:$I$89,5,0)</f>
        <v>212.73719999999992</v>
      </c>
      <c r="P71" s="14">
        <f t="shared" si="87"/>
        <v>52.533281199481387</v>
      </c>
      <c r="Q71" s="22">
        <f t="shared" si="54"/>
        <v>462.0127547557633</v>
      </c>
      <c r="R71" s="62">
        <f t="shared" si="55"/>
        <v>755.34608808909661</v>
      </c>
      <c r="S71" s="62">
        <f ca="1">AVERAGE(OFFSET($R$3,0,0,'Données projet'!$E$9+1,1))-AVERAGE(OFFSET($H$3,0,0,'Données projet'!$E$9+1,1))</f>
        <v>257.49385297440318</v>
      </c>
      <c r="T71" s="62">
        <f t="shared" si="88"/>
        <v>171.3281518185355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18.108424496322776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18.108424496322776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11.169166666666664</v>
      </c>
      <c r="AI71" s="14">
        <f>IF('Données projet'!$A$62&gt;35,AI70+AH71-AQ70,IF(A71&lt;'Données projet'!$A$62,$AF$205^A71,IF(A71='Données projet'!$A$62,'Données projet'!$B$62,AI70+AH71-AQ70)))</f>
        <v>311.27583333333337</v>
      </c>
      <c r="AJ71" s="14">
        <f>AI71*VLOOKUP('Données projet'!$B$10,Paramètres!$A$1:$I$89,3,0)*VLOOKUP('Données projet'!$B$10,Paramètres!$A$1:$I$89,5,0)</f>
        <v>145.67709000000002</v>
      </c>
      <c r="AK71" s="14">
        <f t="shared" si="89"/>
        <v>37.594523101634472</v>
      </c>
      <c r="AL71" s="22">
        <f t="shared" si="58"/>
        <v>319.19805948534673</v>
      </c>
      <c r="AM71" s="62">
        <f t="shared" si="59"/>
        <v>612.53139281868005</v>
      </c>
      <c r="AN71" s="62">
        <f ca="1">AVERAGE(OFFSET($AM$3,0,0,'Données projet'!$E$10+1,1))-AVERAGE(OFFSET($H$3,0,0,'Données projet'!$E$10+1,1))</f>
        <v>174.86489869124688</v>
      </c>
      <c r="AO71" s="62">
        <f t="shared" si="90"/>
        <v>146.54591565663782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27.355239956531616</v>
      </c>
      <c r="AV71" s="23">
        <f>EXP(-LN(2)/25)*AV70+(1-EXP(-LN(2)/25))/(LN(2)/25)*Calculateur!AQ71*Calculateur!AS71*VLOOKUP('Données projet'!$B$10,Paramètres!$A$1:$I$89,3,0)*0.475*44/12</f>
        <v>16.652981710542722</v>
      </c>
      <c r="AW71" s="23">
        <f>EXP(-LN(2)/2)*AW70+(1-EXP(-LN(2)/2))/(LN(2)/2)*AQ71*AT71*VLOOKUP('Données projet'!$B$10,Paramètres!$A$1:$I$89,3,0)*0.475*44/12</f>
        <v>2.3846237396402628</v>
      </c>
      <c r="AX71" s="23">
        <f t="shared" si="60"/>
        <v>46.392845406714599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407.16349717823095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6.6</v>
      </c>
      <c r="N72" s="14">
        <f>IF('Données projet'!$A$36&gt;35,N71+M72-V71,IF(A72&lt;'Données projet'!$A$36,$K$205^A72,IF(A72='Données projet'!$A$36,'Données projet'!$B$36,N71+M72-V71)))</f>
        <v>216.39999999999992</v>
      </c>
      <c r="O72" s="14">
        <f>N72*VLOOKUP('Données projet'!$B$9,Paramètres!$A$1:$I$89,3,0)*VLOOKUP('Données projet'!$B$9,Paramètres!$A$1:$I$89,5,0)</f>
        <v>219.42959999999991</v>
      </c>
      <c r="P72" s="14">
        <f t="shared" si="87"/>
        <v>53.990893373543535</v>
      </c>
      <c r="Q72" s="22">
        <f t="shared" si="54"/>
        <v>476.20735929225475</v>
      </c>
      <c r="R72" s="62">
        <f t="shared" si="55"/>
        <v>769.54069262558801</v>
      </c>
      <c r="S72" s="62">
        <f ca="1">AVERAGE(OFFSET($R$3,0,0,'Données projet'!$E$9+1,1))-AVERAGE(OFFSET($H$3,0,0,'Données projet'!$E$9+1,1))</f>
        <v>257.49385297440318</v>
      </c>
      <c r="T72" s="62">
        <f t="shared" si="88"/>
        <v>171.3281518185355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17.75332933699822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17.75332933699822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11.169166666666664</v>
      </c>
      <c r="AI72" s="14">
        <f>IF('Données projet'!$A$62&gt;35,AI71+AH72-AQ71,IF(A72&lt;'Données projet'!$A$62,$AF$205^A72,IF(A72='Données projet'!$A$62,'Données projet'!$B$62,AI71+AH72-AQ71)))</f>
        <v>322.44500000000005</v>
      </c>
      <c r="AJ72" s="14">
        <f>AI72*VLOOKUP('Données projet'!$B$10,Paramètres!$A$1:$I$89,3,0)*VLOOKUP('Données projet'!$B$10,Paramètres!$A$1:$I$89,5,0)</f>
        <v>150.90426000000002</v>
      </c>
      <c r="AK72" s="14">
        <f t="shared" si="89"/>
        <v>38.78401001291909</v>
      </c>
      <c r="AL72" s="22">
        <f t="shared" si="58"/>
        <v>330.37373693916743</v>
      </c>
      <c r="AM72" s="62">
        <f t="shared" si="59"/>
        <v>623.70707027250069</v>
      </c>
      <c r="AN72" s="62">
        <f ca="1">AVERAGE(OFFSET($AM$3,0,0,'Données projet'!$E$10+1,1))-AVERAGE(OFFSET($H$3,0,0,'Données projet'!$E$10+1,1))</f>
        <v>174.86489869124688</v>
      </c>
      <c r="AO72" s="62">
        <f t="shared" si="90"/>
        <v>146.54591565663782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26.818820386032893</v>
      </c>
      <c r="AV72" s="23">
        <f>EXP(-LN(2)/25)*AV71+(1-EXP(-LN(2)/25))/(LN(2)/25)*Calculateur!AQ72*Calculateur!AS72*VLOOKUP('Données projet'!$B$10,Paramètres!$A$1:$I$89,3,0)*0.475*44/12</f>
        <v>16.197605049925684</v>
      </c>
      <c r="AW72" s="23">
        <f>EXP(-LN(2)/2)*AW71+(1-EXP(-LN(2)/2))/(LN(2)/2)*AQ72*AT72*VLOOKUP('Données projet'!$B$10,Paramètres!$A$1:$I$89,3,0)*0.475*44/12</f>
        <v>1.686183616878054</v>
      </c>
      <c r="AX72" s="23">
        <f t="shared" si="60"/>
        <v>44.702609052836635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408.76954849412897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223</v>
      </c>
      <c r="L73" s="13">
        <f>VLOOKUP(A73,'Données projet'!$A$35:$I$55,9,0)</f>
        <v>6.6</v>
      </c>
      <c r="M73" s="13">
        <f t="array" ref="M73">INDEX(L:L,MIN(IF(ISNUMBER(L73:L269),ROW(L73:L269),"")))</f>
        <v>6.6</v>
      </c>
      <c r="N73" s="14">
        <f>IF('Données projet'!$A$36&gt;35,N72+M73-V72,IF(A73&lt;'Données projet'!$A$36,$K$205^A73,IF(A73='Données projet'!$A$36,'Données projet'!$B$36,N72+M73-V72)))</f>
        <v>222.99999999999991</v>
      </c>
      <c r="O73" s="14">
        <f>N73*VLOOKUP('Données projet'!$B$9,Paramètres!$A$1:$I$89,3,0)*VLOOKUP('Données projet'!$B$9,Paramètres!$A$1:$I$89,5,0)</f>
        <v>226.12199999999996</v>
      </c>
      <c r="P73" s="14">
        <f t="shared" si="87"/>
        <v>55.443339217820046</v>
      </c>
      <c r="Q73" s="22">
        <f t="shared" si="54"/>
        <v>490.39296580436979</v>
      </c>
      <c r="R73" s="62">
        <f t="shared" si="55"/>
        <v>783.72629913770311</v>
      </c>
      <c r="S73" s="62">
        <f ca="1">AVERAGE(OFFSET($R$3,0,0,'Données projet'!$E$9+1,1))-AVERAGE(OFFSET($H$3,0,0,'Données projet'!$E$9+1,1))</f>
        <v>257.49385297440318</v>
      </c>
      <c r="T73" s="62">
        <f t="shared" si="88"/>
        <v>171.3281518185355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22</v>
      </c>
      <c r="W73" s="17">
        <f>IF(ISNA(VLOOKUP(A73,'Données projet'!$A$35:$I$55,5,0)),0%,VLOOKUP(A73,'Données projet'!$A$35:$I$55,5,0)*VLOOKUP('Données projet'!$B$9,Paramètres!$A$1:$I$89,7,0))</f>
        <v>0.215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22.707276520884886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22.707276520884886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11.169166666666664</v>
      </c>
      <c r="AI73" s="14">
        <f>IF('Données projet'!$A$62&gt;35,AI72+AH73-AQ72,IF(A73&lt;'Données projet'!$A$62,$AF$205^A73,IF(A73='Données projet'!$A$62,'Données projet'!$B$62,AI72+AH73-AQ72)))</f>
        <v>333.61416666666673</v>
      </c>
      <c r="AJ73" s="14">
        <f>AI73*VLOOKUP('Données projet'!$B$10,Paramètres!$A$1:$I$89,3,0)*VLOOKUP('Données projet'!$B$10,Paramètres!$A$1:$I$89,5,0)</f>
        <v>156.13143000000002</v>
      </c>
      <c r="AK73" s="14">
        <f t="shared" si="89"/>
        <v>39.968709584027991</v>
      </c>
      <c r="AL73" s="22">
        <f t="shared" si="58"/>
        <v>341.54107644218203</v>
      </c>
      <c r="AM73" s="62">
        <f t="shared" si="59"/>
        <v>634.87440977551535</v>
      </c>
      <c r="AN73" s="62">
        <f ca="1">AVERAGE(OFFSET($AM$3,0,0,'Données projet'!$E$10+1,1))-AVERAGE(OFFSET($H$3,0,0,'Données projet'!$E$10+1,1))</f>
        <v>174.86489869124688</v>
      </c>
      <c r="AO73" s="62">
        <f t="shared" si="90"/>
        <v>146.54591565663782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26.292919676128019</v>
      </c>
      <c r="AV73" s="23">
        <f>EXP(-LN(2)/25)*AV72+(1-EXP(-LN(2)/25))/(LN(2)/25)*Calculateur!AQ73*Calculateur!AS73*VLOOKUP('Données projet'!$B$10,Paramètres!$A$1:$I$89,3,0)*0.475*44/12</f>
        <v>15.754680688040438</v>
      </c>
      <c r="AW73" s="23">
        <f>EXP(-LN(2)/2)*AW72+(1-EXP(-LN(2)/2))/(LN(2)/2)*AQ73*AT73*VLOOKUP('Données projet'!$B$10,Paramètres!$A$1:$I$89,3,0)*0.475*44/12</f>
        <v>1.1923118698201314</v>
      </c>
      <c r="AX73" s="23">
        <f t="shared" si="60"/>
        <v>43.239912233988591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410.3750530630943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6.6</v>
      </c>
      <c r="N74" s="14">
        <f>IF('Données projet'!$A$36&gt;35,N73+M74-V73,IF(A74&lt;'Données projet'!$A$36,$K$205^A74,IF(A74='Données projet'!$A$36,'Données projet'!$B$36,N73+M74-V73)))</f>
        <v>207.59999999999991</v>
      </c>
      <c r="O74" s="14">
        <f>N74*VLOOKUP('Données projet'!$B$9,Paramètres!$A$1:$I$89,3,0)*VLOOKUP('Données projet'!$B$9,Paramètres!$A$1:$I$89,5,0)</f>
        <v>210.50639999999993</v>
      </c>
      <c r="P74" s="14">
        <f t="shared" si="87"/>
        <v>52.046231322304777</v>
      </c>
      <c r="Q74" s="22">
        <f t="shared" si="54"/>
        <v>457.27916621968069</v>
      </c>
      <c r="R74" s="62">
        <f t="shared" si="55"/>
        <v>750.612499553014</v>
      </c>
      <c r="S74" s="62">
        <f ca="1">AVERAGE(OFFSET($R$3,0,0,'Données projet'!$E$9+1,1))-AVERAGE(OFFSET($H$3,0,0,'Données projet'!$E$9+1,1))</f>
        <v>257.49385297440318</v>
      </c>
      <c r="T74" s="62">
        <f t="shared" si="88"/>
        <v>171.3281518185355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22.26200067838143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22.26200067838143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11.169166666666664</v>
      </c>
      <c r="AI74" s="14">
        <f>IF('Données projet'!$A$62&gt;35,AI73+AH74-AQ73,IF(A74&lt;'Données projet'!$A$62,$AF$205^A74,IF(A74='Données projet'!$A$62,'Données projet'!$B$62,AI73+AH74-AQ73)))</f>
        <v>344.78333333333342</v>
      </c>
      <c r="AJ74" s="14">
        <f>AI74*VLOOKUP('Données projet'!$B$10,Paramètres!$A$1:$I$89,3,0)*VLOOKUP('Données projet'!$B$10,Paramètres!$A$1:$I$89,5,0)</f>
        <v>161.35860000000005</v>
      </c>
      <c r="AK74" s="14">
        <f t="shared" si="89"/>
        <v>41.148800467540248</v>
      </c>
      <c r="AL74" s="22">
        <f t="shared" si="58"/>
        <v>352.70038914763268</v>
      </c>
      <c r="AM74" s="62">
        <f t="shared" si="59"/>
        <v>646.03372248096593</v>
      </c>
      <c r="AN74" s="62">
        <f ca="1">AVERAGE(OFFSET($AM$3,0,0,'Données projet'!$E$10+1,1))-AVERAGE(OFFSET($H$3,0,0,'Données projet'!$E$10+1,1))</f>
        <v>174.86489869124688</v>
      </c>
      <c r="AO74" s="62">
        <f t="shared" si="90"/>
        <v>146.54591565663782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25.77733155837662</v>
      </c>
      <c r="AV74" s="23">
        <f>EXP(-LN(2)/25)*AV73+(1-EXP(-LN(2)/25))/(LN(2)/25)*Calculateur!AQ74*Calculateur!AS74*VLOOKUP('Données projet'!$B$10,Paramètres!$A$1:$I$89,3,0)*0.475*44/12</f>
        <v>15.323868116123322</v>
      </c>
      <c r="AW74" s="23">
        <f>EXP(-LN(2)/2)*AW73+(1-EXP(-LN(2)/2))/(LN(2)/2)*AQ74*AT74*VLOOKUP('Données projet'!$B$10,Paramètres!$A$1:$I$89,3,0)*0.475*44/12</f>
        <v>0.84309180843902698</v>
      </c>
      <c r="AX74" s="23">
        <f t="shared" si="60"/>
        <v>41.944291482938965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411.98001947567326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6.6</v>
      </c>
      <c r="N75" s="14">
        <f>IF('Données projet'!$A$36&gt;35,N74+M75-V74,IF(A75&lt;'Données projet'!$A$36,$K$205^A75,IF(A75='Données projet'!$A$36,'Données projet'!$B$36,N74+M75-V74)))</f>
        <v>214.1999999999999</v>
      </c>
      <c r="O75" s="14">
        <f>N75*VLOOKUP('Données projet'!$B$9,Paramètres!$A$1:$I$89,3,0)*VLOOKUP('Données projet'!$B$9,Paramètres!$A$1:$I$89,5,0)</f>
        <v>217.19879999999989</v>
      </c>
      <c r="P75" s="14">
        <f t="shared" si="87"/>
        <v>53.505605420483995</v>
      </c>
      <c r="Q75" s="22">
        <f t="shared" si="54"/>
        <v>471.47683944067609</v>
      </c>
      <c r="R75" s="62">
        <f t="shared" si="55"/>
        <v>764.8101727740094</v>
      </c>
      <c r="S75" s="62">
        <f ca="1">AVERAGE(OFFSET($R$3,0,0,'Données projet'!$E$9+1,1))-AVERAGE(OFFSET($H$3,0,0,'Données projet'!$E$9+1,1))</f>
        <v>257.49385297440318</v>
      </c>
      <c r="T75" s="62">
        <f t="shared" si="88"/>
        <v>171.3281518185355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21.82545642355802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21.82545642355802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11.169166666666664</v>
      </c>
      <c r="AI75" s="14">
        <f>IF('Données projet'!$A$62&gt;35,AI74+AH75-AQ74,IF(A75&lt;'Données projet'!$A$62,$AF$205^A75,IF(A75='Données projet'!$A$62,'Données projet'!$B$62,AI74+AH75-AQ74)))</f>
        <v>355.9525000000001</v>
      </c>
      <c r="AJ75" s="14">
        <f>AI75*VLOOKUP('Données projet'!$B$10,Paramètres!$A$1:$I$89,3,0)*VLOOKUP('Données projet'!$B$10,Paramètres!$A$1:$I$89,5,0)</f>
        <v>166.58577000000005</v>
      </c>
      <c r="AK75" s="14">
        <f t="shared" si="89"/>
        <v>42.324449084137981</v>
      </c>
      <c r="AL75" s="22">
        <f t="shared" si="58"/>
        <v>363.85196490487368</v>
      </c>
      <c r="AM75" s="62">
        <f t="shared" si="59"/>
        <v>657.185298238207</v>
      </c>
      <c r="AN75" s="62">
        <f ca="1">AVERAGE(OFFSET($AM$3,0,0,'Données projet'!$E$10+1,1))-AVERAGE(OFFSET($H$3,0,0,'Données projet'!$E$10+1,1))</f>
        <v>174.86489869124688</v>
      </c>
      <c r="AO75" s="62">
        <f t="shared" si="90"/>
        <v>146.54591565663782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25.271853809136626</v>
      </c>
      <c r="AV75" s="23">
        <f>EXP(-LN(2)/25)*AV74+(1-EXP(-LN(2)/25))/(LN(2)/25)*Calculateur!AQ75*Calculateur!AS75*VLOOKUP('Données projet'!$B$10,Paramètres!$A$1:$I$89,3,0)*0.475*44/12</f>
        <v>14.904836136640728</v>
      </c>
      <c r="AW75" s="23">
        <f>EXP(-LN(2)/2)*AW74+(1-EXP(-LN(2)/2))/(LN(2)/2)*AQ75*AT75*VLOOKUP('Données projet'!$B$10,Paramètres!$A$1:$I$89,3,0)*0.475*44/12</f>
        <v>0.59615593491006569</v>
      </c>
      <c r="AX75" s="23">
        <f t="shared" si="60"/>
        <v>40.77284588068742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413.58445607007764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6.6</v>
      </c>
      <c r="N76" s="14">
        <f>IF('Données projet'!$A$36&gt;35,N75+M76-V75,IF(A76&lt;'Données projet'!$A$36,$K$205^A76,IF(A76='Données projet'!$A$36,'Données projet'!$B$36,N75+M76-V75)))</f>
        <v>220.7999999999999</v>
      </c>
      <c r="O76" s="14">
        <f>N76*VLOOKUP('Données projet'!$B$9,Paramètres!$A$1:$I$89,3,0)*VLOOKUP('Données projet'!$B$9,Paramètres!$A$1:$I$89,5,0)</f>
        <v>223.89119999999988</v>
      </c>
      <c r="P76" s="14">
        <f t="shared" si="87"/>
        <v>54.95975389514858</v>
      </c>
      <c r="Q76" s="22">
        <f t="shared" si="54"/>
        <v>485.66541136738351</v>
      </c>
      <c r="R76" s="62">
        <f t="shared" si="55"/>
        <v>778.99874470071677</v>
      </c>
      <c r="S76" s="62">
        <f ca="1">AVERAGE(OFFSET($R$3,0,0,'Données projet'!$E$9+1,1))-AVERAGE(OFFSET($H$3,0,0,'Données projet'!$E$9+1,1))</f>
        <v>257.49385297440318</v>
      </c>
      <c r="T76" s="62">
        <f t="shared" si="88"/>
        <v>171.3281518185355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21.397472535305994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21.397472535305994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11.169166666666664</v>
      </c>
      <c r="AI76" s="14">
        <f>IF('Données projet'!$A$62&gt;35,AI75+AH76-AQ75,IF(A76&lt;'Données projet'!$A$62,$AF$205^A76,IF(A76='Données projet'!$A$62,'Données projet'!$B$62,AI75+AH76-AQ75)))</f>
        <v>367.12166666666678</v>
      </c>
      <c r="AJ76" s="14">
        <f>AI76*VLOOKUP('Données projet'!$B$10,Paramètres!$A$1:$I$89,3,0)*VLOOKUP('Données projet'!$B$10,Paramètres!$A$1:$I$89,5,0)</f>
        <v>171.81294000000005</v>
      </c>
      <c r="AK76" s="14">
        <f t="shared" si="89"/>
        <v>43.495810817346396</v>
      </c>
      <c r="AL76" s="22">
        <f t="shared" si="58"/>
        <v>374.99607434021169</v>
      </c>
      <c r="AM76" s="62">
        <f t="shared" si="59"/>
        <v>668.32940767354501</v>
      </c>
      <c r="AN76" s="62">
        <f ca="1">AVERAGE(OFFSET($AM$3,0,0,'Données projet'!$E$10+1,1))-AVERAGE(OFFSET($H$3,0,0,'Données projet'!$E$10+1,1))</f>
        <v>174.86489869124688</v>
      </c>
      <c r="AO76" s="62">
        <f t="shared" si="90"/>
        <v>146.54591565663782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24.776288170248243</v>
      </c>
      <c r="AV76" s="23">
        <f>EXP(-LN(2)/25)*AV75+(1-EXP(-LN(2)/25))/(LN(2)/25)*Calculateur!AQ76*Calculateur!AS76*VLOOKUP('Données projet'!$B$10,Paramètres!$A$1:$I$89,3,0)*0.475*44/12</f>
        <v>14.497262608673021</v>
      </c>
      <c r="AW76" s="23">
        <f>EXP(-LN(2)/2)*AW75+(1-EXP(-LN(2)/2))/(LN(2)/2)*AQ76*AT76*VLOOKUP('Données projet'!$B$10,Paramètres!$A$1:$I$89,3,0)*0.475*44/12</f>
        <v>0.42154590421951349</v>
      </c>
      <c r="AX76" s="23">
        <f t="shared" si="60"/>
        <v>39.695096683140775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415.1883709429498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6.6</v>
      </c>
      <c r="N77" s="14">
        <f>IF('Données projet'!$A$36&gt;35,N76+M77-V76,IF(A77&lt;'Données projet'!$A$36,$K$205^A77,IF(A77='Données projet'!$A$36,'Données projet'!$B$36,N76+M77-V76)))</f>
        <v>227.39999999999989</v>
      </c>
      <c r="O77" s="14">
        <f>N77*VLOOKUP('Données projet'!$B$9,Paramètres!$A$1:$I$89,3,0)*VLOOKUP('Données projet'!$B$9,Paramètres!$A$1:$I$89,5,0)</f>
        <v>230.58359999999993</v>
      </c>
      <c r="P77" s="14">
        <f t="shared" si="87"/>
        <v>56.408850878327968</v>
      </c>
      <c r="Q77" s="22">
        <f t="shared" si="54"/>
        <v>499.84518527975439</v>
      </c>
      <c r="R77" s="62">
        <f t="shared" si="55"/>
        <v>793.1785186130877</v>
      </c>
      <c r="S77" s="62">
        <f ca="1">AVERAGE(OFFSET($R$3,0,0,'Données projet'!$E$9+1,1))-AVERAGE(OFFSET($H$3,0,0,'Données projet'!$E$9+1,1))</f>
        <v>257.49385297440318</v>
      </c>
      <c r="T77" s="62">
        <f t="shared" si="88"/>
        <v>171.3281518185355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20.977881150058195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20.977881150058195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11.169166666666664</v>
      </c>
      <c r="AI77" s="14">
        <f>IF('Données projet'!$A$62&gt;35,AI76+AH77-AQ76,IF(A77&lt;'Données projet'!$A$62,$AF$205^A77,IF(A77='Données projet'!$A$62,'Données projet'!$B$62,AI76+AH77-AQ76)))</f>
        <v>378.29083333333347</v>
      </c>
      <c r="AJ77" s="14">
        <f>AI77*VLOOKUP('Données projet'!$B$10,Paramètres!$A$1:$I$89,3,0)*VLOOKUP('Données projet'!$B$10,Paramètres!$A$1:$I$89,5,0)</f>
        <v>177.04011000000008</v>
      </c>
      <c r="AK77" s="14">
        <f t="shared" si="89"/>
        <v>44.663031058795241</v>
      </c>
      <c r="AL77" s="22">
        <f t="shared" si="58"/>
        <v>386.13297067740183</v>
      </c>
      <c r="AM77" s="62">
        <f t="shared" si="59"/>
        <v>679.46630401073514</v>
      </c>
      <c r="AN77" s="62">
        <f ca="1">AVERAGE(OFFSET($AM$3,0,0,'Données projet'!$E$10+1,1))-AVERAGE(OFFSET($H$3,0,0,'Données projet'!$E$10+1,1))</f>
        <v>174.86489869124688</v>
      </c>
      <c r="AO77" s="62">
        <f t="shared" si="90"/>
        <v>146.54591565663782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24.290440271273269</v>
      </c>
      <c r="AV77" s="23">
        <f>EXP(-LN(2)/25)*AV76+(1-EXP(-LN(2)/25))/(LN(2)/25)*Calculateur!AQ77*Calculateur!AS77*VLOOKUP('Données projet'!$B$10,Paramètres!$A$1:$I$89,3,0)*0.475*44/12</f>
        <v>14.10083420026095</v>
      </c>
      <c r="AW77" s="23">
        <f>EXP(-LN(2)/2)*AW76+(1-EXP(-LN(2)/2))/(LN(2)/2)*AQ77*AT77*VLOOKUP('Données projet'!$B$10,Paramètres!$A$1:$I$89,3,0)*0.475*44/12</f>
        <v>0.29807796745503284</v>
      </c>
      <c r="AX77" s="23">
        <f t="shared" si="60"/>
        <v>38.689352438989253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416.79177195952911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234</v>
      </c>
      <c r="L78" s="13">
        <f>VLOOKUP(A78,'Données projet'!$A$35:$I$55,9,0)</f>
        <v>6.6</v>
      </c>
      <c r="M78" s="13">
        <f t="array" ref="M78">INDEX(L:L,MIN(IF(ISNUMBER(L78:L274),ROW(L78:L274),"")))</f>
        <v>6.6</v>
      </c>
      <c r="N78" s="14">
        <f>IF('Données projet'!$A$36&gt;35,N77+M78-V77,IF(A78&lt;'Données projet'!$A$36,$K$205^A78,IF(A78='Données projet'!$A$36,'Données projet'!$B$36,N77+M78-V77)))</f>
        <v>233.99999999999989</v>
      </c>
      <c r="O78" s="14">
        <f>N78*VLOOKUP('Données projet'!$B$9,Paramètres!$A$1:$I$89,3,0)*VLOOKUP('Données projet'!$B$9,Paramètres!$A$1:$I$89,5,0)</f>
        <v>237.2759999999999</v>
      </c>
      <c r="P78" s="14">
        <f t="shared" si="87"/>
        <v>57.853059819349511</v>
      </c>
      <c r="Q78" s="22">
        <f t="shared" si="54"/>
        <v>514.0164458520336</v>
      </c>
      <c r="R78" s="62">
        <f t="shared" si="55"/>
        <v>807.34977918536697</v>
      </c>
      <c r="S78" s="62">
        <f ca="1">AVERAGE(OFFSET($R$3,0,0,'Données projet'!$E$9+1,1))-AVERAGE(OFFSET($H$3,0,0,'Données projet'!$E$9+1,1))</f>
        <v>257.49385297440318</v>
      </c>
      <c r="T78" s="62">
        <f t="shared" si="88"/>
        <v>171.3281518185355</v>
      </c>
      <c r="U78" s="16">
        <f>IF(ISNA(VLOOKUP(A78,'Données projet'!$A$35:$I$55,3,0)),0,VLOOKUP(A78,'Données projet'!$A$35:$I$55,3,0))</f>
        <v>13</v>
      </c>
      <c r="V78" s="16">
        <f>IF(ISNA(VLOOKUP(A78,'Données projet'!$A$35:$I$55,4,0)),0,VLOOKUP(A78,'Données projet'!$A$35:$I$55,4,0))</f>
        <v>22</v>
      </c>
      <c r="W78" s="17">
        <f>IF(ISNA(VLOOKUP(A78,'Données projet'!$A$35:$I$55,5,0)),0%,VLOOKUP(A78,'Données projet'!$A$35:$I$55,5,0)*VLOOKUP('Données projet'!$B$9,Paramètres!$A$1:$I$89,7,0))</f>
        <v>0.25800000000000001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26.929012668417862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26.929012668417862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389.46</v>
      </c>
      <c r="AG78" s="13">
        <f>VLOOKUP(A78,'Données projet'!$A$61:$I$81,9,0)</f>
        <v>11.169166666666664</v>
      </c>
      <c r="AH78" s="13">
        <f t="array" ref="AH78">INDEX(AG:AG,MIN(IF(ISNUMBER(AG78:AG274),ROW(AG78:AG274),"")))</f>
        <v>11.169166666666664</v>
      </c>
      <c r="AI78" s="14">
        <f>IF('Données projet'!$A$62&gt;35,AI77+AH78-AQ77,IF(A78&lt;'Données projet'!$A$62,$AF$205^A78,IF(A78='Données projet'!$A$62,'Données projet'!$B$62,AI77+AH78-AQ77)))</f>
        <v>389.46000000000015</v>
      </c>
      <c r="AJ78" s="14">
        <f>AI78*VLOOKUP('Données projet'!$B$10,Paramètres!$A$1:$I$89,3,0)*VLOOKUP('Données projet'!$B$10,Paramètres!$A$1:$I$89,5,0)</f>
        <v>182.26728000000008</v>
      </c>
      <c r="AK78" s="14">
        <f t="shared" si="89"/>
        <v>45.82624612656528</v>
      </c>
      <c r="AL78" s="22">
        <f t="shared" si="58"/>
        <v>397.26289133710134</v>
      </c>
      <c r="AM78" s="62">
        <f t="shared" si="59"/>
        <v>690.59622467043459</v>
      </c>
      <c r="AN78" s="62">
        <f ca="1">AVERAGE(OFFSET($AM$3,0,0,'Données projet'!$E$10+1,1))-AVERAGE(OFFSET($H$3,0,0,'Données projet'!$E$10+1,1))</f>
        <v>174.86489869124688</v>
      </c>
      <c r="AO78" s="62">
        <f t="shared" si="90"/>
        <v>146.54591565663782</v>
      </c>
      <c r="AP78" s="16">
        <f>IF(ISNA(VLOOKUP(A78,'Données projet'!$A$61:$I$81,3,0)),0,VLOOKUP(A78,'Données projet'!$A$61:$I$81,3,0))</f>
        <v>3</v>
      </c>
      <c r="AQ78" s="16">
        <f>IF(ISNA(VLOOKUP(A78,'Données projet'!$A$61:$I$81,4,0)),0,VLOOKUP(A78,'Données projet'!$A$61:$I$81,4,0))</f>
        <v>92.44</v>
      </c>
      <c r="AR78" s="17">
        <f>IF(ISNA(VLOOKUP(A78,'Données projet'!$A$61:$I$81,5,0)),0%,VLOOKUP(A78,'Données projet'!$A$61:$I$81,5,0)*VLOOKUP('Données projet'!$B$10,Paramètres!$A$1:$I$89,7,0))</f>
        <v>0.33</v>
      </c>
      <c r="AS78" s="17">
        <f>IF(ISNA(VLOOKUP(A78,'Données projet'!$A$61:$I$81,6,0)),0%,VLOOKUP(A78,'Données projet'!$A$61:$I$81,6,0)*VLOOKUP('Données projet'!$B$10,Paramètres!$A$1:$I$89,7,0))</f>
        <v>0.12100000000000001</v>
      </c>
      <c r="AT78" s="17">
        <f>IF(ISNA(VLOOKUP(A78,'Données projet'!$A$61:$I$81,7,0)),0%,VLOOKUP(A78,'Données projet'!$A$61:$I$81,7,0))</f>
        <v>0.18</v>
      </c>
      <c r="AU78" s="23">
        <f>EXP(-LN(2)/35)*AU77+(1-EXP(-LN(2)/35))/(LN(2)/35)*AQ78*AR78*VLOOKUP('Données projet'!$B$10,Paramètres!$A$1:$I$89,3,0)*0.475*44/12</f>
        <v>42.752728917461994</v>
      </c>
      <c r="AV78" s="23">
        <f>EXP(-LN(2)/25)*AV77+(1-EXP(-LN(2)/25))/(LN(2)/25)*Calculateur!AQ78*Calculateur!AS78*VLOOKUP('Données projet'!$B$10,Paramètres!$A$1:$I$89,3,0)*0.475*44/12</f>
        <v>20.632061123276166</v>
      </c>
      <c r="AW78" s="23">
        <f>EXP(-LN(2)/2)*AW77+(1-EXP(-LN(2)/2))/(LN(2)/2)*AQ78*AT78*VLOOKUP('Données projet'!$B$10,Paramètres!$A$1:$I$89,3,0)*0.475*44/12</f>
        <v>9.0276307059708643</v>
      </c>
      <c r="AX78" s="23">
        <f t="shared" si="60"/>
        <v>72.412420746709017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418.394666763261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6.2</v>
      </c>
      <c r="N79" s="14">
        <f>IF('Données projet'!$A$36&gt;35,N78+M79-V78,IF(A79&lt;'Données projet'!$A$36,$K$205^A79,IF(A79='Données projet'!$A$36,'Données projet'!$B$36,N78+M79-V78)))</f>
        <v>218.19999999999987</v>
      </c>
      <c r="O79" s="14">
        <f>N79*VLOOKUP('Données projet'!$B$9,Paramètres!$A$1:$I$89,3,0)*VLOOKUP('Données projet'!$B$9,Paramètres!$A$1:$I$89,5,0)</f>
        <v>221.2547999999999</v>
      </c>
      <c r="P79" s="14">
        <f t="shared" si="87"/>
        <v>54.387519961078311</v>
      </c>
      <c r="Q79" s="22">
        <f t="shared" si="54"/>
        <v>480.07704059887783</v>
      </c>
      <c r="R79" s="62">
        <f t="shared" si="55"/>
        <v>773.41037393221109</v>
      </c>
      <c r="S79" s="62">
        <f ca="1">AVERAGE(OFFSET($R$3,0,0,'Données projet'!$E$9+1,1))-AVERAGE(OFFSET($H$3,0,0,'Données projet'!$E$9+1,1))</f>
        <v>257.49385297440318</v>
      </c>
      <c r="T79" s="62">
        <f t="shared" si="88"/>
        <v>171.3281518185355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26.400951155066075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26.400951155066075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10.26166666666667</v>
      </c>
      <c r="AI79" s="14">
        <f>IF('Données projet'!$A$62&gt;35,AI78+AH79-AQ78,IF(A79&lt;'Données projet'!$A$62,$AF$205^A79,IF(A79='Données projet'!$A$62,'Données projet'!$B$62,AI78+AH79-AQ78)))</f>
        <v>307.28166666666681</v>
      </c>
      <c r="AJ79" s="14">
        <f>AI79*VLOOKUP('Données projet'!$B$10,Paramètres!$A$1:$I$89,3,0)*VLOOKUP('Données projet'!$B$10,Paramètres!$A$1:$I$89,5,0)</f>
        <v>143.80782000000008</v>
      </c>
      <c r="AK79" s="14">
        <f t="shared" si="89"/>
        <v>37.167956515233485</v>
      </c>
      <c r="AL79" s="22">
        <f t="shared" si="58"/>
        <v>315.19947743069849</v>
      </c>
      <c r="AM79" s="62">
        <f t="shared" si="59"/>
        <v>608.53281076403186</v>
      </c>
      <c r="AN79" s="62">
        <f ca="1">AVERAGE(OFFSET($AM$3,0,0,'Données projet'!$E$10+1,1))-AVERAGE(OFFSET($H$3,0,0,'Données projet'!$E$10+1,1))</f>
        <v>174.86489869124688</v>
      </c>
      <c r="AO79" s="62">
        <f t="shared" si="90"/>
        <v>146.54591565663782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41.914373979980354</v>
      </c>
      <c r="AV79" s="23">
        <f>EXP(-LN(2)/25)*AV78+(1-EXP(-LN(2)/25))/(LN(2)/25)*Calculateur!AQ79*Calculateur!AS79*VLOOKUP('Données projet'!$B$10,Paramètres!$A$1:$I$89,3,0)*0.475*44/12</f>
        <v>20.067876326867239</v>
      </c>
      <c r="AW79" s="23">
        <f>EXP(-LN(2)/2)*AW78+(1-EXP(-LN(2)/2))/(LN(2)/2)*AQ79*AT79*VLOOKUP('Données projet'!$B$10,Paramètres!$A$1:$I$89,3,0)*0.475*44/12</f>
        <v>6.3834988902398981</v>
      </c>
      <c r="AX79" s="23">
        <f t="shared" si="60"/>
        <v>68.365749197087482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419.99706278488549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6.2</v>
      </c>
      <c r="N80" s="14">
        <f>IF('Données projet'!$A$36&gt;35,N79+M80-V79,IF(A80&lt;'Données projet'!$A$36,$K$205^A80,IF(A80='Données projet'!$A$36,'Données projet'!$B$36,N79+M80-V79)))</f>
        <v>224.39999999999986</v>
      </c>
      <c r="O80" s="14">
        <f>N80*VLOOKUP('Données projet'!$B$9,Paramètres!$A$1:$I$89,3,0)*VLOOKUP('Données projet'!$B$9,Paramètres!$A$1:$I$89,5,0)</f>
        <v>227.5415999999999</v>
      </c>
      <c r="P80" s="14">
        <f t="shared" si="87"/>
        <v>55.750785974779468</v>
      </c>
      <c r="Q80" s="22">
        <f t="shared" si="54"/>
        <v>493.40090557274078</v>
      </c>
      <c r="R80" s="62">
        <f t="shared" si="55"/>
        <v>786.7342389060741</v>
      </c>
      <c r="S80" s="62">
        <f ca="1">AVERAGE(OFFSET($R$3,0,0,'Données projet'!$E$9+1,1))-AVERAGE(OFFSET($H$3,0,0,'Données projet'!$E$9+1,1))</f>
        <v>257.49385297440318</v>
      </c>
      <c r="T80" s="62">
        <f t="shared" si="88"/>
        <v>171.3281518185355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25.883244605905396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25.883244605905396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10.26166666666667</v>
      </c>
      <c r="AI80" s="14">
        <f>IF('Données projet'!$A$62&gt;35,AI79+AH80-AQ79,IF(A80&lt;'Données projet'!$A$62,$AF$205^A80,IF(A80='Données projet'!$A$62,'Données projet'!$B$62,AI79+AH80-AQ79)))</f>
        <v>317.54333333333346</v>
      </c>
      <c r="AJ80" s="14">
        <f>AI80*VLOOKUP('Données projet'!$B$10,Paramètres!$A$1:$I$89,3,0)*VLOOKUP('Données projet'!$B$10,Paramètres!$A$1:$I$89,5,0)</f>
        <v>148.61028000000007</v>
      </c>
      <c r="AK80" s="14">
        <f t="shared" si="89"/>
        <v>38.262595880895944</v>
      </c>
      <c r="AL80" s="22">
        <f t="shared" si="58"/>
        <v>325.47025882589389</v>
      </c>
      <c r="AM80" s="62">
        <f t="shared" si="59"/>
        <v>618.80359215922726</v>
      </c>
      <c r="AN80" s="62">
        <f ca="1">AVERAGE(OFFSET($AM$3,0,0,'Données projet'!$E$10+1,1))-AVERAGE(OFFSET($H$3,0,0,'Données projet'!$E$10+1,1))</f>
        <v>174.86489869124688</v>
      </c>
      <c r="AO80" s="62">
        <f t="shared" si="90"/>
        <v>146.54591565663782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41.092458671476706</v>
      </c>
      <c r="AV80" s="23">
        <f>EXP(-LN(2)/25)*AV79+(1-EXP(-LN(2)/25))/(LN(2)/25)*Calculateur!AQ80*Calculateur!AS80*VLOOKUP('Données projet'!$B$10,Paramètres!$A$1:$I$89,3,0)*0.475*44/12</f>
        <v>19.519119193385304</v>
      </c>
      <c r="AW80" s="23">
        <f>EXP(-LN(2)/2)*AW79+(1-EXP(-LN(2)/2))/(LN(2)/2)*AQ80*AT80*VLOOKUP('Données projet'!$B$10,Paramètres!$A$1:$I$89,3,0)*0.475*44/12</f>
        <v>4.513815352985433</v>
      </c>
      <c r="AX80" s="23">
        <f t="shared" si="60"/>
        <v>65.125393217847446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421.5989672510409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6.2</v>
      </c>
      <c r="N81" s="14">
        <f>IF('Données projet'!$A$36&gt;35,N80+M81-V80,IF(A81&lt;'Données projet'!$A$36,$K$205^A81,IF(A81='Données projet'!$A$36,'Données projet'!$B$36,N80+M81-V80)))</f>
        <v>230.59999999999985</v>
      </c>
      <c r="O81" s="14">
        <f>N81*VLOOKUP('Données projet'!$B$9,Paramètres!$A$1:$I$89,3,0)*VLOOKUP('Données projet'!$B$9,Paramètres!$A$1:$I$89,5,0)</f>
        <v>233.82839999999985</v>
      </c>
      <c r="P81" s="14">
        <f t="shared" si="87"/>
        <v>57.109674120619815</v>
      </c>
      <c r="Q81" s="22">
        <f t="shared" si="54"/>
        <v>506.71714576007918</v>
      </c>
      <c r="R81" s="62">
        <f t="shared" si="55"/>
        <v>800.05047909341249</v>
      </c>
      <c r="S81" s="62">
        <f ca="1">AVERAGE(OFFSET($R$3,0,0,'Données projet'!$E$9+1,1))-AVERAGE(OFFSET($H$3,0,0,'Données projet'!$E$9+1,1))</f>
        <v>257.49385297440318</v>
      </c>
      <c r="T81" s="62">
        <f t="shared" si="88"/>
        <v>171.3281518185355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25.375689966403943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25.375689966403943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10.26166666666667</v>
      </c>
      <c r="AI81" s="14">
        <f>IF('Données projet'!$A$62&gt;35,AI80+AH81-AQ80,IF(A81&lt;'Données projet'!$A$62,$AF$205^A81,IF(A81='Données projet'!$A$62,'Données projet'!$B$62,AI80+AH81-AQ80)))</f>
        <v>327.80500000000012</v>
      </c>
      <c r="AJ81" s="14">
        <f>AI81*VLOOKUP('Données projet'!$B$10,Paramètres!$A$1:$I$89,3,0)*VLOOKUP('Données projet'!$B$10,Paramètres!$A$1:$I$89,5,0)</f>
        <v>153.41274000000007</v>
      </c>
      <c r="AK81" s="14">
        <f t="shared" si="89"/>
        <v>39.3531246745872</v>
      </c>
      <c r="AL81" s="22">
        <f t="shared" si="58"/>
        <v>335.73388097490619</v>
      </c>
      <c r="AM81" s="62">
        <f t="shared" si="59"/>
        <v>629.0672143082395</v>
      </c>
      <c r="AN81" s="62">
        <f ca="1">AVERAGE(OFFSET($AM$3,0,0,'Données projet'!$E$10+1,1))-AVERAGE(OFFSET($H$3,0,0,'Données projet'!$E$10+1,1))</f>
        <v>174.86489869124688</v>
      </c>
      <c r="AO81" s="62">
        <f t="shared" si="90"/>
        <v>146.54591565663782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40.286660620853979</v>
      </c>
      <c r="AV81" s="23">
        <f>EXP(-LN(2)/25)*AV80+(1-EXP(-LN(2)/25))/(LN(2)/25)*Calculateur!AQ81*Calculateur!AS81*VLOOKUP('Données projet'!$B$10,Paramètres!$A$1:$I$89,3,0)*0.475*44/12</f>
        <v>18.985367852576317</v>
      </c>
      <c r="AW81" s="23">
        <f>EXP(-LN(2)/2)*AW80+(1-EXP(-LN(2)/2))/(LN(2)/2)*AQ81*AT81*VLOOKUP('Données projet'!$B$10,Paramètres!$A$1:$I$89,3,0)*0.475*44/12</f>
        <v>3.1917494451199495</v>
      </c>
      <c r="AX81" s="23">
        <f t="shared" si="60"/>
        <v>62.46377791855025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423.2003871924129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6.2</v>
      </c>
      <c r="N82" s="14">
        <f>IF('Données projet'!$A$36&gt;35,N81+M82-V81,IF(A82&lt;'Données projet'!$A$36,$K$205^A82,IF(A82='Données projet'!$A$36,'Données projet'!$B$36,N81+M82-V81)))</f>
        <v>236.79999999999984</v>
      </c>
      <c r="O82" s="14">
        <f>N82*VLOOKUP('Données projet'!$B$9,Paramètres!$A$1:$I$89,3,0)*VLOOKUP('Données projet'!$B$9,Paramètres!$A$1:$I$89,5,0)</f>
        <v>240.11519999999985</v>
      </c>
      <c r="P82" s="14">
        <f t="shared" si="87"/>
        <v>58.464315631105265</v>
      </c>
      <c r="Q82" s="22">
        <f t="shared" si="54"/>
        <v>520.02598972417468</v>
      </c>
      <c r="R82" s="62">
        <f t="shared" si="55"/>
        <v>813.35932305750794</v>
      </c>
      <c r="S82" s="62">
        <f ca="1">AVERAGE(OFFSET($R$3,0,0,'Données projet'!$E$9+1,1))-AVERAGE(OFFSET($H$3,0,0,'Données projet'!$E$9+1,1))</f>
        <v>257.49385297440318</v>
      </c>
      <c r="T82" s="62">
        <f t="shared" si="88"/>
        <v>171.3281518185355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24.878088163805351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24.878088163805351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10.26166666666667</v>
      </c>
      <c r="AI82" s="14">
        <f>IF('Données projet'!$A$62&gt;35,AI81+AH82-AQ81,IF(A82&lt;'Données projet'!$A$62,$AF$205^A82,IF(A82='Données projet'!$A$62,'Données projet'!$B$62,AI81+AH82-AQ81)))</f>
        <v>338.06666666666678</v>
      </c>
      <c r="AJ82" s="14">
        <f>AI82*VLOOKUP('Données projet'!$B$10,Paramètres!$A$1:$I$89,3,0)*VLOOKUP('Données projet'!$B$10,Paramètres!$A$1:$I$89,5,0)</f>
        <v>158.21520000000004</v>
      </c>
      <c r="AK82" s="14">
        <f t="shared" si="89"/>
        <v>40.439686338648897</v>
      </c>
      <c r="AL82" s="22">
        <f t="shared" si="58"/>
        <v>345.99059370648024</v>
      </c>
      <c r="AM82" s="62">
        <f t="shared" si="59"/>
        <v>639.3239270398135</v>
      </c>
      <c r="AN82" s="62">
        <f ca="1">AVERAGE(OFFSET($AM$3,0,0,'Données projet'!$E$10+1,1))-AVERAGE(OFFSET($H$3,0,0,'Données projet'!$E$10+1,1))</f>
        <v>174.86489869124688</v>
      </c>
      <c r="AO82" s="62">
        <f t="shared" si="90"/>
        <v>146.54591565663782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39.496663778515682</v>
      </c>
      <c r="AV82" s="23">
        <f>EXP(-LN(2)/25)*AV81+(1-EXP(-LN(2)/25))/(LN(2)/25)*Calculateur!AQ82*Calculateur!AS82*VLOOKUP('Données projet'!$B$10,Paramètres!$A$1:$I$89,3,0)*0.475*44/12</f>
        <v>18.466211970250516</v>
      </c>
      <c r="AW82" s="23">
        <f>EXP(-LN(2)/2)*AW81+(1-EXP(-LN(2)/2))/(LN(2)/2)*AQ82*AT82*VLOOKUP('Données projet'!$B$10,Paramètres!$A$1:$I$89,3,0)*0.475*44/12</f>
        <v>2.256907676492717</v>
      </c>
      <c r="AX82" s="23">
        <f t="shared" si="60"/>
        <v>60.21978342525891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424.80132945145942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243</v>
      </c>
      <c r="L83" s="13">
        <f>VLOOKUP(A83,'Données projet'!$A$35:$I$55,9,0)</f>
        <v>6.2</v>
      </c>
      <c r="M83" s="13">
        <f t="array" ref="M83">INDEX(L:L,MIN(IF(ISNUMBER(L83:L279),ROW(L83:L279),"")))</f>
        <v>6.2</v>
      </c>
      <c r="N83" s="14">
        <f>IF('Données projet'!$A$36&gt;35,N82+M83-V82,IF(A83&lt;'Données projet'!$A$36,$K$205^A83,IF(A83='Données projet'!$A$36,'Données projet'!$B$36,N82+M83-V82)))</f>
        <v>242.99999999999983</v>
      </c>
      <c r="O83" s="14">
        <f>N83*VLOOKUP('Données projet'!$B$9,Paramètres!$A$1:$I$89,3,0)*VLOOKUP('Données projet'!$B$9,Paramètres!$A$1:$I$89,5,0)</f>
        <v>246.40199999999984</v>
      </c>
      <c r="P83" s="14">
        <f t="shared" si="87"/>
        <v>59.814834475385474</v>
      </c>
      <c r="Q83" s="22">
        <f t="shared" si="54"/>
        <v>533.32765337796275</v>
      </c>
      <c r="R83" s="62">
        <f t="shared" si="55"/>
        <v>826.66098671129612</v>
      </c>
      <c r="S83" s="62">
        <f ca="1">AVERAGE(OFFSET($R$3,0,0,'Données projet'!$E$9+1,1))-AVERAGE(OFFSET($H$3,0,0,'Données projet'!$E$9+1,1))</f>
        <v>257.49385297440318</v>
      </c>
      <c r="T83" s="62">
        <f t="shared" si="88"/>
        <v>171.3281518185355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0.25800000000000001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30.463534684586445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30.463534684586445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10.26166666666667</v>
      </c>
      <c r="AI83" s="14">
        <f>IF('Données projet'!$A$62&gt;35,AI82+AH83-AQ82,IF(A83&lt;'Données projet'!$A$62,$AF$205^A83,IF(A83='Données projet'!$A$62,'Données projet'!$B$62,AI82+AH83-AQ82)))</f>
        <v>348.32833333333343</v>
      </c>
      <c r="AJ83" s="14">
        <f>AI83*VLOOKUP('Données projet'!$B$10,Paramètres!$A$1:$I$89,3,0)*VLOOKUP('Données projet'!$B$10,Paramètres!$A$1:$I$89,5,0)</f>
        <v>163.01766000000003</v>
      </c>
      <c r="AK83" s="14">
        <f t="shared" si="89"/>
        <v>41.522415112497548</v>
      </c>
      <c r="AL83" s="22">
        <f t="shared" si="58"/>
        <v>356.24063082093329</v>
      </c>
      <c r="AM83" s="62">
        <f t="shared" si="59"/>
        <v>649.5739641542666</v>
      </c>
      <c r="AN83" s="62">
        <f ca="1">AVERAGE(OFFSET($AM$3,0,0,'Données projet'!$E$10+1,1))-AVERAGE(OFFSET($H$3,0,0,'Données projet'!$E$10+1,1))</f>
        <v>174.86489869124688</v>
      </c>
      <c r="AO83" s="62">
        <f t="shared" si="90"/>
        <v>146.54591565663782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38.722158292405148</v>
      </c>
      <c r="AV83" s="23">
        <f>EXP(-LN(2)/25)*AV82+(1-EXP(-LN(2)/25))/(LN(2)/25)*Calculateur!AQ83*Calculateur!AS83*VLOOKUP('Données projet'!$B$10,Paramètres!$A$1:$I$89,3,0)*0.475*44/12</f>
        <v>17.961252432828132</v>
      </c>
      <c r="AW83" s="23">
        <f>EXP(-LN(2)/2)*AW82+(1-EXP(-LN(2)/2))/(LN(2)/2)*AQ83*AT83*VLOOKUP('Données projet'!$B$10,Paramètres!$A$1:$I$89,3,0)*0.475*44/12</f>
        <v>1.5958747225599752</v>
      </c>
      <c r="AX83" s="23">
        <f t="shared" si="60"/>
        <v>58.279285447793256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426.40180068973939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227.79999999999984</v>
      </c>
      <c r="O84" s="14">
        <f>N84*VLOOKUP('Données projet'!$B$9,Paramètres!$A$1:$I$89,3,0)*VLOOKUP('Données projet'!$B$9,Paramètres!$A$1:$I$89,5,0)</f>
        <v>230.98919999999987</v>
      </c>
      <c r="P84" s="14">
        <f t="shared" si="87"/>
        <v>56.496516245657226</v>
      </c>
      <c r="Q84" s="22">
        <f t="shared" si="54"/>
        <v>500.70428912785269</v>
      </c>
      <c r="R84" s="62">
        <f t="shared" si="55"/>
        <v>794.03762246118595</v>
      </c>
      <c r="S84" s="62">
        <f ca="1">AVERAGE(OFFSET($R$3,0,0,'Données projet'!$E$9+1,1))-AVERAGE(OFFSET($H$3,0,0,'Données projet'!$E$9+1,1))</f>
        <v>257.49385297440318</v>
      </c>
      <c r="T84" s="62">
        <f t="shared" si="88"/>
        <v>171.3281518185355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29.86616335034315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29.86616335034315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10.26166666666667</v>
      </c>
      <c r="AI84" s="14">
        <f>IF('Données projet'!$A$62&gt;35,AI83+AH84-AQ83,IF(A84&lt;'Données projet'!$A$62,$AF$205^A84,IF(A84='Données projet'!$A$62,'Données projet'!$B$62,AI83+AH84-AQ83)))</f>
        <v>358.59000000000009</v>
      </c>
      <c r="AJ84" s="14">
        <f>AI84*VLOOKUP('Données projet'!$B$10,Paramètres!$A$1:$I$89,3,0)*VLOOKUP('Données projet'!$B$10,Paramètres!$A$1:$I$89,5,0)</f>
        <v>167.82012000000003</v>
      </c>
      <c r="AK84" s="14">
        <f t="shared" si="89"/>
        <v>42.601436876579278</v>
      </c>
      <c r="AL84" s="22">
        <f t="shared" si="58"/>
        <v>366.48421156004224</v>
      </c>
      <c r="AM84" s="62">
        <f t="shared" si="59"/>
        <v>659.8175448933755</v>
      </c>
      <c r="AN84" s="62">
        <f ca="1">AVERAGE(OFFSET($AM$3,0,0,'Données projet'!$E$10+1,1))-AVERAGE(OFFSET($H$3,0,0,'Données projet'!$E$10+1,1))</f>
        <v>174.86489869124688</v>
      </c>
      <c r="AO84" s="62">
        <f t="shared" si="90"/>
        <v>146.54591565663782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37.962840386475541</v>
      </c>
      <c r="AV84" s="23">
        <f>EXP(-LN(2)/25)*AV83+(1-EXP(-LN(2)/25))/(LN(2)/25)*Calculateur!AQ84*Calculateur!AS84*VLOOKUP('Données projet'!$B$10,Paramètres!$A$1:$I$89,3,0)*0.475*44/12</f>
        <v>17.470101040511231</v>
      </c>
      <c r="AW84" s="23">
        <f>EXP(-LN(2)/2)*AW83+(1-EXP(-LN(2)/2))/(LN(2)/2)*AQ84*AT84*VLOOKUP('Données projet'!$B$10,Paramètres!$A$1:$I$89,3,0)*0.475*44/12</f>
        <v>1.1284538382463587</v>
      </c>
      <c r="AX84" s="23">
        <f t="shared" si="60"/>
        <v>56.561395265233131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428.001807394867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233.59999999999985</v>
      </c>
      <c r="O85" s="14">
        <f>N85*VLOOKUP('Données projet'!$B$9,Paramètres!$A$1:$I$89,3,0)*VLOOKUP('Données projet'!$B$9,Paramètres!$A$1:$I$89,5,0)</f>
        <v>236.87039999999988</v>
      </c>
      <c r="P85" s="14">
        <f t="shared" si="87"/>
        <v>57.765668276484661</v>
      </c>
      <c r="Q85" s="22">
        <f t="shared" si="54"/>
        <v>513.15781891487723</v>
      </c>
      <c r="R85" s="62">
        <f t="shared" si="55"/>
        <v>806.49115224821048</v>
      </c>
      <c r="S85" s="62">
        <f ca="1">AVERAGE(OFFSET($R$3,0,0,'Données projet'!$E$9+1,1))-AVERAGE(OFFSET($H$3,0,0,'Données projet'!$E$9+1,1))</f>
        <v>257.49385297440318</v>
      </c>
      <c r="T85" s="62">
        <f t="shared" si="88"/>
        <v>171.3281518185355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29.28050610360383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29.28050610360383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10.26166666666667</v>
      </c>
      <c r="AI85" s="14">
        <f>IF('Données projet'!$A$62&gt;35,AI84+AH85-AQ84,IF(A85&lt;'Données projet'!$A$62,$AF$205^A85,IF(A85='Données projet'!$A$62,'Données projet'!$B$62,AI84+AH85-AQ84)))</f>
        <v>368.85166666666674</v>
      </c>
      <c r="AJ85" s="14">
        <f>AI85*VLOOKUP('Données projet'!$B$10,Paramètres!$A$1:$I$89,3,0)*VLOOKUP('Données projet'!$B$10,Paramètres!$A$1:$I$89,5,0)</f>
        <v>172.62258000000003</v>
      </c>
      <c r="AK85" s="14">
        <f t="shared" si="89"/>
        <v>43.676869897004266</v>
      </c>
      <c r="AL85" s="22">
        <f t="shared" si="58"/>
        <v>376.72154190394917</v>
      </c>
      <c r="AM85" s="62">
        <f t="shared" si="59"/>
        <v>670.05487523728243</v>
      </c>
      <c r="AN85" s="62">
        <f ca="1">AVERAGE(OFFSET($AM$3,0,0,'Données projet'!$E$10+1,1))-AVERAGE(OFFSET($H$3,0,0,'Données projet'!$E$10+1,1))</f>
        <v>174.86489869124688</v>
      </c>
      <c r="AO85" s="62">
        <f t="shared" si="90"/>
        <v>146.54591565663782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37.218412241543021</v>
      </c>
      <c r="AV85" s="23">
        <f>EXP(-LN(2)/25)*AV84+(1-EXP(-LN(2)/25))/(LN(2)/25)*Calculateur!AQ85*Calculateur!AS85*VLOOKUP('Données projet'!$B$10,Paramètres!$A$1:$I$89,3,0)*0.475*44/12</f>
        <v>16.992380208845766</v>
      </c>
      <c r="AW85" s="23">
        <f>EXP(-LN(2)/2)*AW84+(1-EXP(-LN(2)/2))/(LN(2)/2)*AQ85*AT85*VLOOKUP('Données projet'!$B$10,Paramètres!$A$1:$I$89,3,0)*0.475*44/12</f>
        <v>0.79793736127998771</v>
      </c>
      <c r="AX85" s="23">
        <f t="shared" si="60"/>
        <v>55.008729811668772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429.60135588711978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239.39999999999986</v>
      </c>
      <c r="O86" s="14">
        <f>N86*VLOOKUP('Données projet'!$B$9,Paramètres!$A$1:$I$89,3,0)*VLOOKUP('Données projet'!$B$9,Paramètres!$A$1:$I$89,5,0)</f>
        <v>242.75159999999988</v>
      </c>
      <c r="P86" s="14">
        <f t="shared" si="87"/>
        <v>59.031157268460191</v>
      </c>
      <c r="Q86" s="22">
        <f t="shared" si="54"/>
        <v>525.60496890923457</v>
      </c>
      <c r="R86" s="62">
        <f t="shared" si="55"/>
        <v>818.93830224256794</v>
      </c>
      <c r="S86" s="62">
        <f ca="1">AVERAGE(OFFSET($R$3,0,0,'Données projet'!$E$9+1,1))-AVERAGE(OFFSET($H$3,0,0,'Données projet'!$E$9+1,1))</f>
        <v>257.49385297440318</v>
      </c>
      <c r="T86" s="62">
        <f t="shared" si="88"/>
        <v>171.3281518185355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28.706333238257418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28.706333238257418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10.26166666666667</v>
      </c>
      <c r="AI86" s="14">
        <f>IF('Données projet'!$A$62&gt;35,AI85+AH86-AQ85,IF(A86&lt;'Données projet'!$A$62,$AF$205^A86,IF(A86='Données projet'!$A$62,'Données projet'!$B$62,AI85+AH86-AQ85)))</f>
        <v>379.1133333333334</v>
      </c>
      <c r="AJ86" s="14">
        <f>AI86*VLOOKUP('Données projet'!$B$10,Paramètres!$A$1:$I$89,3,0)*VLOOKUP('Données projet'!$B$10,Paramètres!$A$1:$I$89,5,0)</f>
        <v>177.42504000000002</v>
      </c>
      <c r="AK86" s="14">
        <f t="shared" si="89"/>
        <v>44.748825484986561</v>
      </c>
      <c r="AL86" s="22">
        <f t="shared" si="58"/>
        <v>386.95281571968491</v>
      </c>
      <c r="AM86" s="62">
        <f t="shared" si="59"/>
        <v>680.28614905301822</v>
      </c>
      <c r="AN86" s="62">
        <f ca="1">AVERAGE(OFFSET($AM$3,0,0,'Données projet'!$E$10+1,1))-AVERAGE(OFFSET($H$3,0,0,'Données projet'!$E$10+1,1))</f>
        <v>174.86489869124688</v>
      </c>
      <c r="AO86" s="62">
        <f t="shared" si="90"/>
        <v>146.54591565663782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36.488581878476296</v>
      </c>
      <c r="AV86" s="23">
        <f>EXP(-LN(2)/25)*AV85+(1-EXP(-LN(2)/25))/(LN(2)/25)*Calculateur!AQ86*Calculateur!AS86*VLOOKUP('Données projet'!$B$10,Paramètres!$A$1:$I$89,3,0)*0.475*44/12</f>
        <v>16.527722678444441</v>
      </c>
      <c r="AW86" s="23">
        <f>EXP(-LN(2)/2)*AW85+(1-EXP(-LN(2)/2))/(LN(2)/2)*AQ86*AT86*VLOOKUP('Données projet'!$B$10,Paramètres!$A$1:$I$89,3,0)*0.475*44/12</f>
        <v>0.56422691912317946</v>
      </c>
      <c r="AX86" s="23">
        <f t="shared" si="60"/>
        <v>53.580531476043916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431.20045232571681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245.19999999999987</v>
      </c>
      <c r="O87" s="14">
        <f>N87*VLOOKUP('Données projet'!$B$9,Paramètres!$A$1:$I$89,3,0)*VLOOKUP('Données projet'!$B$9,Paramètres!$A$1:$I$89,5,0)</f>
        <v>248.63279999999986</v>
      </c>
      <c r="P87" s="14">
        <f t="shared" si="87"/>
        <v>60.293082176848401</v>
      </c>
      <c r="Q87" s="22">
        <f t="shared" si="54"/>
        <v>538.04591145801066</v>
      </c>
      <c r="R87" s="62">
        <f t="shared" si="55"/>
        <v>831.37924479134404</v>
      </c>
      <c r="S87" s="62">
        <f ca="1">AVERAGE(OFFSET($R$3,0,0,'Données projet'!$E$9+1,1))-AVERAGE(OFFSET($H$3,0,0,'Données projet'!$E$9+1,1))</f>
        <v>257.49385297440318</v>
      </c>
      <c r="T87" s="62">
        <f t="shared" si="88"/>
        <v>171.3281518185355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28.143419552589581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28.143419552589581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10.26166666666667</v>
      </c>
      <c r="AI87" s="14">
        <f>IF('Données projet'!$A$62&gt;35,AI86+AH87-AQ86,IF(A87&lt;'Données projet'!$A$62,$AF$205^A87,IF(A87='Données projet'!$A$62,'Données projet'!$B$62,AI86+AH87-AQ86)))</f>
        <v>389.37500000000006</v>
      </c>
      <c r="AJ87" s="14">
        <f>AI87*VLOOKUP('Données projet'!$B$10,Paramètres!$A$1:$I$89,3,0)*VLOOKUP('Données projet'!$B$10,Paramètres!$A$1:$I$89,5,0)</f>
        <v>182.22750000000002</v>
      </c>
      <c r="AK87" s="14">
        <f t="shared" si="89"/>
        <v>45.817408582879374</v>
      </c>
      <c r="AL87" s="22">
        <f t="shared" si="58"/>
        <v>397.17821578184822</v>
      </c>
      <c r="AM87" s="62">
        <f t="shared" si="59"/>
        <v>690.51154911518154</v>
      </c>
      <c r="AN87" s="62">
        <f ca="1">AVERAGE(OFFSET($AM$3,0,0,'Données projet'!$E$10+1,1))-AVERAGE(OFFSET($H$3,0,0,'Données projet'!$E$10+1,1))</f>
        <v>174.86489869124688</v>
      </c>
      <c r="AO87" s="62">
        <f t="shared" si="90"/>
        <v>146.54591565663782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35.773063043676743</v>
      </c>
      <c r="AV87" s="23">
        <f>EXP(-LN(2)/25)*AV86+(1-EXP(-LN(2)/25))/(LN(2)/25)*Calculateur!AQ87*Calculateur!AS87*VLOOKUP('Données projet'!$B$10,Paramètres!$A$1:$I$89,3,0)*0.475*44/12</f>
        <v>16.075771232647217</v>
      </c>
      <c r="AW87" s="23">
        <f>EXP(-LN(2)/2)*AW86+(1-EXP(-LN(2)/2))/(LN(2)/2)*AQ87*AT87*VLOOKUP('Données projet'!$B$10,Paramètres!$A$1:$I$89,3,0)*0.475*44/12</f>
        <v>0.39896868063999391</v>
      </c>
      <c r="AX87" s="23">
        <f t="shared" si="60"/>
        <v>52.247802956963952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432.79910271479082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251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250.99999999999989</v>
      </c>
      <c r="O88" s="14">
        <f>N88*VLOOKUP('Données projet'!$B$9,Paramètres!$A$1:$I$89,3,0)*VLOOKUP('Données projet'!$B$9,Paramètres!$A$1:$I$89,5,0)</f>
        <v>254.5139999999999</v>
      </c>
      <c r="P88" s="14">
        <f t="shared" si="87"/>
        <v>61.551537008472913</v>
      </c>
      <c r="Q88" s="22">
        <f t="shared" si="54"/>
        <v>550.48081028975685</v>
      </c>
      <c r="R88" s="62">
        <f t="shared" si="55"/>
        <v>843.8141436230901</v>
      </c>
      <c r="S88" s="62">
        <f ca="1">AVERAGE(OFFSET($R$3,0,0,'Données projet'!$E$9+1,1))-AVERAGE(OFFSET($H$3,0,0,'Données projet'!$E$9+1,1))</f>
        <v>257.49385297440318</v>
      </c>
      <c r="T88" s="62">
        <f t="shared" si="88"/>
        <v>171.3281518185355</v>
      </c>
      <c r="U88" s="16">
        <f>IF(ISNA(VLOOKUP(A88,'Données projet'!$A$35:$I$55,3,0)),0,VLOOKUP(A88,'Données projet'!$A$35:$I$55,3,0))</f>
        <v>15</v>
      </c>
      <c r="V88" s="16">
        <f>IF(ISNA(VLOOKUP(A88,'Données projet'!$A$35:$I$55,4,0)),0,VLOOKUP(A88,'Données projet'!$A$35:$I$55,4,0))</f>
        <v>20</v>
      </c>
      <c r="W88" s="17">
        <f>IF(ISNA(VLOOKUP(A88,'Données projet'!$A$35:$I$55,5,0)),0%,VLOOKUP(A88,'Données projet'!$A$35:$I$55,5,0)*VLOOKUP('Données projet'!$B$9,Paramètres!$A$1:$I$89,7,0))</f>
        <v>0.30099999999999999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34.339644989329642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34.339644989329642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10.26166666666667</v>
      </c>
      <c r="AI88" s="14">
        <f>IF('Données projet'!$A$62&gt;35,AI87+AH88-AQ87,IF(A88&lt;'Données projet'!$A$62,$AF$205^A88,IF(A88='Données projet'!$A$62,'Données projet'!$B$62,AI87+AH88-AQ87)))</f>
        <v>399.63666666666671</v>
      </c>
      <c r="AJ88" s="14">
        <f>AI88*VLOOKUP('Données projet'!$B$10,Paramètres!$A$1:$I$89,3,0)*VLOOKUP('Données projet'!$B$10,Paramètres!$A$1:$I$89,5,0)</f>
        <v>187.02996000000002</v>
      </c>
      <c r="AK88" s="14">
        <f t="shared" si="89"/>
        <v>46.882718286693581</v>
      </c>
      <c r="AL88" s="22">
        <f t="shared" si="58"/>
        <v>407.39791468265798</v>
      </c>
      <c r="AM88" s="62">
        <f t="shared" si="59"/>
        <v>700.73124801599124</v>
      </c>
      <c r="AN88" s="62">
        <f ca="1">AVERAGE(OFFSET($AM$3,0,0,'Données projet'!$E$10+1,1))-AVERAGE(OFFSET($H$3,0,0,'Données projet'!$E$10+1,1))</f>
        <v>174.86489869124688</v>
      </c>
      <c r="AO88" s="62">
        <f t="shared" si="90"/>
        <v>146.54591565663782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35.07157509680421</v>
      </c>
      <c r="AV88" s="23">
        <f>EXP(-LN(2)/25)*AV87+(1-EXP(-LN(2)/25))/(LN(2)/25)*Calculateur!AQ88*Calculateur!AS88*VLOOKUP('Données projet'!$B$10,Paramètres!$A$1:$I$89,3,0)*0.475*44/12</f>
        <v>15.636178422902411</v>
      </c>
      <c r="AW88" s="23">
        <f>EXP(-LN(2)/2)*AW87+(1-EXP(-LN(2)/2))/(LN(2)/2)*AQ88*AT88*VLOOKUP('Données projet'!$B$10,Paramètres!$A$1:$I$89,3,0)*0.475*44/12</f>
        <v>0.28211345956158973</v>
      </c>
      <c r="AX88" s="23">
        <f t="shared" si="60"/>
        <v>50.989866979268214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434.39731290907071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236.59999999999991</v>
      </c>
      <c r="O89" s="14">
        <f>N89*VLOOKUP('Données projet'!$B$9,Paramètres!$A$1:$I$89,3,0)*VLOOKUP('Données projet'!$B$9,Paramètres!$A$1:$I$89,5,0)</f>
        <v>239.91239999999991</v>
      </c>
      <c r="P89" s="14">
        <f t="shared" si="87"/>
        <v>58.420682515047339</v>
      </c>
      <c r="Q89" s="22">
        <f t="shared" si="54"/>
        <v>519.59678538037394</v>
      </c>
      <c r="R89" s="62">
        <f t="shared" si="55"/>
        <v>812.93011871370732</v>
      </c>
      <c r="S89" s="62">
        <f ca="1">AVERAGE(OFFSET($R$3,0,0,'Données projet'!$E$9+1,1))-AVERAGE(OFFSET($H$3,0,0,'Données projet'!$E$9+1,1))</f>
        <v>257.49385297440318</v>
      </c>
      <c r="T89" s="62">
        <f t="shared" si="88"/>
        <v>171.3281518185355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33.666265496204176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33.666265496204176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10.26166666666667</v>
      </c>
      <c r="AI89" s="14">
        <f>IF('Données projet'!$A$62&gt;35,AI88+AH89-AQ88,IF(A89&lt;'Données projet'!$A$62,$AF$205^A89,IF(A89='Données projet'!$A$62,'Données projet'!$B$62,AI88+AH89-AQ88)))</f>
        <v>409.89833333333337</v>
      </c>
      <c r="AJ89" s="14">
        <f>AI89*VLOOKUP('Données projet'!$B$10,Paramètres!$A$1:$I$89,3,0)*VLOOKUP('Données projet'!$B$10,Paramètres!$A$1:$I$89,5,0)</f>
        <v>191.83242000000001</v>
      </c>
      <c r="AK89" s="14">
        <f t="shared" si="89"/>
        <v>47.944848313438996</v>
      </c>
      <c r="AL89" s="22">
        <f t="shared" si="58"/>
        <v>417.61207564590626</v>
      </c>
      <c r="AM89" s="62">
        <f t="shared" si="59"/>
        <v>710.94540897923957</v>
      </c>
      <c r="AN89" s="62">
        <f ca="1">AVERAGE(OFFSET($AM$3,0,0,'Données projet'!$E$10+1,1))-AVERAGE(OFFSET($H$3,0,0,'Données projet'!$E$10+1,1))</f>
        <v>174.86489869124688</v>
      </c>
      <c r="AO89" s="62">
        <f t="shared" si="90"/>
        <v>146.54591565663782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34.383842900704451</v>
      </c>
      <c r="AV89" s="23">
        <f>EXP(-LN(2)/25)*AV88+(1-EXP(-LN(2)/25))/(LN(2)/25)*Calculateur!AQ89*Calculateur!AS89*VLOOKUP('Données projet'!$B$10,Paramètres!$A$1:$I$89,3,0)*0.475*44/12</f>
        <v>15.208606301657259</v>
      </c>
      <c r="AW89" s="23">
        <f>EXP(-LN(2)/2)*AW88+(1-EXP(-LN(2)/2))/(LN(2)/2)*AQ89*AT89*VLOOKUP('Données projet'!$B$10,Paramètres!$A$1:$I$89,3,0)*0.475*44/12</f>
        <v>0.19948434031999696</v>
      </c>
      <c r="AX89" s="23">
        <f t="shared" si="60"/>
        <v>49.791933542681704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435.99508861929246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242.1999999999999</v>
      </c>
      <c r="O90" s="14">
        <f>N90*VLOOKUP('Données projet'!$B$9,Paramètres!$A$1:$I$89,3,0)*VLOOKUP('Données projet'!$B$9,Paramètres!$A$1:$I$89,5,0)</f>
        <v>245.59079999999992</v>
      </c>
      <c r="P90" s="14">
        <f t="shared" si="87"/>
        <v>59.64080146485307</v>
      </c>
      <c r="Q90" s="22">
        <f t="shared" si="54"/>
        <v>531.61170588461891</v>
      </c>
      <c r="R90" s="62">
        <f t="shared" si="55"/>
        <v>824.94503921795217</v>
      </c>
      <c r="S90" s="62">
        <f ca="1">AVERAGE(OFFSET($R$3,0,0,'Données projet'!$E$9+1,1))-AVERAGE(OFFSET($H$3,0,0,'Données projet'!$E$9+1,1))</f>
        <v>257.49385297440318</v>
      </c>
      <c r="T90" s="62">
        <f t="shared" si="88"/>
        <v>171.3281518185355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33.006090564217963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33.006090564217963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420.16</v>
      </c>
      <c r="AG90" s="13">
        <f>VLOOKUP(A90,'Données projet'!$A$61:$I$81,9,0)</f>
        <v>10.26166666666667</v>
      </c>
      <c r="AH90" s="13">
        <f t="array" ref="AH90">INDEX(AG:AG,MIN(IF(ISNUMBER(AG90:AG286),ROW(AG90:AG286),"")))</f>
        <v>10.26166666666667</v>
      </c>
      <c r="AI90" s="14">
        <f>IF('Données projet'!$A$62&gt;35,AI89+AH90-AQ89,IF(A90&lt;'Données projet'!$A$62,$AF$205^A90,IF(A90='Données projet'!$A$62,'Données projet'!$B$62,AI89+AH90-AQ89)))</f>
        <v>420.16</v>
      </c>
      <c r="AJ90" s="14">
        <f>AI90*VLOOKUP('Données projet'!$B$10,Paramètres!$A$1:$I$89,3,0)*VLOOKUP('Données projet'!$B$10,Paramètres!$A$1:$I$89,5,0)</f>
        <v>196.63488000000001</v>
      </c>
      <c r="AK90" s="14">
        <f t="shared" si="89"/>
        <v>49.003887420349095</v>
      </c>
      <c r="AL90" s="22">
        <f t="shared" si="58"/>
        <v>427.82085325710796</v>
      </c>
      <c r="AM90" s="62">
        <f t="shared" si="59"/>
        <v>721.15418659044121</v>
      </c>
      <c r="AN90" s="62">
        <f ca="1">AVERAGE(OFFSET($AM$3,0,0,'Données projet'!$E$10+1,1))-AVERAGE(OFFSET($H$3,0,0,'Données projet'!$E$10+1,1))</f>
        <v>174.86489869124688</v>
      </c>
      <c r="AO90" s="62">
        <f t="shared" si="90"/>
        <v>146.54591565663782</v>
      </c>
      <c r="AP90" s="16">
        <f>IF(ISNA(VLOOKUP(A90,'Données projet'!$A$61:$I$81,3,0)),0,VLOOKUP(A90,'Données projet'!$A$61:$I$81,3,0))</f>
        <v>4</v>
      </c>
      <c r="AQ90" s="16">
        <f>IF(ISNA(VLOOKUP(A90,'Données projet'!$A$61:$I$81,4,0)),0,VLOOKUP(A90,'Données projet'!$A$61:$I$81,4,0))</f>
        <v>91.18</v>
      </c>
      <c r="AR90" s="17">
        <f>IF(ISNA(VLOOKUP(A90,'Données projet'!$A$61:$I$81,5,0)),0%,VLOOKUP(A90,'Données projet'!$A$61:$I$81,5,0)*VLOOKUP('Données projet'!$B$10,Paramètres!$A$1:$I$89,7,0))</f>
        <v>0.38500000000000001</v>
      </c>
      <c r="AS90" s="17">
        <f>IF(ISNA(VLOOKUP(A90,'Données projet'!$A$61:$I$81,6,0)),0%,VLOOKUP(A90,'Données projet'!$A$61:$I$81,6,0)*VLOOKUP('Données projet'!$B$10,Paramètres!$A$1:$I$89,7,0))</f>
        <v>9.3500000000000014E-2</v>
      </c>
      <c r="AT90" s="17">
        <f>IF(ISNA(VLOOKUP(A90,'Données projet'!$A$61:$I$81,7,0)),0%,VLOOKUP(A90,'Données projet'!$A$61:$I$81,7,0))</f>
        <v>0.13</v>
      </c>
      <c r="AU90" s="23">
        <f>EXP(-LN(2)/35)*AU89+(1-EXP(-LN(2)/35))/(LN(2)/35)*AQ90*AR90*VLOOKUP('Données projet'!$B$10,Paramètres!$A$1:$I$89,3,0)*0.475*44/12</f>
        <v>55.503475288419352</v>
      </c>
      <c r="AV90" s="23">
        <f>EXP(-LN(2)/25)*AV89+(1-EXP(-LN(2)/25))/(LN(2)/25)*Calculateur!AQ90*Calculateur!AS90*VLOOKUP('Données projet'!$B$10,Paramètres!$A$1:$I$89,3,0)*0.475*44/12</f>
        <v>20.064685478331938</v>
      </c>
      <c r="AW90" s="23">
        <f>EXP(-LN(2)/2)*AW89+(1-EXP(-LN(2)/2))/(LN(2)/2)*AQ90*AT90*VLOOKUP('Données projet'!$B$10,Paramètres!$A$1:$I$89,3,0)*0.475*44/12</f>
        <v>6.4219922134348923</v>
      </c>
      <c r="AX90" s="23">
        <f t="shared" si="60"/>
        <v>81.990152980186181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437.59243541735412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247.7999999999999</v>
      </c>
      <c r="O91" s="14">
        <f>N91*VLOOKUP('Données projet'!$B$9,Paramètres!$A$1:$I$89,3,0)*VLOOKUP('Données projet'!$B$9,Paramètres!$A$1:$I$89,5,0)</f>
        <v>251.2691999999999</v>
      </c>
      <c r="P91" s="14">
        <f t="shared" si="87"/>
        <v>60.857640778569092</v>
      </c>
      <c r="Q91" s="22">
        <f t="shared" si="54"/>
        <v>543.62091435600757</v>
      </c>
      <c r="R91" s="62">
        <f t="shared" si="55"/>
        <v>836.95424768934095</v>
      </c>
      <c r="S91" s="62">
        <f ca="1">AVERAGE(OFFSET($R$3,0,0,'Données projet'!$E$9+1,1))-AVERAGE(OFFSET($H$3,0,0,'Données projet'!$E$9+1,1))</f>
        <v>257.49385297440318</v>
      </c>
      <c r="T91" s="62">
        <f t="shared" si="88"/>
        <v>171.3281518185355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32.358861259981047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32.358861259981047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9.2716666666666665</v>
      </c>
      <c r="AI91" s="14">
        <f>IF('Données projet'!$A$62&gt;35,AI90+AH91-AQ90,IF(A91&lt;'Données projet'!$A$62,$AF$205^A91,IF(A91='Données projet'!$A$62,'Données projet'!$B$62,AI90+AH91-AQ90)))</f>
        <v>338.25166666666667</v>
      </c>
      <c r="AJ91" s="14">
        <f>AI91*VLOOKUP('Données projet'!$B$10,Paramètres!$A$1:$I$89,3,0)*VLOOKUP('Données projet'!$B$10,Paramètres!$A$1:$I$89,5,0)</f>
        <v>158.30178000000001</v>
      </c>
      <c r="AK91" s="14">
        <f t="shared" si="89"/>
        <v>40.45923959226743</v>
      </c>
      <c r="AL91" s="22">
        <f t="shared" si="58"/>
        <v>346.17544245653244</v>
      </c>
      <c r="AM91" s="62">
        <f t="shared" si="59"/>
        <v>639.50877578986569</v>
      </c>
      <c r="AN91" s="62">
        <f ca="1">AVERAGE(OFFSET($AM$3,0,0,'Données projet'!$E$10+1,1))-AVERAGE(OFFSET($H$3,0,0,'Données projet'!$E$10+1,1))</f>
        <v>174.86489869124688</v>
      </c>
      <c r="AO91" s="62">
        <f t="shared" si="90"/>
        <v>146.54591565663782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54.41508599179059</v>
      </c>
      <c r="AV91" s="23">
        <f>EXP(-LN(2)/25)*AV90+(1-EXP(-LN(2)/25))/(LN(2)/25)*Calculateur!AQ91*Calculateur!AS91*VLOOKUP('Données projet'!$B$10,Paramètres!$A$1:$I$89,3,0)*0.475*44/12</f>
        <v>19.516015598771002</v>
      </c>
      <c r="AW91" s="23">
        <f>EXP(-LN(2)/2)*AW90+(1-EXP(-LN(2)/2))/(LN(2)/2)*AQ91*AT91*VLOOKUP('Données projet'!$B$10,Paramètres!$A$1:$I$89,3,0)*0.475*44/12</f>
        <v>4.5410342428470187</v>
      </c>
      <c r="AX91" s="23">
        <f t="shared" si="60"/>
        <v>78.472135833408615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439.1893587412294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253.39999999999989</v>
      </c>
      <c r="O92" s="14">
        <f>N92*VLOOKUP('Données projet'!$B$9,Paramètres!$A$1:$I$89,3,0)*VLOOKUP('Données projet'!$B$9,Paramètres!$A$1:$I$89,5,0)</f>
        <v>256.94759999999991</v>
      </c>
      <c r="P92" s="14">
        <f t="shared" si="87"/>
        <v>62.071283104858246</v>
      </c>
      <c r="Q92" s="22">
        <f t="shared" si="54"/>
        <v>555.62455474096134</v>
      </c>
      <c r="R92" s="62">
        <f t="shared" si="55"/>
        <v>848.95788807429471</v>
      </c>
      <c r="S92" s="62">
        <f ca="1">AVERAGE(OFFSET($R$3,0,0,'Données projet'!$E$9+1,1))-AVERAGE(OFFSET($H$3,0,0,'Données projet'!$E$9+1,1))</f>
        <v>257.49385297440318</v>
      </c>
      <c r="T92" s="62">
        <f t="shared" si="88"/>
        <v>171.3281518185355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31.724323727629326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31.724323727629326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9.2716666666666665</v>
      </c>
      <c r="AI92" s="14">
        <f>IF('Données projet'!$A$62&gt;35,AI91+AH92-AQ91,IF(A92&lt;'Données projet'!$A$62,$AF$205^A92,IF(A92='Données projet'!$A$62,'Données projet'!$B$62,AI91+AH92-AQ91)))</f>
        <v>347.52333333333331</v>
      </c>
      <c r="AJ92" s="14">
        <f>AI92*VLOOKUP('Données projet'!$B$10,Paramètres!$A$1:$I$89,3,0)*VLOOKUP('Données projet'!$B$10,Paramètres!$A$1:$I$89,5,0)</f>
        <v>162.64091999999999</v>
      </c>
      <c r="AK92" s="14">
        <f t="shared" si="89"/>
        <v>41.437613550517717</v>
      </c>
      <c r="AL92" s="22">
        <f t="shared" si="58"/>
        <v>355.43677926715168</v>
      </c>
      <c r="AM92" s="62">
        <f t="shared" si="59"/>
        <v>648.77011260048494</v>
      </c>
      <c r="AN92" s="62">
        <f ca="1">AVERAGE(OFFSET($AM$3,0,0,'Données projet'!$E$10+1,1))-AVERAGE(OFFSET($H$3,0,0,'Données projet'!$E$10+1,1))</f>
        <v>174.86489869124688</v>
      </c>
      <c r="AO92" s="62">
        <f t="shared" si="90"/>
        <v>146.54591565663782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53.348039345416801</v>
      </c>
      <c r="AV92" s="23">
        <f>EXP(-LN(2)/25)*AV91+(1-EXP(-LN(2)/25))/(LN(2)/25)*Calculateur!AQ92*Calculateur!AS92*VLOOKUP('Données projet'!$B$10,Paramètres!$A$1:$I$89,3,0)*0.475*44/12</f>
        <v>18.982349125919953</v>
      </c>
      <c r="AW92" s="23">
        <f>EXP(-LN(2)/2)*AW91+(1-EXP(-LN(2)/2))/(LN(2)/2)*AQ92*AT92*VLOOKUP('Données projet'!$B$10,Paramètres!$A$1:$I$89,3,0)*0.475*44/12</f>
        <v>3.2109961067174466</v>
      </c>
      <c r="AX92" s="23">
        <f t="shared" si="60"/>
        <v>75.541384578054206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440.78586389965466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259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258.99999999999989</v>
      </c>
      <c r="O93" s="14">
        <f>N93*VLOOKUP('Données projet'!$B$9,Paramètres!$A$1:$I$89,3,0)*VLOOKUP('Données projet'!$B$9,Paramètres!$A$1:$I$89,5,0)</f>
        <v>262.62599999999992</v>
      </c>
      <c r="P93" s="14">
        <f t="shared" si="87"/>
        <v>63.281807230823397</v>
      </c>
      <c r="Q93" s="22">
        <f t="shared" si="54"/>
        <v>567.62276426035055</v>
      </c>
      <c r="R93" s="62">
        <f t="shared" si="55"/>
        <v>860.95609759368381</v>
      </c>
      <c r="S93" s="62">
        <f ca="1">AVERAGE(OFFSET($R$3,0,0,'Données projet'!$E$9+1,1))-AVERAGE(OFFSET($H$3,0,0,'Données projet'!$E$9+1,1))</f>
        <v>257.49385297440318</v>
      </c>
      <c r="T93" s="62">
        <f t="shared" si="88"/>
        <v>171.3281518185355</v>
      </c>
      <c r="U93" s="16">
        <f>IF(ISNA(VLOOKUP(A93,'Données projet'!$A$35:$I$55,3,0)),0,VLOOKUP(A93,'Données projet'!$A$35:$I$55,3,0))</f>
        <v>16</v>
      </c>
      <c r="V93" s="16">
        <f>IF(ISNA(VLOOKUP(A93,'Données projet'!$A$35:$I$55,4,0)),0,VLOOKUP(A93,'Données projet'!$A$35:$I$55,4,0))</f>
        <v>20</v>
      </c>
      <c r="W93" s="17">
        <f>IF(ISNA(VLOOKUP(A93,'Données projet'!$A$35:$I$55,5,0)),0%,VLOOKUP(A93,'Données projet'!$A$35:$I$55,5,0)*VLOOKUP('Données projet'!$B$9,Paramètres!$A$1:$I$89,7,0))</f>
        <v>0.30099999999999999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37.850329817632741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37.850329817632741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9.2716666666666665</v>
      </c>
      <c r="AI93" s="14">
        <f>IF('Données projet'!$A$62&gt;35,AI92+AH93-AQ92,IF(A93&lt;'Données projet'!$A$62,$AF$205^A93,IF(A93='Données projet'!$A$62,'Données projet'!$B$62,AI92+AH93-AQ92)))</f>
        <v>356.79499999999996</v>
      </c>
      <c r="AJ93" s="14">
        <f>AI93*VLOOKUP('Données projet'!$B$10,Paramètres!$A$1:$I$89,3,0)*VLOOKUP('Données projet'!$B$10,Paramètres!$A$1:$I$89,5,0)</f>
        <v>166.98005999999998</v>
      </c>
      <c r="AK93" s="14">
        <f t="shared" si="89"/>
        <v>42.412953533869</v>
      </c>
      <c r="AL93" s="22">
        <f t="shared" si="58"/>
        <v>364.69283190482179</v>
      </c>
      <c r="AM93" s="62">
        <f t="shared" si="59"/>
        <v>658.02616523815504</v>
      </c>
      <c r="AN93" s="62">
        <f ca="1">AVERAGE(OFFSET($AM$3,0,0,'Données projet'!$E$10+1,1))-AVERAGE(OFFSET($H$3,0,0,'Données projet'!$E$10+1,1))</f>
        <v>174.86489869124688</v>
      </c>
      <c r="AO93" s="62">
        <f t="shared" si="90"/>
        <v>146.54591565663782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52.301916832944208</v>
      </c>
      <c r="AV93" s="23">
        <f>EXP(-LN(2)/25)*AV92+(1-EXP(-LN(2)/25))/(LN(2)/25)*Calculateur!AQ93*Calculateur!AS93*VLOOKUP('Données projet'!$B$10,Paramètres!$A$1:$I$89,3,0)*0.475*44/12</f>
        <v>18.463275790833315</v>
      </c>
      <c r="AW93" s="23">
        <f>EXP(-LN(2)/2)*AW92+(1-EXP(-LN(2)/2))/(LN(2)/2)*AQ93*AT93*VLOOKUP('Données projet'!$B$10,Paramètres!$A$1:$I$89,3,0)*0.475*44/12</f>
        <v>2.2705171214235098</v>
      </c>
      <c r="AX93" s="23">
        <f t="shared" si="60"/>
        <v>73.035709745201032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442.38195607660163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5.4</v>
      </c>
      <c r="N94" s="14">
        <f>IF('Données projet'!$A$36&gt;35,N93+M94-V93,IF(A94&lt;'Données projet'!$A$36,$K$205^A94,IF(A94='Données projet'!$A$36,'Données projet'!$B$36,N93+M94-V93)))</f>
        <v>244.39999999999986</v>
      </c>
      <c r="O94" s="14">
        <f>N94*VLOOKUP('Données projet'!$B$9,Paramètres!$A$1:$I$89,3,0)*VLOOKUP('Données projet'!$B$9,Paramètres!$A$1:$I$89,5,0)</f>
        <v>247.8215999999999</v>
      </c>
      <c r="P94" s="14">
        <f t="shared" si="87"/>
        <v>60.119231945607574</v>
      </c>
      <c r="Q94" s="22">
        <f t="shared" si="54"/>
        <v>536.33028230526634</v>
      </c>
      <c r="R94" s="62">
        <f t="shared" si="55"/>
        <v>829.66361563859959</v>
      </c>
      <c r="S94" s="62">
        <f ca="1">AVERAGE(OFFSET($R$3,0,0,'Données projet'!$E$9+1,1))-AVERAGE(OFFSET($H$3,0,0,'Données projet'!$E$9+1,1))</f>
        <v>257.49385297440318</v>
      </c>
      <c r="T94" s="62">
        <f t="shared" si="88"/>
        <v>171.3281518185355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37.108107936330555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37.108107936330555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9.2716666666666665</v>
      </c>
      <c r="AI94" s="14">
        <f>IF('Données projet'!$A$62&gt;35,AI93+AH94-AQ93,IF(A94&lt;'Données projet'!$A$62,$AF$205^A94,IF(A94='Données projet'!$A$62,'Données projet'!$B$62,AI93+AH94-AQ93)))</f>
        <v>366.06666666666661</v>
      </c>
      <c r="AJ94" s="14">
        <f>AI94*VLOOKUP('Données projet'!$B$10,Paramètres!$A$1:$I$89,3,0)*VLOOKUP('Données projet'!$B$10,Paramètres!$A$1:$I$89,5,0)</f>
        <v>171.31919999999997</v>
      </c>
      <c r="AK94" s="14">
        <f t="shared" si="89"/>
        <v>43.385347447233634</v>
      </c>
      <c r="AL94" s="22">
        <f t="shared" si="58"/>
        <v>373.94375347059849</v>
      </c>
      <c r="AM94" s="62">
        <f t="shared" si="59"/>
        <v>667.27708680393175</v>
      </c>
      <c r="AN94" s="62">
        <f ca="1">AVERAGE(OFFSET($AM$3,0,0,'Données projet'!$E$10+1,1))-AVERAGE(OFFSET($H$3,0,0,'Données projet'!$E$10+1,1))</f>
        <v>174.86489869124688</v>
      </c>
      <c r="AO94" s="62">
        <f t="shared" si="90"/>
        <v>146.54591565663782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51.276308144869475</v>
      </c>
      <c r="AV94" s="23">
        <f>EXP(-LN(2)/25)*AV93+(1-EXP(-LN(2)/25))/(LN(2)/25)*Calculateur!AQ94*Calculateur!AS94*VLOOKUP('Données projet'!$B$10,Paramètres!$A$1:$I$89,3,0)*0.475*44/12</f>
        <v>17.958396543391501</v>
      </c>
      <c r="AW94" s="23">
        <f>EXP(-LN(2)/2)*AW93+(1-EXP(-LN(2)/2))/(LN(2)/2)*AQ94*AT94*VLOOKUP('Données projet'!$B$10,Paramètres!$A$1:$I$89,3,0)*0.475*44/12</f>
        <v>1.6054980533587235</v>
      </c>
      <c r="AX94" s="23">
        <f t="shared" si="60"/>
        <v>70.840202741619706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443.97764033554722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5.4</v>
      </c>
      <c r="N95" s="14">
        <f>IF('Données projet'!$A$36&gt;35,N94+M95-V94,IF(A95&lt;'Données projet'!$A$36,$K$205^A95,IF(A95='Données projet'!$A$36,'Données projet'!$B$36,N94+M95-V94)))</f>
        <v>249.79999999999987</v>
      </c>
      <c r="O95" s="14">
        <f>N95*VLOOKUP('Données projet'!$B$9,Paramètres!$A$1:$I$89,3,0)*VLOOKUP('Données projet'!$B$9,Paramètres!$A$1:$I$89,5,0)</f>
        <v>253.29719999999989</v>
      </c>
      <c r="P95" s="14">
        <f t="shared" si="87"/>
        <v>61.291447296462572</v>
      </c>
      <c r="Q95" s="22">
        <f t="shared" si="54"/>
        <v>547.90856070800544</v>
      </c>
      <c r="R95" s="62">
        <f t="shared" si="55"/>
        <v>841.24189404133881</v>
      </c>
      <c r="S95" s="62">
        <f ca="1">AVERAGE(OFFSET($R$3,0,0,'Données projet'!$E$9+1,1))-AVERAGE(OFFSET($H$3,0,0,'Données projet'!$E$9+1,1))</f>
        <v>257.49385297440318</v>
      </c>
      <c r="T95" s="62">
        <f t="shared" si="88"/>
        <v>171.3281518185355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36.380440573410063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36.380440573410063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9.2716666666666665</v>
      </c>
      <c r="AI95" s="14">
        <f>IF('Données projet'!$A$62&gt;35,AI94+AH95-AQ94,IF(A95&lt;'Données projet'!$A$62,$AF$205^A95,IF(A95='Données projet'!$A$62,'Données projet'!$B$62,AI94+AH95-AQ94)))</f>
        <v>375.33833333333325</v>
      </c>
      <c r="AJ95" s="14">
        <f>AI95*VLOOKUP('Données projet'!$B$10,Paramètres!$A$1:$I$89,3,0)*VLOOKUP('Données projet'!$B$10,Paramètres!$A$1:$I$89,5,0)</f>
        <v>175.65833999999998</v>
      </c>
      <c r="AK95" s="14">
        <f t="shared" si="89"/>
        <v>44.354878488910238</v>
      </c>
      <c r="AL95" s="22">
        <f t="shared" si="58"/>
        <v>383.18968886818521</v>
      </c>
      <c r="AM95" s="62">
        <f t="shared" si="59"/>
        <v>676.52302220151853</v>
      </c>
      <c r="AN95" s="62">
        <f ca="1">AVERAGE(OFFSET($AM$3,0,0,'Données projet'!$E$10+1,1))-AVERAGE(OFFSET($H$3,0,0,'Données projet'!$E$10+1,1))</f>
        <v>174.86489869124688</v>
      </c>
      <c r="AO95" s="62">
        <f t="shared" si="90"/>
        <v>146.54591565663782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50.270811017608359</v>
      </c>
      <c r="AV95" s="23">
        <f>EXP(-LN(2)/25)*AV94+(1-EXP(-LN(2)/25))/(LN(2)/25)*Calculateur!AQ95*Calculateur!AS95*VLOOKUP('Données projet'!$B$10,Paramètres!$A$1:$I$89,3,0)*0.475*44/12</f>
        <v>17.467323245521431</v>
      </c>
      <c r="AW95" s="23">
        <f>EXP(-LN(2)/2)*AW94+(1-EXP(-LN(2)/2))/(LN(2)/2)*AQ95*AT95*VLOOKUP('Données projet'!$B$10,Paramètres!$A$1:$I$89,3,0)*0.475*44/12</f>
        <v>1.1352585607117549</v>
      </c>
      <c r="AX95" s="23">
        <f t="shared" si="60"/>
        <v>68.873392823841556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445.57292162355361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5.4</v>
      </c>
      <c r="N96" s="14">
        <f>IF('Données projet'!$A$36&gt;35,N95+M96-V95,IF(A96&lt;'Données projet'!$A$36,$K$205^A96,IF(A96='Données projet'!$A$36,'Données projet'!$B$36,N95+M96-V95)))</f>
        <v>255.19999999999987</v>
      </c>
      <c r="O96" s="14">
        <f>N96*VLOOKUP('Données projet'!$B$9,Paramètres!$A$1:$I$89,3,0)*VLOOKUP('Données projet'!$B$9,Paramètres!$A$1:$I$89,5,0)</f>
        <v>258.77279999999985</v>
      </c>
      <c r="P96" s="14">
        <f t="shared" si="87"/>
        <v>62.460716522234641</v>
      </c>
      <c r="Q96" s="22">
        <f t="shared" si="54"/>
        <v>559.4817079428916</v>
      </c>
      <c r="R96" s="62">
        <f t="shared" si="55"/>
        <v>852.81504127622497</v>
      </c>
      <c r="S96" s="62">
        <f ca="1">AVERAGE(OFFSET($R$3,0,0,'Données projet'!$E$9+1,1))-AVERAGE(OFFSET($H$3,0,0,'Données projet'!$E$9+1,1))</f>
        <v>257.49385297440318</v>
      </c>
      <c r="T96" s="62">
        <f t="shared" si="88"/>
        <v>171.3281518185355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35.667042323643173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35.667042323643173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9.2716666666666665</v>
      </c>
      <c r="AI96" s="14">
        <f>IF('Données projet'!$A$62&gt;35,AI95+AH96-AQ95,IF(A96&lt;'Données projet'!$A$62,$AF$205^A96,IF(A96='Données projet'!$A$62,'Données projet'!$B$62,AI95+AH96-AQ95)))</f>
        <v>384.6099999999999</v>
      </c>
      <c r="AJ96" s="14">
        <f>AI96*VLOOKUP('Données projet'!$B$10,Paramètres!$A$1:$I$89,3,0)*VLOOKUP('Données projet'!$B$10,Paramètres!$A$1:$I$89,5,0)</f>
        <v>179.99747999999997</v>
      </c>
      <c r="AK96" s="14">
        <f t="shared" si="89"/>
        <v>45.321625512535455</v>
      </c>
      <c r="AL96" s="22">
        <f t="shared" si="58"/>
        <v>392.43077543433247</v>
      </c>
      <c r="AM96" s="62">
        <f t="shared" si="59"/>
        <v>685.76410876766579</v>
      </c>
      <c r="AN96" s="62">
        <f ca="1">AVERAGE(OFFSET($AM$3,0,0,'Données projet'!$E$10+1,1))-AVERAGE(OFFSET($H$3,0,0,'Données projet'!$E$10+1,1))</f>
        <v>174.86489869124688</v>
      </c>
      <c r="AO96" s="62">
        <f t="shared" si="90"/>
        <v>146.54591565663782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49.285031075720141</v>
      </c>
      <c r="AV96" s="23">
        <f>EXP(-LN(2)/25)*AV95+(1-EXP(-LN(2)/25))/(LN(2)/25)*Calculateur!AQ96*Calculateur!AS96*VLOOKUP('Données projet'!$B$10,Paramètres!$A$1:$I$89,3,0)*0.475*44/12</f>
        <v>16.98967837280604</v>
      </c>
      <c r="AW96" s="23">
        <f>EXP(-LN(2)/2)*AW95+(1-EXP(-LN(2)/2))/(LN(2)/2)*AQ96*AT96*VLOOKUP('Données projet'!$B$10,Paramètres!$A$1:$I$89,3,0)*0.475*44/12</f>
        <v>0.80274902667936177</v>
      </c>
      <c r="AX96" s="23">
        <f t="shared" si="60"/>
        <v>67.077458475205546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447.16780477516636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5.4</v>
      </c>
      <c r="N97" s="14">
        <f>IF('Données projet'!$A$36&gt;35,N96+M97-V96,IF(A97&lt;'Données projet'!$A$36,$K$205^A97,IF(A97='Données projet'!$A$36,'Données projet'!$B$36,N96+M97-V96)))</f>
        <v>260.59999999999985</v>
      </c>
      <c r="O97" s="14">
        <f>N97*VLOOKUP('Données projet'!$B$9,Paramètres!$A$1:$I$89,3,0)*VLOOKUP('Données projet'!$B$9,Paramètres!$A$1:$I$89,5,0)</f>
        <v>264.24839999999983</v>
      </c>
      <c r="P97" s="14">
        <f t="shared" si="87"/>
        <v>63.627109143733414</v>
      </c>
      <c r="Q97" s="22">
        <f t="shared" si="54"/>
        <v>571.0498450920021</v>
      </c>
      <c r="R97" s="62">
        <f t="shared" si="55"/>
        <v>864.38317842533547</v>
      </c>
      <c r="S97" s="62">
        <f ca="1">AVERAGE(OFFSET($R$3,0,0,'Données projet'!$E$9+1,1))-AVERAGE(OFFSET($H$3,0,0,'Données projet'!$E$9+1,1))</f>
        <v>257.49385297440318</v>
      </c>
      <c r="T97" s="62">
        <f t="shared" si="88"/>
        <v>171.3281518185355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34.967633378424246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34.967633378424246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9.2716666666666665</v>
      </c>
      <c r="AI97" s="14">
        <f>IF('Données projet'!$A$62&gt;35,AI96+AH97-AQ96,IF(A97&lt;'Données projet'!$A$62,$AF$205^A97,IF(A97='Données projet'!$A$62,'Données projet'!$B$62,AI96+AH97-AQ96)))</f>
        <v>393.88166666666655</v>
      </c>
      <c r="AJ97" s="14">
        <f>AI97*VLOOKUP('Données projet'!$B$10,Paramètres!$A$1:$I$89,3,0)*VLOOKUP('Données projet'!$B$10,Paramètres!$A$1:$I$89,5,0)</f>
        <v>184.33661999999995</v>
      </c>
      <c r="AK97" s="14">
        <f t="shared" si="89"/>
        <v>46.285663353150817</v>
      </c>
      <c r="AL97" s="22">
        <f t="shared" si="58"/>
        <v>401.66714350673755</v>
      </c>
      <c r="AM97" s="62">
        <f t="shared" si="59"/>
        <v>695.00047684007086</v>
      </c>
      <c r="AN97" s="62">
        <f ca="1">AVERAGE(OFFSET($AM$3,0,0,'Données projet'!$E$10+1,1))-AVERAGE(OFFSET($H$3,0,0,'Données projet'!$E$10+1,1))</f>
        <v>174.86489869124688</v>
      </c>
      <c r="AO97" s="62">
        <f t="shared" si="90"/>
        <v>146.54591565663782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48.318581677225957</v>
      </c>
      <c r="AV97" s="23">
        <f>EXP(-LN(2)/25)*AV96+(1-EXP(-LN(2)/25))/(LN(2)/25)*Calculateur!AQ97*Calculateur!AS97*VLOOKUP('Données projet'!$B$10,Paramètres!$A$1:$I$89,3,0)*0.475*44/12</f>
        <v>16.525094724253304</v>
      </c>
      <c r="AW97" s="23">
        <f>EXP(-LN(2)/2)*AW96+(1-EXP(-LN(2)/2))/(LN(2)/2)*AQ97*AT97*VLOOKUP('Données projet'!$B$10,Paramètres!$A$1:$I$89,3,0)*0.475*44/12</f>
        <v>0.56762928035587745</v>
      </c>
      <c r="AX97" s="23">
        <f t="shared" si="60"/>
        <v>65.411305681835131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448.76229451614319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266</v>
      </c>
      <c r="L98" s="13">
        <f>VLOOKUP(A98,'Données projet'!$A$35:$I$55,9,0)</f>
        <v>5.4</v>
      </c>
      <c r="M98" s="13">
        <f t="array" ref="M98">INDEX(L:L,MIN(IF(ISNUMBER(L98:L294),ROW(L98:L294),"")))</f>
        <v>5.4</v>
      </c>
      <c r="N98" s="14">
        <f>IF('Données projet'!$A$36&gt;35,N97+M98-V97,IF(A98&lt;'Données projet'!$A$36,$K$205^A98,IF(A98='Données projet'!$A$36,'Données projet'!$B$36,N97+M98-V97)))</f>
        <v>265.99999999999983</v>
      </c>
      <c r="O98" s="14">
        <f>N98*VLOOKUP('Données projet'!$B$9,Paramètres!$A$1:$I$89,3,0)*VLOOKUP('Données projet'!$B$9,Paramètres!$A$1:$I$89,5,0)</f>
        <v>269.72399999999982</v>
      </c>
      <c r="P98" s="14">
        <f t="shared" si="87"/>
        <v>64.790691635967349</v>
      </c>
      <c r="Q98" s="22">
        <f t="shared" si="54"/>
        <v>582.61308793264277</v>
      </c>
      <c r="R98" s="62">
        <f t="shared" si="55"/>
        <v>875.94642126597614</v>
      </c>
      <c r="S98" s="62">
        <f ca="1">AVERAGE(OFFSET($R$3,0,0,'Données projet'!$E$9+1,1))-AVERAGE(OFFSET($H$3,0,0,'Données projet'!$E$9+1,1))</f>
        <v>257.49385297440318</v>
      </c>
      <c r="T98" s="62">
        <f t="shared" si="88"/>
        <v>171.3281518185355</v>
      </c>
      <c r="U98" s="16">
        <f>IF(ISNA(VLOOKUP(A98,'Données projet'!$A$35:$I$55,3,0)),0,VLOOKUP(A98,'Données projet'!$A$35:$I$55,3,0))</f>
        <v>17</v>
      </c>
      <c r="V98" s="16">
        <f>IF(ISNA(VLOOKUP(A98,'Données projet'!$A$35:$I$55,4,0)),0,VLOOKUP(A98,'Données projet'!$A$35:$I$55,4,0))</f>
        <v>19</v>
      </c>
      <c r="W98" s="17">
        <f>IF(ISNA(VLOOKUP(A98,'Données projet'!$A$35:$I$55,5,0)),0%,VLOOKUP(A98,'Données projet'!$A$35:$I$55,5,0)*VLOOKUP('Données projet'!$B$9,Paramètres!$A$1:$I$89,7,0))</f>
        <v>0.34400000000000003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41.60844877825987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41.60844877825987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9.2716666666666665</v>
      </c>
      <c r="AI98" s="14">
        <f>IF('Données projet'!$A$62&gt;35,AI97+AH98-AQ97,IF(A98&lt;'Données projet'!$A$62,$AF$205^A98,IF(A98='Données projet'!$A$62,'Données projet'!$B$62,AI97+AH98-AQ97)))</f>
        <v>403.15333333333319</v>
      </c>
      <c r="AJ98" s="14">
        <f>AI98*VLOOKUP('Données projet'!$B$10,Paramètres!$A$1:$I$89,3,0)*VLOOKUP('Données projet'!$B$10,Paramètres!$A$1:$I$89,5,0)</f>
        <v>188.67575999999994</v>
      </c>
      <c r="AK98" s="14">
        <f t="shared" si="89"/>
        <v>47.247063121703242</v>
      </c>
      <c r="AL98" s="22">
        <f t="shared" si="58"/>
        <v>410.89891693696637</v>
      </c>
      <c r="AM98" s="62">
        <f t="shared" si="59"/>
        <v>704.23225027029969</v>
      </c>
      <c r="AN98" s="62">
        <f ca="1">AVERAGE(OFFSET($AM$3,0,0,'Données projet'!$E$10+1,1))-AVERAGE(OFFSET($H$3,0,0,'Données projet'!$E$10+1,1))</f>
        <v>174.86489869124688</v>
      </c>
      <c r="AO98" s="62">
        <f t="shared" si="90"/>
        <v>146.54591565663782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47.371083761960321</v>
      </c>
      <c r="AV98" s="23">
        <f>EXP(-LN(2)/25)*AV97+(1-EXP(-LN(2)/25))/(LN(2)/25)*Calculateur!AQ98*Calculateur!AS98*VLOOKUP('Données projet'!$B$10,Paramètres!$A$1:$I$89,3,0)*0.475*44/12</f>
        <v>16.073215140001633</v>
      </c>
      <c r="AW98" s="23">
        <f>EXP(-LN(2)/2)*AW97+(1-EXP(-LN(2)/2))/(LN(2)/2)*AQ98*AT98*VLOOKUP('Données projet'!$B$10,Paramètres!$A$1:$I$89,3,0)*0.475*44/12</f>
        <v>0.40137451333968088</v>
      </c>
      <c r="AX98" s="23">
        <f t="shared" si="60"/>
        <v>63.84567341530164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450.35639546702049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251.79999999999984</v>
      </c>
      <c r="O99" s="14">
        <f>N99*VLOOKUP('Données projet'!$B$9,Paramètres!$A$1:$I$89,3,0)*VLOOKUP('Données projet'!$B$9,Paramètres!$A$1:$I$89,5,0)</f>
        <v>255.32519999999985</v>
      </c>
      <c r="P99" s="14">
        <f t="shared" si="87"/>
        <v>61.724849714059751</v>
      </c>
      <c r="Q99" s="22">
        <f t="shared" ref="Q99:Q130" si="107">(O99+P99)*0.475*44/12</f>
        <v>552.19550325198713</v>
      </c>
      <c r="R99" s="62">
        <f t="shared" si="55"/>
        <v>845.52883658532051</v>
      </c>
      <c r="S99" s="62">
        <f ca="1">AVERAGE(OFFSET($R$3,0,0,'Données projet'!$E$9+1,1))-AVERAGE(OFFSET($H$3,0,0,'Données projet'!$E$9+1,1))</f>
        <v>257.49385297440318</v>
      </c>
      <c r="T99" s="62">
        <f t="shared" si="88"/>
        <v>171.3281518185355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40.792532476366013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40.792532476366013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9.2716666666666665</v>
      </c>
      <c r="AI99" s="14">
        <f>IF('Données projet'!$A$62&gt;35,AI98+AH99-AQ98,IF(A99&lt;'Données projet'!$A$62,$AF$205^A99,IF(A99='Données projet'!$A$62,'Données projet'!$B$62,AI98+AH99-AQ98)))</f>
        <v>412.42499999999984</v>
      </c>
      <c r="AJ99" s="14">
        <f>AI99*VLOOKUP('Données projet'!$B$10,Paramètres!$A$1:$I$89,3,0)*VLOOKUP('Données projet'!$B$10,Paramètres!$A$1:$I$89,5,0)</f>
        <v>193.01489999999993</v>
      </c>
      <c r="AK99" s="14">
        <f t="shared" si="89"/>
        <v>48.205892471690547</v>
      </c>
      <c r="AL99" s="22">
        <f t="shared" si="58"/>
        <v>420.1262135548609</v>
      </c>
      <c r="AM99" s="62">
        <f t="shared" si="59"/>
        <v>713.45954688819415</v>
      </c>
      <c r="AN99" s="62">
        <f ca="1">AVERAGE(OFFSET($AM$3,0,0,'Données projet'!$E$10+1,1))-AVERAGE(OFFSET($H$3,0,0,'Données projet'!$E$10+1,1))</f>
        <v>174.86489869124688</v>
      </c>
      <c r="AO99" s="62">
        <f t="shared" si="90"/>
        <v>146.54591565663782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46.442165702896375</v>
      </c>
      <c r="AV99" s="23">
        <f>EXP(-LN(2)/25)*AV98+(1-EXP(-LN(2)/25))/(LN(2)/25)*Calculateur!AQ99*Calculateur!AS99*VLOOKUP('Données projet'!$B$10,Paramètres!$A$1:$I$89,3,0)*0.475*44/12</f>
        <v>15.633692226744639</v>
      </c>
      <c r="AW99" s="23">
        <f>EXP(-LN(2)/2)*AW98+(1-EXP(-LN(2)/2))/(LN(2)/2)*AQ99*AT99*VLOOKUP('Données projet'!$B$10,Paramètres!$A$1:$I$89,3,0)*0.475*44/12</f>
        <v>0.28381464017793873</v>
      </c>
      <c r="AX99" s="23">
        <f t="shared" si="60"/>
        <v>62.359672569818954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451.95011214652754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256.59999999999985</v>
      </c>
      <c r="O100" s="14">
        <f>N100*VLOOKUP('Données projet'!$B$9,Paramètres!$A$1:$I$89,3,0)*VLOOKUP('Données projet'!$B$9,Paramètres!$A$1:$I$89,5,0)</f>
        <v>260.19239999999985</v>
      </c>
      <c r="P100" s="14">
        <f t="shared" si="87"/>
        <v>62.763388095288114</v>
      </c>
      <c r="Q100" s="22">
        <f t="shared" si="107"/>
        <v>562.48133093262652</v>
      </c>
      <c r="R100" s="62">
        <f t="shared" si="55"/>
        <v>855.81466426595989</v>
      </c>
      <c r="S100" s="62">
        <f ca="1">AVERAGE(OFFSET($R$3,0,0,'Données projet'!$E$9+1,1))-AVERAGE(OFFSET($H$3,0,0,'Données projet'!$E$9+1,1))</f>
        <v>257.49385297440318</v>
      </c>
      <c r="T100" s="62">
        <f t="shared" si="88"/>
        <v>171.3281518185355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39.99261579549249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39.99261579549249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9.2716666666666665</v>
      </c>
      <c r="AI100" s="14">
        <f>IF('Données projet'!$A$62&gt;35,AI99+AH100-AQ99,IF(A100&lt;'Données projet'!$A$62,$AF$205^A100,IF(A100='Données projet'!$A$62,'Données projet'!$B$62,AI99+AH100-AQ99)))</f>
        <v>421.69666666666649</v>
      </c>
      <c r="AJ100" s="14">
        <f>AI100*VLOOKUP('Données projet'!$B$10,Paramètres!$A$1:$I$89,3,0)*VLOOKUP('Données projet'!$B$10,Paramètres!$A$1:$I$89,5,0)</f>
        <v>197.35403999999994</v>
      </c>
      <c r="AK100" s="14">
        <f t="shared" si="89"/>
        <v>49.162215841153191</v>
      </c>
      <c r="AL100" s="22">
        <f t="shared" si="58"/>
        <v>429.34914559000839</v>
      </c>
      <c r="AM100" s="62">
        <f t="shared" si="59"/>
        <v>722.68247892334171</v>
      </c>
      <c r="AN100" s="62">
        <f ca="1">AVERAGE(OFFSET($AM$3,0,0,'Données projet'!$E$10+1,1))-AVERAGE(OFFSET($H$3,0,0,'Données projet'!$E$10+1,1))</f>
        <v>174.86489869124688</v>
      </c>
      <c r="AO100" s="62">
        <f t="shared" si="90"/>
        <v>146.54591565663782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45.531463160386608</v>
      </c>
      <c r="AV100" s="23">
        <f>EXP(-LN(2)/25)*AV99+(1-EXP(-LN(2)/25))/(LN(2)/25)*Calculateur!AQ100*Calculateur!AS100*VLOOKUP('Données projet'!$B$10,Paramètres!$A$1:$I$89,3,0)*0.475*44/12</f>
        <v>15.206188090664163</v>
      </c>
      <c r="AW100" s="23">
        <f>EXP(-LN(2)/2)*AW99+(1-EXP(-LN(2)/2))/(LN(2)/2)*AQ100*AT100*VLOOKUP('Données projet'!$B$10,Paramètres!$A$1:$I$89,3,0)*0.475*44/12</f>
        <v>0.20068725666984044</v>
      </c>
      <c r="AX100" s="23">
        <f t="shared" si="60"/>
        <v>60.938338507720609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453.54344897485515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261.39999999999986</v>
      </c>
      <c r="O101" s="14">
        <f>N101*VLOOKUP('Données projet'!$B$9,Paramètres!$A$1:$I$89,3,0)*VLOOKUP('Données projet'!$B$9,Paramètres!$A$1:$I$89,5,0)</f>
        <v>265.05959999999988</v>
      </c>
      <c r="P101" s="14">
        <f t="shared" si="87"/>
        <v>63.799667487271606</v>
      </c>
      <c r="Q101" s="22">
        <f t="shared" si="107"/>
        <v>572.76322420699773</v>
      </c>
      <c r="R101" s="62">
        <f t="shared" si="55"/>
        <v>866.0965575403311</v>
      </c>
      <c r="S101" s="62">
        <f ca="1">AVERAGE(OFFSET($R$3,0,0,'Données projet'!$E$9+1,1))-AVERAGE(OFFSET($H$3,0,0,'Données projet'!$E$9+1,1))</f>
        <v>257.49385297440318</v>
      </c>
      <c r="T101" s="62">
        <f t="shared" si="88"/>
        <v>171.3281518185355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39.208384992829899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39.208384992829899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9.2716666666666665</v>
      </c>
      <c r="AI101" s="14">
        <f>IF('Données projet'!$A$62&gt;35,AI100+AH101-AQ100,IF(A101&lt;'Données projet'!$A$62,$AF$205^A101,IF(A101='Données projet'!$A$62,'Données projet'!$B$62,AI100+AH101-AQ100)))</f>
        <v>430.96833333333313</v>
      </c>
      <c r="AJ101" s="14">
        <f>AI101*VLOOKUP('Données projet'!$B$10,Paramètres!$A$1:$I$89,3,0)*VLOOKUP('Données projet'!$B$10,Paramètres!$A$1:$I$89,5,0)</f>
        <v>201.69317999999993</v>
      </c>
      <c r="AK101" s="14">
        <f t="shared" si="89"/>
        <v>50.116094672783646</v>
      </c>
      <c r="AL101" s="22">
        <f t="shared" si="58"/>
        <v>438.56782005509808</v>
      </c>
      <c r="AM101" s="62">
        <f t="shared" si="59"/>
        <v>731.90115338843134</v>
      </c>
      <c r="AN101" s="62">
        <f ca="1">AVERAGE(OFFSET($AM$3,0,0,'Données projet'!$E$10+1,1))-AVERAGE(OFFSET($H$3,0,0,'Données projet'!$E$10+1,1))</f>
        <v>174.86489869124688</v>
      </c>
      <c r="AO101" s="62">
        <f t="shared" si="90"/>
        <v>146.54591565663782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44.638618939261754</v>
      </c>
      <c r="AV101" s="23">
        <f>EXP(-LN(2)/25)*AV100+(1-EXP(-LN(2)/25))/(LN(2)/25)*Calculateur!AQ101*Calculateur!AS101*VLOOKUP('Données projet'!$B$10,Paramètres!$A$1:$I$89,3,0)*0.475*44/12</f>
        <v>14.790374077666275</v>
      </c>
      <c r="AW101" s="23">
        <f>EXP(-LN(2)/2)*AW100+(1-EXP(-LN(2)/2))/(LN(2)/2)*AQ101*AT101*VLOOKUP('Données projet'!$B$10,Paramètres!$A$1:$I$89,3,0)*0.475*44/12</f>
        <v>0.14190732008896936</v>
      </c>
      <c r="AX101" s="23">
        <f t="shared" si="60"/>
        <v>59.570900337017001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455.13641027678796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266.19999999999987</v>
      </c>
      <c r="O102" s="14">
        <f>N102*VLOOKUP('Données projet'!$B$9,Paramètres!$A$1:$I$89,3,0)*VLOOKUP('Données projet'!$B$9,Paramètres!$A$1:$I$89,5,0)</f>
        <v>269.9267999999999</v>
      </c>
      <c r="P102" s="14">
        <f t="shared" si="87"/>
        <v>64.833734155250156</v>
      </c>
      <c r="Q102" s="22">
        <f t="shared" si="107"/>
        <v>583.04126365372724</v>
      </c>
      <c r="R102" s="62">
        <f t="shared" si="55"/>
        <v>876.37459698706061</v>
      </c>
      <c r="S102" s="62">
        <f ca="1">AVERAGE(OFFSET($R$3,0,0,'Données projet'!$E$9+1,1))-AVERAGE(OFFSET($H$3,0,0,'Données projet'!$E$9+1,1))</f>
        <v>257.49385297440318</v>
      </c>
      <c r="T102" s="62">
        <f t="shared" si="88"/>
        <v>171.3281518185355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38.439532477873968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38.439532477873968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>
        <f>VLOOKUP(A102,'Données projet'!$A$61:$I$81,2,0)</f>
        <v>440.24</v>
      </c>
      <c r="AG102" s="13">
        <f>VLOOKUP(A102,'Données projet'!$A$61:$I$81,9,0)</f>
        <v>9.2716666666666665</v>
      </c>
      <c r="AH102" s="13">
        <f t="array" ref="AH102">INDEX(AG:AG,MIN(IF(ISNUMBER(AG102:AG298),ROW(AG102:AG298),"")))</f>
        <v>9.2716666666666665</v>
      </c>
      <c r="AI102" s="14">
        <f>IF('Données projet'!$A$62&gt;35,AI101+AH102-AQ101,IF(A102&lt;'Données projet'!$A$62,$AF$205^A102,IF(A102='Données projet'!$A$62,'Données projet'!$B$62,AI101+AH102-AQ101)))</f>
        <v>440.23999999999978</v>
      </c>
      <c r="AJ102" s="14">
        <f>AI102*VLOOKUP('Données projet'!$B$10,Paramètres!$A$1:$I$89,3,0)*VLOOKUP('Données projet'!$B$10,Paramètres!$A$1:$I$89,5,0)</f>
        <v>206.03231999999991</v>
      </c>
      <c r="AK102" s="14">
        <f t="shared" si="89"/>
        <v>51.067587614560068</v>
      </c>
      <c r="AL102" s="22">
        <f t="shared" si="58"/>
        <v>447.78233909535862</v>
      </c>
      <c r="AM102" s="62">
        <f t="shared" si="59"/>
        <v>741.11567242869194</v>
      </c>
      <c r="AN102" s="62">
        <f ca="1">AVERAGE(OFFSET($AM$3,0,0,'Données projet'!$E$10+1,1))-AVERAGE(OFFSET($H$3,0,0,'Données projet'!$E$10+1,1))</f>
        <v>174.86489869124688</v>
      </c>
      <c r="AO102" s="62">
        <f t="shared" si="90"/>
        <v>146.54591565663782</v>
      </c>
      <c r="AP102" s="16">
        <f>IF(ISNA(VLOOKUP(A102,'Données projet'!$A$61:$I$81,3,0)),0,VLOOKUP(A102,'Données projet'!$A$61:$I$81,3,0))</f>
        <v>5</v>
      </c>
      <c r="AQ102" s="16">
        <f>IF(ISNA(VLOOKUP(A102,'Données projet'!$A$61:$I$81,4,0)),0,VLOOKUP(A102,'Données projet'!$A$61:$I$81,4,0))</f>
        <v>440.24</v>
      </c>
      <c r="AR102" s="17">
        <f>IF(ISNA(VLOOKUP(A102,'Données projet'!$A$61:$I$81,5,0)),0%,VLOOKUP(A102,'Données projet'!$A$61:$I$81,5,0)*VLOOKUP('Données projet'!$B$10,Paramètres!$A$1:$I$89,7,0))</f>
        <v>0.44000000000000006</v>
      </c>
      <c r="AS102" s="17">
        <f>IF(ISNA(VLOOKUP(A102,'Données projet'!$A$61:$I$81,6,0)),0%,VLOOKUP(A102,'Données projet'!$A$61:$I$81,6,0)*VLOOKUP('Données projet'!$B$10,Paramètres!$A$1:$I$89,7,0))</f>
        <v>6.0500000000000005E-2</v>
      </c>
      <c r="AT102" s="17">
        <f>IF(ISNA(VLOOKUP(A102,'Données projet'!$A$61:$I$81,7,0)),0%,VLOOKUP(A102,'Données projet'!$A$61:$I$81,7,0))</f>
        <v>0.09</v>
      </c>
      <c r="AU102" s="23">
        <f>EXP(-LN(2)/35)*AU101+(1-EXP(-LN(2)/35))/(LN(2)/35)*AQ102*AR102*VLOOKUP('Données projet'!$B$10,Paramètres!$A$1:$I$89,3,0)*0.475*44/12</f>
        <v>164.02194989757979</v>
      </c>
      <c r="AV102" s="23">
        <f>EXP(-LN(2)/25)*AV101+(1-EXP(-LN(2)/25))/(LN(2)/25)*Calculateur!AQ102*Calculateur!AS102*VLOOKUP('Données projet'!$B$10,Paramètres!$A$1:$I$89,3,0)*0.475*44/12</f>
        <v>30.856390413218669</v>
      </c>
      <c r="AW102" s="23">
        <f>EXP(-LN(2)/2)*AW101+(1-EXP(-LN(2)/2))/(LN(2)/2)*AQ102*AT102*VLOOKUP('Données projet'!$B$10,Paramètres!$A$1:$I$89,3,0)*0.475*44/12</f>
        <v>21.095223861782639</v>
      </c>
      <c r="AX102" s="23">
        <f t="shared" si="60"/>
        <v>215.97356417258109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456.72900028470588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271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270.99999999999989</v>
      </c>
      <c r="O103" s="14">
        <f>N103*VLOOKUP('Données projet'!$B$9,Paramètres!$A$1:$I$89,3,0)*VLOOKUP('Données projet'!$B$9,Paramètres!$A$1:$I$89,5,0)</f>
        <v>274.79399999999987</v>
      </c>
      <c r="P103" s="14">
        <f t="shared" si="87"/>
        <v>65.865632600455527</v>
      </c>
      <c r="Q103" s="22">
        <f t="shared" si="107"/>
        <v>593.31552677912634</v>
      </c>
      <c r="R103" s="62">
        <f t="shared" si="55"/>
        <v>886.64886011245972</v>
      </c>
      <c r="S103" s="62">
        <f ca="1">AVERAGE(OFFSET($R$3,0,0,'Données projet'!$E$9+1,1))-AVERAGE(OFFSET($H$3,0,0,'Données projet'!$E$9+1,1))</f>
        <v>257.49385297440318</v>
      </c>
      <c r="T103" s="62">
        <f t="shared" si="88"/>
        <v>171.3281518185355</v>
      </c>
      <c r="U103" s="16">
        <f>IF(ISNA(VLOOKUP(A103,'Données projet'!$A$35:$I$55,3,0)),0,VLOOKUP(A103,'Données projet'!$A$35:$I$55,3,0))</f>
        <v>18</v>
      </c>
      <c r="V103" s="16">
        <f>IF(ISNA(VLOOKUP(A103,'Données projet'!$A$35:$I$55,4,0)),0,VLOOKUP(A103,'Données projet'!$A$35:$I$55,4,0))</f>
        <v>18</v>
      </c>
      <c r="W103" s="17">
        <f>IF(ISNA(VLOOKUP(A103,'Données projet'!$A$35:$I$55,5,0)),0%,VLOOKUP(A103,'Données projet'!$A$35:$I$55,5,0)*VLOOKUP('Données projet'!$B$9,Paramètres!$A$1:$I$89,7,0))</f>
        <v>0.34400000000000003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44.626660298111574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44.626660298111574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-1.064108801074326E-13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174.86489869124688</v>
      </c>
      <c r="AO103" s="62">
        <f t="shared" si="90"/>
        <v>146.54591565663782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160.8055795035992</v>
      </c>
      <c r="AV103" s="23">
        <f>EXP(-LN(2)/25)*AV102+(1-EXP(-LN(2)/25))/(LN(2)/25)*Calculateur!AQ103*Calculateur!AS103*VLOOKUP('Données projet'!$B$10,Paramètres!$A$1:$I$89,3,0)*0.475*44/12</f>
        <v>30.012620794702155</v>
      </c>
      <c r="AW103" s="23">
        <f>EXP(-LN(2)/2)*AW102+(1-EXP(-LN(2)/2))/(LN(2)/2)*AQ103*AT103*VLOOKUP('Données projet'!$B$10,Paramètres!$A$1:$I$89,3,0)*0.475*44/12</f>
        <v>14.916575843314774</v>
      </c>
      <c r="AX103" s="23">
        <f t="shared" si="60"/>
        <v>205.73477614161612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458.32122314146261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4.8</v>
      </c>
      <c r="N104" s="14">
        <f>IF('Données projet'!$A$36&gt;35,N103+M104-V103,IF(A104&lt;'Données projet'!$A$36,$K$205^A104,IF(A104='Données projet'!$A$36,'Données projet'!$B$36,N103+M104-V103)))</f>
        <v>257.7999999999999</v>
      </c>
      <c r="O104" s="14">
        <f>N104*VLOOKUP('Données projet'!$B$9,Paramètres!$A$1:$I$89,3,0)*VLOOKUP('Données projet'!$B$9,Paramètres!$A$1:$I$89,5,0)</f>
        <v>261.40919999999988</v>
      </c>
      <c r="P104" s="14">
        <f t="shared" si="87"/>
        <v>63.022667885185101</v>
      </c>
      <c r="Q104" s="22">
        <f t="shared" si="107"/>
        <v>565.05216990003044</v>
      </c>
      <c r="R104" s="62">
        <f t="shared" si="55"/>
        <v>858.38550323336381</v>
      </c>
      <c r="S104" s="62">
        <f ca="1">AVERAGE(OFFSET($R$3,0,0,'Données projet'!$E$9+1,1))-AVERAGE(OFFSET($H$3,0,0,'Données projet'!$E$9+1,1))</f>
        <v>257.49385297440318</v>
      </c>
      <c r="T104" s="62">
        <f t="shared" si="88"/>
        <v>171.3281518185355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43.751558709240676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43.751558709240676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-1.064108801074326E-13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174.86489869124688</v>
      </c>
      <c r="AO104" s="62">
        <f t="shared" si="90"/>
        <v>146.54591565663782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157.65228017125236</v>
      </c>
      <c r="AV104" s="23">
        <f>EXP(-LN(2)/25)*AV103+(1-EXP(-LN(2)/25))/(LN(2)/25)*Calculateur!AQ104*Calculateur!AS104*VLOOKUP('Données projet'!$B$10,Paramètres!$A$1:$I$89,3,0)*0.475*44/12</f>
        <v>29.191924100775893</v>
      </c>
      <c r="AW104" s="23">
        <f>EXP(-LN(2)/2)*AW103+(1-EXP(-LN(2)/2))/(LN(2)/2)*AQ104*AT104*VLOOKUP('Données projet'!$B$10,Paramètres!$A$1:$I$89,3,0)*0.475*44/12</f>
        <v>10.547611930891321</v>
      </c>
      <c r="AX104" s="23">
        <f t="shared" si="60"/>
        <v>197.39181620291959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459.91308290314612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4.8</v>
      </c>
      <c r="N105" s="14">
        <f>IF('Données projet'!$A$36&gt;35,N104+M105-V104,IF(A105&lt;'Données projet'!$A$36,$K$205^A105,IF(A105='Données projet'!$A$36,'Données projet'!$B$36,N104+M105-V104)))</f>
        <v>262.59999999999991</v>
      </c>
      <c r="O105" s="14">
        <f>N105*VLOOKUP('Données projet'!$B$9,Paramètres!$A$1:$I$89,3,0)*VLOOKUP('Données projet'!$B$9,Paramètres!$A$1:$I$89,5,0)</f>
        <v>266.27639999999991</v>
      </c>
      <c r="P105" s="14">
        <f t="shared" si="87"/>
        <v>64.05838982943969</v>
      </c>
      <c r="Q105" s="22">
        <f t="shared" si="107"/>
        <v>575.333092286274</v>
      </c>
      <c r="R105" s="62">
        <f t="shared" si="55"/>
        <v>868.66642561960725</v>
      </c>
      <c r="S105" s="62">
        <f ca="1">AVERAGE(OFFSET($R$3,0,0,'Données projet'!$E$9+1,1))-AVERAGE(OFFSET($H$3,0,0,'Données projet'!$E$9+1,1))</f>
        <v>257.49385297440318</v>
      </c>
      <c r="T105" s="62">
        <f t="shared" si="88"/>
        <v>171.3281518185355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42.893617328768272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42.893617328768272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-1.064108801074326E-13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174.86489869124688</v>
      </c>
      <c r="AO105" s="62">
        <f t="shared" si="90"/>
        <v>146.54591565663782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154.56081511549016</v>
      </c>
      <c r="AV105" s="23">
        <f>EXP(-LN(2)/25)*AV104+(1-EXP(-LN(2)/25))/(LN(2)/25)*Calculateur!AQ105*Calculateur!AS105*VLOOKUP('Données projet'!$B$10,Paramètres!$A$1:$I$89,3,0)*0.475*44/12</f>
        <v>28.393669401103608</v>
      </c>
      <c r="AW105" s="23">
        <f>EXP(-LN(2)/2)*AW104+(1-EXP(-LN(2)/2))/(LN(2)/2)*AQ105*AT105*VLOOKUP('Données projet'!$B$10,Paramètres!$A$1:$I$89,3,0)*0.475*44/12</f>
        <v>7.4582879216573881</v>
      </c>
      <c r="AX105" s="23">
        <f t="shared" si="60"/>
        <v>190.41277243825115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461.50458354172883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4.8</v>
      </c>
      <c r="N106" s="14">
        <f>IF('Données projet'!$A$36&gt;35,N105+M106-V105,IF(A106&lt;'Données projet'!$A$36,$K$205^A106,IF(A106='Données projet'!$A$36,'Données projet'!$B$36,N105+M106-V105)))</f>
        <v>267.39999999999992</v>
      </c>
      <c r="O106" s="14">
        <f>N106*VLOOKUP('Données projet'!$B$9,Paramètres!$A$1:$I$89,3,0)*VLOOKUP('Données projet'!$B$9,Paramètres!$A$1:$I$89,5,0)</f>
        <v>271.14359999999994</v>
      </c>
      <c r="P106" s="14">
        <f t="shared" si="87"/>
        <v>65.091910336447469</v>
      </c>
      <c r="Q106" s="22">
        <f t="shared" si="107"/>
        <v>585.6101805026459</v>
      </c>
      <c r="R106" s="62">
        <f t="shared" si="55"/>
        <v>878.94351383597927</v>
      </c>
      <c r="S106" s="62">
        <f ca="1">AVERAGE(OFFSET($R$3,0,0,'Données projet'!$E$9+1,1))-AVERAGE(OFFSET($H$3,0,0,'Données projet'!$E$9+1,1))</f>
        <v>257.49385297440318</v>
      </c>
      <c r="T106" s="62">
        <f t="shared" si="88"/>
        <v>171.3281518185355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42.052499655474364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42.052499655474364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-1.064108801074326E-13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174.86489869124688</v>
      </c>
      <c r="AO106" s="62">
        <f t="shared" si="90"/>
        <v>146.54591565663782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151.52997180386396</v>
      </c>
      <c r="AV106" s="23">
        <f>EXP(-LN(2)/25)*AV105+(1-EXP(-LN(2)/25))/(LN(2)/25)*Calculateur!AQ106*Calculateur!AS106*VLOOKUP('Données projet'!$B$10,Paramètres!$A$1:$I$89,3,0)*0.475*44/12</f>
        <v>27.61724301817225</v>
      </c>
      <c r="AW106" s="23">
        <f>EXP(-LN(2)/2)*AW105+(1-EXP(-LN(2)/2))/(LN(2)/2)*AQ106*AT106*VLOOKUP('Données projet'!$B$10,Paramètres!$A$1:$I$89,3,0)*0.475*44/12</f>
        <v>5.2738059654456615</v>
      </c>
      <c r="AX106" s="23">
        <f t="shared" si="60"/>
        <v>184.42102078748186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463.09572894761084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4.8</v>
      </c>
      <c r="N107" s="14">
        <f>IF('Données projet'!$A$36&gt;35,N106+M107-V106,IF(A107&lt;'Données projet'!$A$36,$K$205^A107,IF(A107='Données projet'!$A$36,'Données projet'!$B$36,N106+M107-V106)))</f>
        <v>272.19999999999993</v>
      </c>
      <c r="O107" s="14">
        <f>N107*VLOOKUP('Données projet'!$B$9,Paramètres!$A$1:$I$89,3,0)*VLOOKUP('Données projet'!$B$9,Paramètres!$A$1:$I$89,5,0)</f>
        <v>276.0107999999999</v>
      </c>
      <c r="P107" s="14">
        <f t="shared" si="87"/>
        <v>66.123273481922951</v>
      </c>
      <c r="Q107" s="22">
        <f t="shared" si="107"/>
        <v>595.88351131434899</v>
      </c>
      <c r="R107" s="62">
        <f t="shared" si="55"/>
        <v>889.21684464768236</v>
      </c>
      <c r="S107" s="62">
        <f ca="1">AVERAGE(OFFSET($R$3,0,0,'Données projet'!$E$9+1,1))-AVERAGE(OFFSET($H$3,0,0,'Données projet'!$E$9+1,1))</f>
        <v>257.49385297440318</v>
      </c>
      <c r="T107" s="62">
        <f t="shared" si="88"/>
        <v>171.3281518185355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41.227875786722628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41.227875786722628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-1.064108801074326E-13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174.86489869124688</v>
      </c>
      <c r="AO107" s="62">
        <f t="shared" si="90"/>
        <v>146.54591565663782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148.55856148094685</v>
      </c>
      <c r="AV107" s="23">
        <f>EXP(-LN(2)/25)*AV106+(1-EXP(-LN(2)/25))/(LN(2)/25)*Calculateur!AQ107*Calculateur!AS107*VLOOKUP('Données projet'!$B$10,Paramètres!$A$1:$I$89,3,0)*0.475*44/12</f>
        <v>26.862048055512638</v>
      </c>
      <c r="AW107" s="23">
        <f>EXP(-LN(2)/2)*AW106+(1-EXP(-LN(2)/2))/(LN(2)/2)*AQ107*AT107*VLOOKUP('Données projet'!$B$10,Paramètres!$A$1:$I$89,3,0)*0.475*44/12</f>
        <v>3.7291439608286945</v>
      </c>
      <c r="AX107" s="23">
        <f t="shared" si="60"/>
        <v>179.1497534972882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464.68652293206327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277</v>
      </c>
      <c r="L108" s="13">
        <f>VLOOKUP(A108,'Données projet'!$A$35:$I$55,9,0)</f>
        <v>4.8</v>
      </c>
      <c r="M108" s="13">
        <f t="array" ref="M108">INDEX(L:L,MIN(IF(ISNUMBER(L108:L304),ROW(L108:L304),"")))</f>
        <v>4.8</v>
      </c>
      <c r="N108" s="14">
        <f>IF('Données projet'!$A$36&gt;35,N107+M108-V107,IF(A108&lt;'Données projet'!$A$36,$K$205^A108,IF(A108='Données projet'!$A$36,'Données projet'!$B$36,N107+M108-V107)))</f>
        <v>276.99999999999994</v>
      </c>
      <c r="O108" s="14">
        <f>N108*VLOOKUP('Données projet'!$B$9,Paramètres!$A$1:$I$89,3,0)*VLOOKUP('Données projet'!$B$9,Paramètres!$A$1:$I$89,5,0)</f>
        <v>280.87799999999999</v>
      </c>
      <c r="P108" s="14">
        <f t="shared" si="87"/>
        <v>67.152521698072363</v>
      </c>
      <c r="Q108" s="22">
        <f t="shared" si="107"/>
        <v>606.15315862414252</v>
      </c>
      <c r="R108" s="62">
        <f t="shared" si="55"/>
        <v>899.48649195747589</v>
      </c>
      <c r="S108" s="62">
        <f ca="1">AVERAGE(OFFSET($R$3,0,0,'Données projet'!$E$9+1,1))-AVERAGE(OFFSET($H$3,0,0,'Données projet'!$E$9+1,1))</f>
        <v>257.49385297440318</v>
      </c>
      <c r="T108" s="62">
        <f t="shared" si="88"/>
        <v>171.3281518185355</v>
      </c>
      <c r="U108" s="16">
        <f>IF(ISNA(VLOOKUP(A108,'Données projet'!$A$35:$I$55,3,0)),0,VLOOKUP(A108,'Données projet'!$A$35:$I$55,3,0))</f>
        <v>19</v>
      </c>
      <c r="V108" s="16">
        <f>IF(ISNA(VLOOKUP(A108,'Données projet'!$A$35:$I$55,4,0)),0,VLOOKUP(A108,'Données projet'!$A$35:$I$55,4,0))</f>
        <v>17</v>
      </c>
      <c r="W108" s="17">
        <f>IF(ISNA(VLOOKUP(A108,'Données projet'!$A$35:$I$55,5,0)),0%,VLOOKUP(A108,'Données projet'!$A$35:$I$55,5,0)*VLOOKUP('Données projet'!$B$9,Paramètres!$A$1:$I$89,7,0))</f>
        <v>0.34400000000000003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46.974720139488028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46.974720139488028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-1.064108801074326E-13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174.86489869124688</v>
      </c>
      <c r="AO108" s="62">
        <f t="shared" si="90"/>
        <v>146.54591565663782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145.6454187020808</v>
      </c>
      <c r="AV108" s="23">
        <f>EXP(-LN(2)/25)*AV107+(1-EXP(-LN(2)/25))/(LN(2)/25)*Calculateur!AQ108*Calculateur!AS108*VLOOKUP('Données projet'!$B$10,Paramètres!$A$1:$I$89,3,0)*0.475*44/12</f>
        <v>26.127503938820933</v>
      </c>
      <c r="AW108" s="23">
        <f>EXP(-LN(2)/2)*AW107+(1-EXP(-LN(2)/2))/(LN(2)/2)*AQ108*AT108*VLOOKUP('Données projet'!$B$10,Paramètres!$A$1:$I$89,3,0)*0.475*44/12</f>
        <v>2.6369029827228312</v>
      </c>
      <c r="AX108" s="23">
        <f t="shared" si="60"/>
        <v>174.40982562362456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466.27696922957591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264.39999999999992</v>
      </c>
      <c r="O109" s="14">
        <f>N109*VLOOKUP('Données projet'!$B$9,Paramètres!$A$1:$I$89,3,0)*VLOOKUP('Données projet'!$B$9,Paramètres!$A$1:$I$89,5,0)</f>
        <v>268.10159999999996</v>
      </c>
      <c r="P109" s="14">
        <f t="shared" si="87"/>
        <v>64.446215596224036</v>
      </c>
      <c r="Q109" s="22">
        <f t="shared" si="107"/>
        <v>579.18744549675682</v>
      </c>
      <c r="R109" s="62">
        <f t="shared" si="55"/>
        <v>872.52077883009019</v>
      </c>
      <c r="S109" s="62">
        <f ca="1">AVERAGE(OFFSET($R$3,0,0,'Données projet'!$E$9+1,1))-AVERAGE(OFFSET($H$3,0,0,'Données projet'!$E$9+1,1))</f>
        <v>257.49385297440318</v>
      </c>
      <c r="T109" s="62">
        <f t="shared" si="88"/>
        <v>171.3281518185355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46.053574529302828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46.053574529302828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-1.064108801074326E-13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174.86489869124688</v>
      </c>
      <c r="AO109" s="62">
        <f t="shared" si="90"/>
        <v>146.54591565663782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142.78940087626668</v>
      </c>
      <c r="AV109" s="23">
        <f>EXP(-LN(2)/25)*AV108+(1-EXP(-LN(2)/25))/(LN(2)/25)*Calculateur!AQ109*Calculateur!AS109*VLOOKUP('Données projet'!$B$10,Paramètres!$A$1:$I$89,3,0)*0.475*44/12</f>
        <v>25.413045969628158</v>
      </c>
      <c r="AW109" s="23">
        <f>EXP(-LN(2)/2)*AW108+(1-EXP(-LN(2)/2))/(LN(2)/2)*AQ109*AT109*VLOOKUP('Données projet'!$B$10,Paramètres!$A$1:$I$89,3,0)*0.475*44/12</f>
        <v>1.8645719804143477</v>
      </c>
      <c r="AX109" s="23">
        <f t="shared" si="60"/>
        <v>170.06701882630918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467.86707150011296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268.7999999999999</v>
      </c>
      <c r="O110" s="14">
        <f>N110*VLOOKUP('Données projet'!$B$9,Paramètres!$A$1:$I$89,3,0)*VLOOKUP('Données projet'!$B$9,Paramètres!$A$1:$I$89,5,0)</f>
        <v>272.56319999999994</v>
      </c>
      <c r="P110" s="14">
        <f t="shared" si="87"/>
        <v>65.392945522034609</v>
      </c>
      <c r="Q110" s="22">
        <f t="shared" si="107"/>
        <v>588.60695345087686</v>
      </c>
      <c r="R110" s="62">
        <f t="shared" si="55"/>
        <v>881.94028678421023</v>
      </c>
      <c r="S110" s="62">
        <f ca="1">AVERAGE(OFFSET($R$3,0,0,'Données projet'!$E$9+1,1))-AVERAGE(OFFSET($H$3,0,0,'Données projet'!$E$9+1,1))</f>
        <v>257.49385297440318</v>
      </c>
      <c r="T110" s="62">
        <f t="shared" si="88"/>
        <v>171.3281518185355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45.150492022690017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45.150492022690017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-1.064108801074326E-13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174.86489869124688</v>
      </c>
      <c r="AO110" s="62">
        <f t="shared" si="90"/>
        <v>146.54591565663782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139.98938781801792</v>
      </c>
      <c r="AV110" s="23">
        <f>EXP(-LN(2)/25)*AV109+(1-EXP(-LN(2)/25))/(LN(2)/25)*Calculateur!AQ110*Calculateur!AS110*VLOOKUP('Données projet'!$B$10,Paramètres!$A$1:$I$89,3,0)*0.475*44/12</f>
        <v>24.718124891174671</v>
      </c>
      <c r="AW110" s="23">
        <f>EXP(-LN(2)/2)*AW109+(1-EXP(-LN(2)/2))/(LN(2)/2)*AQ110*AT110*VLOOKUP('Données projet'!$B$10,Paramètres!$A$1:$I$89,3,0)*0.475*44/12</f>
        <v>1.3184514913614158</v>
      </c>
      <c r="AX110" s="23">
        <f t="shared" si="60"/>
        <v>166.02596420055403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469.45683333128278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273.19999999999987</v>
      </c>
      <c r="O111" s="14">
        <f>N111*VLOOKUP('Données projet'!$B$9,Paramètres!$A$1:$I$89,3,0)*VLOOKUP('Données projet'!$B$9,Paramètres!$A$1:$I$89,5,0)</f>
        <v>277.02479999999991</v>
      </c>
      <c r="P111" s="14">
        <f t="shared" si="87"/>
        <v>66.337873221533528</v>
      </c>
      <c r="Q111" s="22">
        <f t="shared" si="107"/>
        <v>598.02332252750409</v>
      </c>
      <c r="R111" s="62">
        <f t="shared" si="55"/>
        <v>891.35665586083746</v>
      </c>
      <c r="S111" s="62">
        <f ca="1">AVERAGE(OFFSET($R$3,0,0,'Données projet'!$E$9+1,1))-AVERAGE(OFFSET($H$3,0,0,'Données projet'!$E$9+1,1))</f>
        <v>257.49385297440318</v>
      </c>
      <c r="T111" s="62">
        <f t="shared" si="88"/>
        <v>171.3281518185355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44.26511841320594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44.26511841320594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-1.064108801074326E-13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174.86489869124688</v>
      </c>
      <c r="AO111" s="62">
        <f t="shared" si="90"/>
        <v>146.54591565663782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137.24428130800209</v>
      </c>
      <c r="AV111" s="23">
        <f>EXP(-LN(2)/25)*AV110+(1-EXP(-LN(2)/25))/(LN(2)/25)*Calculateur!AQ111*Calculateur!AS111*VLOOKUP('Données projet'!$B$10,Paramètres!$A$1:$I$89,3,0)*0.475*44/12</f>
        <v>24.042206466155807</v>
      </c>
      <c r="AW111" s="23">
        <f>EXP(-LN(2)/2)*AW110+(1-EXP(-LN(2)/2))/(LN(2)/2)*AQ111*AT111*VLOOKUP('Données projet'!$B$10,Paramètres!$A$1:$I$89,3,0)*0.475*44/12</f>
        <v>0.93228599020717395</v>
      </c>
      <c r="AX111" s="23">
        <f t="shared" si="60"/>
        <v>162.21877376436507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471.04625824042512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277.59999999999985</v>
      </c>
      <c r="O112" s="14">
        <f>N112*VLOOKUP('Données projet'!$B$9,Paramètres!$A$1:$I$89,3,0)*VLOOKUP('Données projet'!$B$9,Paramètres!$A$1:$I$89,5,0)</f>
        <v>281.48639999999989</v>
      </c>
      <c r="P112" s="14">
        <f t="shared" si="87"/>
        <v>67.281031071373306</v>
      </c>
      <c r="Q112" s="22">
        <f t="shared" si="107"/>
        <v>607.43660911597499</v>
      </c>
      <c r="R112" s="62">
        <f t="shared" si="55"/>
        <v>900.76994244930825</v>
      </c>
      <c r="S112" s="62">
        <f ca="1">AVERAGE(OFFSET($R$3,0,0,'Données projet'!$E$9+1,1))-AVERAGE(OFFSET($H$3,0,0,'Données projet'!$E$9+1,1))</f>
        <v>257.49385297440318</v>
      </c>
      <c r="T112" s="62">
        <f t="shared" si="88"/>
        <v>171.3281518185355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43.397106440179265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43.397106440179265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-1.064108801074326E-13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174.86489869124688</v>
      </c>
      <c r="AO112" s="62">
        <f t="shared" si="90"/>
        <v>146.54591565663782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134.55300466229801</v>
      </c>
      <c r="AV112" s="23">
        <f>EXP(-LN(2)/25)*AV111+(1-EXP(-LN(2)/25))/(LN(2)/25)*Calculateur!AQ112*Calculateur!AS112*VLOOKUP('Données projet'!$B$10,Paramètres!$A$1:$I$89,3,0)*0.475*44/12</f>
        <v>23.384771066014089</v>
      </c>
      <c r="AW112" s="23">
        <f>EXP(-LN(2)/2)*AW111+(1-EXP(-LN(2)/2))/(LN(2)/2)*AQ112*AT112*VLOOKUP('Données projet'!$B$10,Paramètres!$A$1:$I$89,3,0)*0.475*44/12</f>
        <v>0.65922574568070802</v>
      </c>
      <c r="AX112" s="23">
        <f t="shared" si="60"/>
        <v>158.5970014739928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472.6353496766186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282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281.99999999999983</v>
      </c>
      <c r="O113" s="14">
        <f>N113*VLOOKUP('Données projet'!$B$9,Paramètres!$A$1:$I$89,3,0)*VLOOKUP('Données projet'!$B$9,Paramètres!$A$1:$I$89,5,0)</f>
        <v>285.94799999999987</v>
      </c>
      <c r="P113" s="14">
        <f t="shared" si="87"/>
        <v>68.222450362989377</v>
      </c>
      <c r="Q113" s="22">
        <f t="shared" si="107"/>
        <v>616.84686771553959</v>
      </c>
      <c r="R113" s="62">
        <f t="shared" si="55"/>
        <v>910.18020104887296</v>
      </c>
      <c r="S113" s="62">
        <f ca="1">AVERAGE(OFFSET($R$3,0,0,'Données projet'!$E$9+1,1))-AVERAGE(OFFSET($H$3,0,0,'Données projet'!$E$9+1,1))</f>
        <v>257.49385297440318</v>
      </c>
      <c r="T113" s="62">
        <f t="shared" si="88"/>
        <v>171.3281518185355</v>
      </c>
      <c r="U113" s="16">
        <f>IF(ISNA(VLOOKUP(A113,'Données projet'!$A$35:$I$55,3,0)),0,VLOOKUP(A113,'Données projet'!$A$35:$I$55,3,0))</f>
        <v>20</v>
      </c>
      <c r="V113" s="16">
        <f>IF(ISNA(VLOOKUP(A113,'Données projet'!$A$35:$I$55,4,0)),0,VLOOKUP(A113,'Données projet'!$A$35:$I$55,4,0))</f>
        <v>282</v>
      </c>
      <c r="W113" s="17">
        <f>IF(ISNA(VLOOKUP(A113,'Données projet'!$A$35:$I$55,5,0)),0%,VLOOKUP(A113,'Données projet'!$A$35:$I$55,5,0)*VLOOKUP('Données projet'!$B$9,Paramètres!$A$1:$I$89,7,0))</f>
        <v>0.34400000000000003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151.2869388183293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151.2869388183293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-1.064108801074326E-13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174.86489869124688</v>
      </c>
      <c r="AO113" s="62">
        <f t="shared" si="90"/>
        <v>146.54591565663782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131.91450231009952</v>
      </c>
      <c r="AV113" s="23">
        <f>EXP(-LN(2)/25)*AV112+(1-EXP(-LN(2)/25))/(LN(2)/25)*Calculateur!AQ113*Calculateur!AS113*VLOOKUP('Données projet'!$B$10,Paramètres!$A$1:$I$89,3,0)*0.475*44/12</f>
        <v>22.745313271462269</v>
      </c>
      <c r="AW113" s="23">
        <f>EXP(-LN(2)/2)*AW112+(1-EXP(-LN(2)/2))/(LN(2)/2)*AQ113*AT113*VLOOKUP('Données projet'!$B$10,Paramètres!$A$1:$I$89,3,0)*0.475*44/12</f>
        <v>0.46614299510358709</v>
      </c>
      <c r="AX113" s="23">
        <f t="shared" si="60"/>
        <v>155.12595857666537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474.2241110226139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-1.72917680174578E-13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257.49385297440318</v>
      </c>
      <c r="T114" s="62">
        <f t="shared" si="88"/>
        <v>171.3281518185355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148.32029422402306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148.32029422402306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-1.064108801074326E-13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174.86489869124688</v>
      </c>
      <c r="AO114" s="62">
        <f t="shared" si="90"/>
        <v>146.54591565663782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129.32773937970012</v>
      </c>
      <c r="AV114" s="23">
        <f>EXP(-LN(2)/25)*AV113+(1-EXP(-LN(2)/25))/(LN(2)/25)*Calculateur!AQ114*Calculateur!AS114*VLOOKUP('Données projet'!$B$10,Paramètres!$A$1:$I$89,3,0)*0.475*44/12</f>
        <v>22.123341483930094</v>
      </c>
      <c r="AW114" s="23">
        <f>EXP(-LN(2)/2)*AW113+(1-EXP(-LN(2)/2))/(LN(2)/2)*AQ114*AT114*VLOOKUP('Données projet'!$B$10,Paramètres!$A$1:$I$89,3,0)*0.475*44/12</f>
        <v>0.32961287284035407</v>
      </c>
      <c r="AX114" s="23">
        <f t="shared" si="60"/>
        <v>151.78069373647057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475.81254559669543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-1.72917680174578E-13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257.49385297440318</v>
      </c>
      <c r="T115" s="62">
        <f t="shared" si="88"/>
        <v>171.3281518185355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145.41182372073663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145.41182372073663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-1.064108801074326E-13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174.86489869124688</v>
      </c>
      <c r="AO115" s="62">
        <f t="shared" si="90"/>
        <v>146.54591565663782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126.79170129259626</v>
      </c>
      <c r="AV115" s="23">
        <f>EXP(-LN(2)/25)*AV114+(1-EXP(-LN(2)/25))/(LN(2)/25)*Calculateur!AQ115*Calculateur!AS115*VLOOKUP('Données projet'!$B$10,Paramètres!$A$1:$I$89,3,0)*0.475*44/12</f>
        <v>21.51837754763606</v>
      </c>
      <c r="AW115" s="23">
        <f>EXP(-LN(2)/2)*AW114+(1-EXP(-LN(2)/2))/(LN(2)/2)*AQ115*AT115*VLOOKUP('Données projet'!$B$10,Paramètres!$A$1:$I$89,3,0)*0.475*44/12</f>
        <v>0.23307149755179357</v>
      </c>
      <c r="AX115" s="23">
        <f t="shared" si="60"/>
        <v>148.54315033778411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477.40065665447366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-1.72917680174578E-13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257.49385297440318</v>
      </c>
      <c r="T116" s="62">
        <f t="shared" si="88"/>
        <v>171.3281518185355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142.5603865500278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142.5603865500278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-1.064108801074326E-13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174.86489869124688</v>
      </c>
      <c r="AO116" s="62">
        <f t="shared" si="90"/>
        <v>146.54591565663782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124.30539336555</v>
      </c>
      <c r="AV116" s="23">
        <f>EXP(-LN(2)/25)*AV115+(1-EXP(-LN(2)/25))/(LN(2)/25)*Calculateur!AQ116*Calculateur!AS116*VLOOKUP('Données projet'!$B$10,Paramètres!$A$1:$I$89,3,0)*0.475*44/12</f>
        <v>20.929956381993659</v>
      </c>
      <c r="AW116" s="23">
        <f>EXP(-LN(2)/2)*AW115+(1-EXP(-LN(2)/2))/(LN(2)/2)*AQ116*AT116*VLOOKUP('Données projet'!$B$10,Paramètres!$A$1:$I$89,3,0)*0.475*44/12</f>
        <v>0.16480643642017706</v>
      </c>
      <c r="AX116" s="23">
        <f t="shared" si="60"/>
        <v>145.40015618396384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478.98844739061326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-1.72917680174578E-13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257.49385297440318</v>
      </c>
      <c r="T117" s="62">
        <f t="shared" si="88"/>
        <v>171.3281518185355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139.76486432303162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139.76486432303162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-1.064108801074326E-13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174.86489869124688</v>
      </c>
      <c r="AO117" s="62">
        <f t="shared" si="90"/>
        <v>146.54591565663782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121.86784042045504</v>
      </c>
      <c r="AV117" s="23">
        <f>EXP(-LN(2)/25)*AV116+(1-EXP(-LN(2)/25))/(LN(2)/25)*Calculateur!AQ117*Calculateur!AS117*VLOOKUP('Données projet'!$B$10,Paramètres!$A$1:$I$89,3,0)*0.475*44/12</f>
        <v>20.35762562406947</v>
      </c>
      <c r="AW117" s="23">
        <f>EXP(-LN(2)/2)*AW116+(1-EXP(-LN(2)/2))/(LN(2)/2)*AQ117*AT117*VLOOKUP('Données projet'!$B$10,Paramètres!$A$1:$I$89,3,0)*0.475*44/12</f>
        <v>0.1165357487758968</v>
      </c>
      <c r="AX117" s="23">
        <f t="shared" si="60"/>
        <v>142.34200179330043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480.57592094049829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-1.72917680174578E-13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257.49385297440318</v>
      </c>
      <c r="T118" s="62">
        <f t="shared" si="88"/>
        <v>171.3281518185355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137.02416058180665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137.02416058180665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-1.064108801074326E-13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174.86489869124688</v>
      </c>
      <c r="AO118" s="62">
        <f t="shared" si="90"/>
        <v>146.54591565663782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119.47808640185289</v>
      </c>
      <c r="AV118" s="23">
        <f>EXP(-LN(2)/25)*AV117+(1-EXP(-LN(2)/25))/(LN(2)/25)*Calculateur!AQ118*Calculateur!AS118*VLOOKUP('Données projet'!$B$10,Paramètres!$A$1:$I$89,3,0)*0.475*44/12</f>
        <v>19.800945280818286</v>
      </c>
      <c r="AW118" s="23">
        <f>EXP(-LN(2)/2)*AW117+(1-EXP(-LN(2)/2))/(LN(2)/2)*AQ118*AT118*VLOOKUP('Données projet'!$B$10,Paramètres!$A$1:$I$89,3,0)*0.475*44/12</f>
        <v>8.2403218210088544E-2</v>
      </c>
      <c r="AX118" s="23">
        <f t="shared" si="60"/>
        <v>139.36143490088128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482.16308038183774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-1.72917680174578E-13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257.49385297440318</v>
      </c>
      <c r="T119" s="62">
        <f t="shared" si="88"/>
        <v>171.3281518185355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134.3372003692829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134.3372003692829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-1.064108801074326E-13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174.86489869124688</v>
      </c>
      <c r="AO119" s="62">
        <f t="shared" si="90"/>
        <v>146.54591565663782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117.13519400194951</v>
      </c>
      <c r="AV119" s="23">
        <f>EXP(-LN(2)/25)*AV118+(1-EXP(-LN(2)/25))/(LN(2)/25)*Calculateur!AQ119*Calculateur!AS119*VLOOKUP('Données projet'!$B$10,Paramètres!$A$1:$I$89,3,0)*0.475*44/12</f>
        <v>19.259487390827854</v>
      </c>
      <c r="AW119" s="23">
        <f>EXP(-LN(2)/2)*AW118+(1-EXP(-LN(2)/2))/(LN(2)/2)*AQ119*AT119*VLOOKUP('Données projet'!$B$10,Paramètres!$A$1:$I$89,3,0)*0.475*44/12</f>
        <v>5.8267874387948414E-2</v>
      </c>
      <c r="AX119" s="23">
        <f t="shared" si="60"/>
        <v>136.45294926716531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483.7499287362146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-1.72917680174578E-13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257.49385297440318</v>
      </c>
      <c r="T120" s="62">
        <f t="shared" si="88"/>
        <v>171.3281518185355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131.70292980764282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131.70292980764282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-1.064108801074326E-13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174.86489869124688</v>
      </c>
      <c r="AO120" s="62">
        <f t="shared" si="90"/>
        <v>146.54591565663782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114.83824429298498</v>
      </c>
      <c r="AV120" s="23">
        <f>EXP(-LN(2)/25)*AV119+(1-EXP(-LN(2)/25))/(LN(2)/25)*Calculateur!AQ120*Calculateur!AS120*VLOOKUP('Données projet'!$B$10,Paramètres!$A$1:$I$89,3,0)*0.475*44/12</f>
        <v>18.732835695313241</v>
      </c>
      <c r="AW120" s="23">
        <f>EXP(-LN(2)/2)*AW119+(1-EXP(-LN(2)/2))/(LN(2)/2)*AQ120*AT120*VLOOKUP('Données projet'!$B$10,Paramètres!$A$1:$I$89,3,0)*0.475*44/12</f>
        <v>4.1201609105044279E-2</v>
      </c>
      <c r="AX120" s="23">
        <f t="shared" si="60"/>
        <v>133.61228159740324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485.33646897057974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-1.72917680174578E-13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257.49385297440318</v>
      </c>
      <c r="T121" s="62">
        <f t="shared" si="88"/>
        <v>171.3281518185355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129.12031568497011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129.12031568497011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-1.064108801074326E-13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174.86489869124688</v>
      </c>
      <c r="AO121" s="62">
        <f t="shared" si="90"/>
        <v>146.54591565663782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112.58633636681225</v>
      </c>
      <c r="AV121" s="23">
        <f>EXP(-LN(2)/25)*AV120+(1-EXP(-LN(2)/25))/(LN(2)/25)*Calculateur!AQ121*Calculateur!AS121*VLOOKUP('Données projet'!$B$10,Paramètres!$A$1:$I$89,3,0)*0.475*44/12</f>
        <v>18.220585318107887</v>
      </c>
      <c r="AW121" s="23">
        <f>EXP(-LN(2)/2)*AW120+(1-EXP(-LN(2)/2))/(LN(2)/2)*AQ121*AT121*VLOOKUP('Données projet'!$B$10,Paramètres!$A$1:$I$89,3,0)*0.475*44/12</f>
        <v>2.913393719397421E-2</v>
      </c>
      <c r="AX121" s="23">
        <f t="shared" si="60"/>
        <v>130.83605562211409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486.92270399869466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-1.72917680174578E-13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257.49385297440318</v>
      </c>
      <c r="T122" s="62">
        <f t="shared" si="88"/>
        <v>171.3281518185355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126.58834505000394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126.58834505000394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-1.064108801074326E-13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174.86489869124688</v>
      </c>
      <c r="AO122" s="62">
        <f t="shared" si="90"/>
        <v>146.54591565663782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110.37858698154356</v>
      </c>
      <c r="AV122" s="23">
        <f>EXP(-LN(2)/25)*AV121+(1-EXP(-LN(2)/25))/(LN(2)/25)*Calculateur!AQ122*Calculateur!AS122*VLOOKUP('Données projet'!$B$10,Paramètres!$A$1:$I$89,3,0)*0.475*44/12</f>
        <v>17.72234245440529</v>
      </c>
      <c r="AW122" s="23">
        <f>EXP(-LN(2)/2)*AW121+(1-EXP(-LN(2)/2))/(LN(2)/2)*AQ122*AT122*VLOOKUP('Données projet'!$B$10,Paramètres!$A$1:$I$89,3,0)*0.475*44/12</f>
        <v>2.0600804552522143E-2</v>
      </c>
      <c r="AX122" s="23">
        <f t="shared" si="60"/>
        <v>128.12153024050136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488.50863668252316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-1.72917680174578E-13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257.49385297440318</v>
      </c>
      <c r="T123" s="62">
        <f t="shared" si="88"/>
        <v>171.3281518185355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124.10602481483986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124.10602481483986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-1.064108801074326E-13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174.86489869124688</v>
      </c>
      <c r="AO123" s="62">
        <f t="shared" si="90"/>
        <v>146.54591565663782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108.21413021512583</v>
      </c>
      <c r="AV123" s="23">
        <f>EXP(-LN(2)/25)*AV122+(1-EXP(-LN(2)/25))/(LN(2)/25)*Calculateur!AQ123*Calculateur!AS123*VLOOKUP('Données projet'!$B$10,Paramètres!$A$1:$I$89,3,0)*0.475*44/12</f>
        <v>17.237724068012092</v>
      </c>
      <c r="AW123" s="23">
        <f>EXP(-LN(2)/2)*AW122+(1-EXP(-LN(2)/2))/(LN(2)/2)*AQ123*AT123*VLOOKUP('Données projet'!$B$10,Paramètres!$A$1:$I$89,3,0)*0.475*44/12</f>
        <v>1.4566968596987109E-2</v>
      </c>
      <c r="AX123" s="23">
        <f t="shared" si="60"/>
        <v>125.4664212517349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490.09426983357662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-1.72917680174578E-13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257.49385297440318</v>
      </c>
      <c r="T124" s="62">
        <f t="shared" si="88"/>
        <v>171.3281518185355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121.6723813654215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121.6723813654215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-1.064108801074326E-13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174.86489869124688</v>
      </c>
      <c r="AO124" s="62">
        <f t="shared" si="90"/>
        <v>146.54591565663782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106.09211712570928</v>
      </c>
      <c r="AV124" s="23">
        <f>EXP(-LN(2)/25)*AV123+(1-EXP(-LN(2)/25))/(LN(2)/25)*Calculateur!AQ124*Calculateur!AS124*VLOOKUP('Données projet'!$B$10,Paramètres!$A$1:$I$89,3,0)*0.475*44/12</f>
        <v>16.766357596879789</v>
      </c>
      <c r="AW124" s="23">
        <f>EXP(-LN(2)/2)*AW123+(1-EXP(-LN(2)/2))/(LN(2)/2)*AQ124*AT124*VLOOKUP('Données projet'!$B$10,Paramètres!$A$1:$I$89,3,0)*0.475*44/12</f>
        <v>1.0300402276261073E-2</v>
      </c>
      <c r="AX124" s="23">
        <f t="shared" si="60"/>
        <v>122.86877512486532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491.67960621421241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-1.72917680174578E-13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257.49385297440318</v>
      </c>
      <c r="T125" s="62">
        <f t="shared" si="88"/>
        <v>171.3281518185355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119.28646017967031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119.28646017967031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-1.064108801074326E-13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174.86489869124688</v>
      </c>
      <c r="AO125" s="62">
        <f t="shared" si="90"/>
        <v>146.54591565663782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104.011715418676</v>
      </c>
      <c r="AV125" s="23">
        <f>EXP(-LN(2)/25)*AV124+(1-EXP(-LN(2)/25))/(LN(2)/25)*Calculateur!AQ125*Calculateur!AS125*VLOOKUP('Données projet'!$B$10,Paramètres!$A$1:$I$89,3,0)*0.475*44/12</f>
        <v>16.307880666688686</v>
      </c>
      <c r="AW125" s="23">
        <f>EXP(-LN(2)/2)*AW124+(1-EXP(-LN(2)/2))/(LN(2)/2)*AQ125*AT125*VLOOKUP('Données projet'!$B$10,Paramètres!$A$1:$I$89,3,0)*0.475*44/12</f>
        <v>7.2834842984935552E-3</v>
      </c>
      <c r="AX125" s="23">
        <f t="shared" si="60"/>
        <v>120.32687956966319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493.26464853888888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-1.72917680174578E-13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257.49385297440318</v>
      </c>
      <c r="T126" s="62">
        <f t="shared" si="88"/>
        <v>171.3281518185355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116.94732545310347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116.94732545310347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-1.064108801074326E-13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174.86489869124688</v>
      </c>
      <c r="AO126" s="62">
        <f t="shared" si="90"/>
        <v>146.54591565663782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101.97210912019791</v>
      </c>
      <c r="AV126" s="23">
        <f>EXP(-LN(2)/25)*AV125+(1-EXP(-LN(2)/25))/(LN(2)/25)*Calculateur!AQ126*Calculateur!AS126*VLOOKUP('Données projet'!$B$10,Paramètres!$A$1:$I$89,3,0)*0.475*44/12</f>
        <v>15.861940812263912</v>
      </c>
      <c r="AW126" s="23">
        <f>EXP(-LN(2)/2)*AW125+(1-EXP(-LN(2)/2))/(LN(2)/2)*AQ126*AT126*VLOOKUP('Données projet'!$B$10,Paramètres!$A$1:$I$89,3,0)*0.475*44/12</f>
        <v>5.1502011381305375E-3</v>
      </c>
      <c r="AX126" s="23">
        <f t="shared" si="60"/>
        <v>117.83920013359996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494.84939947537879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-1.72917680174578E-13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257.49385297440318</v>
      </c>
      <c r="T127" s="62">
        <f t="shared" si="88"/>
        <v>171.3281518185355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114.65405973179331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114.65405973179331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-1.064108801074326E-13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174.86489869124688</v>
      </c>
      <c r="AO127" s="62">
        <f t="shared" si="90"/>
        <v>146.54591565663782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99.972498257195966</v>
      </c>
      <c r="AV127" s="23">
        <f>EXP(-LN(2)/25)*AV126+(1-EXP(-LN(2)/25))/(LN(2)/25)*Calculateur!AQ127*Calculateur!AS127*VLOOKUP('Données projet'!$B$10,Paramètres!$A$1:$I$89,3,0)*0.475*44/12</f>
        <v>15.42819520660934</v>
      </c>
      <c r="AW127" s="23">
        <f>EXP(-LN(2)/2)*AW126+(1-EXP(-LN(2)/2))/(LN(2)/2)*AQ127*AT127*VLOOKUP('Données projet'!$B$10,Paramètres!$A$1:$I$89,3,0)*0.475*44/12</f>
        <v>3.641742149246778E-3</v>
      </c>
      <c r="AX127" s="23">
        <f t="shared" si="60"/>
        <v>115.40433520595455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496.43386164594193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-1.72917680174578E-13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257.49385297440318</v>
      </c>
      <c r="T128" s="62">
        <f t="shared" si="88"/>
        <v>171.3281518185355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112.40576355252406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112.40576355252406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-1.064108801074326E-13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174.86489869124688</v>
      </c>
      <c r="AO128" s="62">
        <f t="shared" si="90"/>
        <v>146.54591565663782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98.012098543575291</v>
      </c>
      <c r="AV128" s="23">
        <f>EXP(-LN(2)/25)*AV127+(1-EXP(-LN(2)/25))/(LN(2)/25)*Calculateur!AQ128*Calculateur!AS128*VLOOKUP('Données projet'!$B$10,Paramètres!$A$1:$I$89,3,0)*0.475*44/12</f>
        <v>15.006310397351083</v>
      </c>
      <c r="AW128" s="23">
        <f>EXP(-LN(2)/2)*AW127+(1-EXP(-LN(2)/2))/(LN(2)/2)*AQ128*AT128*VLOOKUP('Données projet'!$B$10,Paramètres!$A$1:$I$89,3,0)*0.475*44/12</f>
        <v>2.5751005690652687E-3</v>
      </c>
      <c r="AX128" s="23">
        <f t="shared" si="60"/>
        <v>113.02098404149544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498.0180376284593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-1.72917680174578E-13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257.49385297440318</v>
      </c>
      <c r="T129" s="62">
        <f t="shared" si="88"/>
        <v>171.3281518185355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110.20155509000503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110.20155509000503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-1.064108801074326E-13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174.86489869124688</v>
      </c>
      <c r="AO129" s="62">
        <f t="shared" si="90"/>
        <v>146.54591565663782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96.090141072612965</v>
      </c>
      <c r="AV129" s="23">
        <f>EXP(-LN(2)/25)*AV128+(1-EXP(-LN(2)/25))/(LN(2)/25)*Calculateur!AQ129*Calculateur!AS129*VLOOKUP('Données projet'!$B$10,Paramètres!$A$1:$I$89,3,0)*0.475*44/12</f>
        <v>14.595962050387952</v>
      </c>
      <c r="AW129" s="23">
        <f>EXP(-LN(2)/2)*AW128+(1-EXP(-LN(2)/2))/(LN(2)/2)*AQ129*AT129*VLOOKUP('Données projet'!$B$10,Paramètres!$A$1:$I$89,3,0)*0.475*44/12</f>
        <v>1.820871074623389E-3</v>
      </c>
      <c r="AX129" s="23">
        <f t="shared" si="60"/>
        <v>110.68792399407555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499.60192995753027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-1.72917680174578E-13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257.49385297440318</v>
      </c>
      <c r="T130" s="62">
        <f t="shared" si="88"/>
        <v>171.3281518185355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108.04056981100157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108.04056981100157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-1.064108801074326E-13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174.86489869124688</v>
      </c>
      <c r="AO130" s="62">
        <f t="shared" si="90"/>
        <v>146.54591565663782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94.205872015377906</v>
      </c>
      <c r="AV130" s="23">
        <f>EXP(-LN(2)/25)*AV129+(1-EXP(-LN(2)/25))/(LN(2)/25)*Calculateur!AQ130*Calculateur!AS130*VLOOKUP('Données projet'!$B$10,Paramètres!$A$1:$I$89,3,0)*0.475*44/12</f>
        <v>14.196834700551808</v>
      </c>
      <c r="AW130" s="23">
        <f>EXP(-LN(2)/2)*AW129+(1-EXP(-LN(2)/2))/(LN(2)/2)*AQ130*AT130*VLOOKUP('Données projet'!$B$10,Paramètres!$A$1:$I$89,3,0)*0.475*44/12</f>
        <v>1.2875502845326344E-3</v>
      </c>
      <c r="AX130" s="23">
        <f t="shared" si="60"/>
        <v>108.40399426621424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501.18554112553443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-1.72917680174578E-13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257.49385297440318</v>
      </c>
      <c r="T131" s="62">
        <f t="shared" si="88"/>
        <v>171.3281518185355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105.92196013524851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105.92196013524851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-1.064108801074326E-13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174.86489869124688</v>
      </c>
      <c r="AO131" s="62">
        <f t="shared" si="90"/>
        <v>146.54591565663782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92.358552325064579</v>
      </c>
      <c r="AV131" s="23">
        <f>EXP(-LN(2)/25)*AV130+(1-EXP(-LN(2)/25))/(LN(2)/25)*Calculateur!AQ131*Calculateur!AS131*VLOOKUP('Données projet'!$B$10,Paramètres!$A$1:$I$89,3,0)*0.475*44/12</f>
        <v>13.808621509086128</v>
      </c>
      <c r="AW131" s="23">
        <f>EXP(-LN(2)/2)*AW130+(1-EXP(-LN(2)/2))/(LN(2)/2)*AQ131*AT131*VLOOKUP('Données projet'!$B$10,Paramètres!$A$1:$I$89,3,0)*0.475*44/12</f>
        <v>9.1043553731169451E-4</v>
      </c>
      <c r="AX131" s="23">
        <f t="shared" si="60"/>
        <v>106.16808426968801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502.76887358365883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-1.72917680174578E-13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257.49385297440318</v>
      </c>
      <c r="T132" s="62">
        <f t="shared" si="88"/>
        <v>171.3281518185355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103.84489510301266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103.84489510301266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-1.064108801074326E-13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174.86489869124688</v>
      </c>
      <c r="AO132" s="62">
        <f t="shared" si="90"/>
        <v>146.54591565663782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90.547457447124543</v>
      </c>
      <c r="AV132" s="23">
        <f>EXP(-LN(2)/25)*AV131+(1-EXP(-LN(2)/25))/(LN(2)/25)*Calculateur!AQ132*Calculateur!AS132*VLOOKUP('Données projet'!$B$10,Paramètres!$A$1:$I$89,3,0)*0.475*44/12</f>
        <v>13.431024027756322</v>
      </c>
      <c r="AW132" s="23">
        <f>EXP(-LN(2)/2)*AW131+(1-EXP(-LN(2)/2))/(LN(2)/2)*AQ132*AT132*VLOOKUP('Données projet'!$B$10,Paramètres!$A$1:$I$89,3,0)*0.475*44/12</f>
        <v>6.4377514226631718E-4</v>
      </c>
      <c r="AX132" s="23">
        <f t="shared" ref="AX132:AX153" si="114">SUM(AU132:AW132)</f>
        <v>103.97912525002313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504.35192974289276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-1.72917680174578E-13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257.49385297440318</v>
      </c>
      <c r="T133" s="62">
        <f t="shared" ref="T133:T196" si="142">$T$3</f>
        <v>171.3281518185355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101.80856004917437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101.80856004917437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-1.064108801074326E-13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174.86489869124688</v>
      </c>
      <c r="AO133" s="62">
        <f t="shared" ref="AO133:AO196" si="144">$AO$3</f>
        <v>146.54591565663782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88.771877035082113</v>
      </c>
      <c r="AV133" s="23">
        <f>EXP(-LN(2)/25)*AV132+(1-EXP(-LN(2)/25))/(LN(2)/25)*Calculateur!AQ133*Calculateur!AS133*VLOOKUP('Données projet'!$B$10,Paramètres!$A$1:$I$89,3,0)*0.475*44/12</f>
        <v>13.06375196941047</v>
      </c>
      <c r="AW133" s="23">
        <f>EXP(-LN(2)/2)*AW132+(1-EXP(-LN(2)/2))/(LN(2)/2)*AQ133*AT133*VLOOKUP('Données projet'!$B$10,Paramètres!$A$1:$I$89,3,0)*0.475*44/12</f>
        <v>4.5521776865584725E-4</v>
      </c>
      <c r="AX133" s="23">
        <f t="shared" si="114"/>
        <v>101.83608422226125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505.93471197499105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-1.72917680174578E-13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257.49385297440318</v>
      </c>
      <c r="T134" s="62">
        <f t="shared" si="142"/>
        <v>171.3281518185355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99.812156283700119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99.812156283700119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-1.064108801074326E-13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174.86489869124688</v>
      </c>
      <c r="AO134" s="62">
        <f t="shared" si="144"/>
        <v>146.54591565663782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87.031114671922722</v>
      </c>
      <c r="AV134" s="23">
        <f>EXP(-LN(2)/25)*AV133+(1-EXP(-LN(2)/25))/(LN(2)/25)*Calculateur!AQ134*Calculateur!AS134*VLOOKUP('Données projet'!$B$10,Paramètres!$A$1:$I$89,3,0)*0.475*44/12</f>
        <v>12.706522984814082</v>
      </c>
      <c r="AW134" s="23">
        <f>EXP(-LN(2)/2)*AW133+(1-EXP(-LN(2)/2))/(LN(2)/2)*AQ134*AT134*VLOOKUP('Données projet'!$B$10,Paramètres!$A$1:$I$89,3,0)*0.475*44/12</f>
        <v>3.2188757113315859E-4</v>
      </c>
      <c r="AX134" s="23">
        <f t="shared" si="114"/>
        <v>99.737959544307941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507.51722261340717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-1.72917680174578E-13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257.49385297440318</v>
      </c>
      <c r="T135" s="62">
        <f t="shared" si="142"/>
        <v>171.3281518185355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97.854900778380753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97.854900778380753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174.86489869124688</v>
      </c>
      <c r="AO135" s="62">
        <f t="shared" si="144"/>
        <v>146.54591565663782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85.324487596944678</v>
      </c>
      <c r="AV135" s="23">
        <f>EXP(-LN(2)/25)*AV134+(1-EXP(-LN(2)/25))/(LN(2)/25)*Calculateur!AQ135*Calculateur!AS135*VLOOKUP('Données projet'!$B$10,Paramètres!$A$1:$I$89,3,0)*0.475*44/12</f>
        <v>12.359062445587339</v>
      </c>
      <c r="AW135" s="23">
        <f>EXP(-LN(2)/2)*AW134+(1-EXP(-LN(2)/2))/(LN(2)/2)*AQ135*AT135*VLOOKUP('Données projet'!$B$10,Paramètres!$A$1:$I$89,3,0)*0.475*44/12</f>
        <v>2.2760888432792363E-4</v>
      </c>
      <c r="AX135" s="23">
        <f t="shared" si="114"/>
        <v>97.683777651416349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509.09946395419666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-1.72917680174578E-13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257.49385297440318</v>
      </c>
      <c r="T136" s="62">
        <f t="shared" si="142"/>
        <v>171.3281518185355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95.936025859712714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95.936025859712714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174.86489869124688</v>
      </c>
      <c r="AO136" s="62">
        <f t="shared" si="144"/>
        <v>146.54591565663782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83.651326437967228</v>
      </c>
      <c r="AV136" s="23">
        <f>EXP(-LN(2)/25)*AV135+(1-EXP(-LN(2)/25))/(LN(2)/25)*Calculateur!AQ136*Calculateur!AS136*VLOOKUP('Données projet'!$B$10,Paramètres!$A$1:$I$89,3,0)*0.475*44/12</f>
        <v>12.021103233077907</v>
      </c>
      <c r="AW136" s="23">
        <f>EXP(-LN(2)/2)*AW135+(1-EXP(-LN(2)/2))/(LN(2)/2)*AQ136*AT136*VLOOKUP('Données projet'!$B$10,Paramètres!$A$1:$I$89,3,0)*0.475*44/12</f>
        <v>1.609437855665793E-4</v>
      </c>
      <c r="AX136" s="23">
        <f t="shared" si="114"/>
        <v>95.67259061483071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510.68143825689367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-1.72917680174578E-13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257.49385297440318</v>
      </c>
      <c r="T137" s="62">
        <f t="shared" si="142"/>
        <v>171.3281518185355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94.054778907801619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94.054778907801619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174.86489869124688</v>
      </c>
      <c r="AO137" s="62">
        <f t="shared" si="144"/>
        <v>146.54591565663782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82.01097494878978</v>
      </c>
      <c r="AV137" s="23">
        <f>EXP(-LN(2)/25)*AV136+(1-EXP(-LN(2)/25))/(LN(2)/25)*Calculateur!AQ137*Calculateur!AS137*VLOOKUP('Données projet'!$B$10,Paramètres!$A$1:$I$89,3,0)*0.475*44/12</f>
        <v>11.692385533007048</v>
      </c>
      <c r="AW137" s="23">
        <f>EXP(-LN(2)/2)*AW136+(1-EXP(-LN(2)/2))/(LN(2)/2)*AQ137*AT137*VLOOKUP('Données projet'!$B$10,Paramètres!$A$1:$I$89,3,0)*0.475*44/12</f>
        <v>1.1380444216396181E-4</v>
      </c>
      <c r="AX137" s="23">
        <f t="shared" si="114"/>
        <v>93.703474286239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512.26314774535967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-1.72917680174578E-13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257.49385297440318</v>
      </c>
      <c r="T138" s="62">
        <f t="shared" si="142"/>
        <v>171.3281518185355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92.210422061170163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92.210422061170163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174.86489869124688</v>
      </c>
      <c r="AO138" s="62">
        <f t="shared" si="144"/>
        <v>146.54591565663782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80.402789751799489</v>
      </c>
      <c r="AV138" s="23">
        <f>EXP(-LN(2)/25)*AV137+(1-EXP(-LN(2)/25))/(LN(2)/25)*Calculateur!AQ138*Calculateur!AS138*VLOOKUP('Données projet'!$B$10,Paramètres!$A$1:$I$89,3,0)*0.475*44/12</f>
        <v>11.372656635731138</v>
      </c>
      <c r="AW138" s="23">
        <f>EXP(-LN(2)/2)*AW137+(1-EXP(-LN(2)/2))/(LN(2)/2)*AQ138*AT138*VLOOKUP('Données projet'!$B$10,Paramètres!$A$1:$I$89,3,0)*0.475*44/12</f>
        <v>8.0471892783289648E-5</v>
      </c>
      <c r="AX138" s="23">
        <f t="shared" si="114"/>
        <v>91.775526859423408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513.8445946086066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-1.72917680174578E-13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257.49385297440318</v>
      </c>
      <c r="T139" s="62">
        <f t="shared" si="142"/>
        <v>171.3281518185355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90.402231927354563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90.402231927354563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174.86489869124688</v>
      </c>
      <c r="AO139" s="62">
        <f t="shared" si="144"/>
        <v>146.54591565663782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78.826140085626065</v>
      </c>
      <c r="AV139" s="23">
        <f>EXP(-LN(2)/25)*AV138+(1-EXP(-LN(2)/25))/(LN(2)/25)*Calculateur!AQ139*Calculateur!AS139*VLOOKUP('Données projet'!$B$10,Paramètres!$A$1:$I$89,3,0)*0.475*44/12</f>
        <v>11.061670741965051</v>
      </c>
      <c r="AW139" s="23">
        <f>EXP(-LN(2)/2)*AW138+(1-EXP(-LN(2)/2))/(LN(2)/2)*AQ139*AT139*VLOOKUP('Données projet'!$B$10,Paramètres!$A$1:$I$89,3,0)*0.475*44/12</f>
        <v>5.6902221081980907E-5</v>
      </c>
      <c r="AX139" s="23">
        <f t="shared" si="114"/>
        <v>89.887867729812186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515.42578100159517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-1.72917680174578E-13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257.49385297440318</v>
      </c>
      <c r="T140" s="62">
        <f t="shared" si="142"/>
        <v>171.3281518185355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88.629499299176004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88.629499299176004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174.86489869124688</v>
      </c>
      <c r="AO140" s="62">
        <f t="shared" si="144"/>
        <v>146.54591565663782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77.280407557744965</v>
      </c>
      <c r="AV140" s="23">
        <f>EXP(-LN(2)/25)*AV139+(1-EXP(-LN(2)/25))/(LN(2)/25)*Calculateur!AQ140*Calculateur!AS140*VLOOKUP('Données projet'!$B$10,Paramètres!$A$1:$I$89,3,0)*0.475*44/12</f>
        <v>10.759188773818034</v>
      </c>
      <c r="AW140" s="23">
        <f>EXP(-LN(2)/2)*AW139+(1-EXP(-LN(2)/2))/(LN(2)/2)*AQ140*AT140*VLOOKUP('Données projet'!$B$10,Paramètres!$A$1:$I$89,3,0)*0.475*44/12</f>
        <v>4.0235946391644824E-5</v>
      </c>
      <c r="AX140" s="23">
        <f t="shared" si="114"/>
        <v>88.03963656750939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517.00670904600918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-1.72917680174578E-13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257.49385297440318</v>
      </c>
      <c r="T141" s="62">
        <f t="shared" si="142"/>
        <v>171.3281518185355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86.89152887657589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86.89152887657589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174.86489869124688</v>
      </c>
      <c r="AO141" s="62">
        <f t="shared" si="144"/>
        <v>146.54591565663782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75.764985901931865</v>
      </c>
      <c r="AV141" s="23">
        <f>EXP(-LN(2)/25)*AV140+(1-EXP(-LN(2)/25))/(LN(2)/25)*Calculateur!AQ141*Calculateur!AS141*VLOOKUP('Données projet'!$B$10,Paramètres!$A$1:$I$89,3,0)*0.475*44/12</f>
        <v>10.464978190996833</v>
      </c>
      <c r="AW141" s="23">
        <f>EXP(-LN(2)/2)*AW140+(1-EXP(-LN(2)/2))/(LN(2)/2)*AQ141*AT141*VLOOKUP('Données projet'!$B$10,Paramètres!$A$1:$I$89,3,0)*0.475*44/12</f>
        <v>2.8451110540990453E-5</v>
      </c>
      <c r="AX141" s="23">
        <f t="shared" si="114"/>
        <v>86.229992544039234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518.58738083100661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-1.72917680174578E-13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257.49385297440318</v>
      </c>
      <c r="T142" s="62">
        <f t="shared" si="142"/>
        <v>171.3281518185355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85.187638993905679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85.187638993905679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174.86489869124688</v>
      </c>
      <c r="AO142" s="62">
        <f t="shared" si="144"/>
        <v>146.54591565663782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74.279280740473311</v>
      </c>
      <c r="AV142" s="23">
        <f>EXP(-LN(2)/25)*AV141+(1-EXP(-LN(2)/25))/(LN(2)/25)*Calculateur!AQ142*Calculateur!AS142*VLOOKUP('Données projet'!$B$10,Paramètres!$A$1:$I$89,3,0)*0.475*44/12</f>
        <v>10.178812812034739</v>
      </c>
      <c r="AW142" s="23">
        <f>EXP(-LN(2)/2)*AW141+(1-EXP(-LN(2)/2))/(LN(2)/2)*AQ142*AT142*VLOOKUP('Données projet'!$B$10,Paramètres!$A$1:$I$89,3,0)*0.475*44/12</f>
        <v>2.0117973195822412E-5</v>
      </c>
      <c r="AX142" s="23">
        <f t="shared" si="114"/>
        <v>84.458113670481239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520.16779841394873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-1.72917680174578E-13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257.49385297440318</v>
      </c>
      <c r="T143" s="62">
        <f t="shared" si="142"/>
        <v>171.3281518185355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83.517161352564415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83.517161352564415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174.86489869124688</v>
      </c>
      <c r="AO143" s="62">
        <f t="shared" si="144"/>
        <v>146.54591565663782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72.822709351040302</v>
      </c>
      <c r="AV143" s="23">
        <f>EXP(-LN(2)/25)*AV142+(1-EXP(-LN(2)/25))/(LN(2)/25)*Calculateur!AQ143*Calculateur!AS143*VLOOKUP('Données projet'!$B$10,Paramètres!$A$1:$I$89,3,0)*0.475*44/12</f>
        <v>9.9004726404091468</v>
      </c>
      <c r="AW143" s="23">
        <f>EXP(-LN(2)/2)*AW142+(1-EXP(-LN(2)/2))/(LN(2)/2)*AQ143*AT143*VLOOKUP('Données projet'!$B$10,Paramètres!$A$1:$I$89,3,0)*0.475*44/12</f>
        <v>1.4225555270495227E-5</v>
      </c>
      <c r="AX143" s="23">
        <f t="shared" si="114"/>
        <v>82.723196217004727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521.74796382110731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-1.72917680174578E-13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257.49385297440318</v>
      </c>
      <c r="T144" s="62">
        <f t="shared" si="142"/>
        <v>171.3281518185355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81.879440758879099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81.879440758879099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174.86489869124688</v>
      </c>
      <c r="AO144" s="62">
        <f t="shared" si="144"/>
        <v>146.54591565663782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71.394700438133242</v>
      </c>
      <c r="AV144" s="23">
        <f>EXP(-LN(2)/25)*AV143+(1-EXP(-LN(2)/25))/(LN(2)/25)*Calculateur!AQ144*Calculateur!AS144*VLOOKUP('Données projet'!$B$10,Paramètres!$A$1:$I$89,3,0)*0.475*44/12</f>
        <v>9.6297436954139304</v>
      </c>
      <c r="AW144" s="23">
        <f>EXP(-LN(2)/2)*AW143+(1-EXP(-LN(2)/2))/(LN(2)/2)*AQ144*AT144*VLOOKUP('Données projet'!$B$10,Paramètres!$A$1:$I$89,3,0)*0.475*44/12</f>
        <v>1.0058986597911206E-5</v>
      </c>
      <c r="AX144" s="23">
        <f t="shared" si="114"/>
        <v>81.024454192533781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523.3278790483522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-1.72917680174578E-13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257.49385297440318</v>
      </c>
      <c r="T145" s="62">
        <f t="shared" si="142"/>
        <v>171.3281518185355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80.273834867125032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80.273834867125032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174.86489869124688</v>
      </c>
      <c r="AO145" s="62">
        <f t="shared" si="144"/>
        <v>146.54591565663782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69.994693909008859</v>
      </c>
      <c r="AV145" s="23">
        <f>EXP(-LN(2)/25)*AV144+(1-EXP(-LN(2)/25))/(LN(2)/25)*Calculateur!AQ145*Calculateur!AS145*VLOOKUP('Données projet'!$B$10,Paramètres!$A$1:$I$89,3,0)*0.475*44/12</f>
        <v>9.3664178476566242</v>
      </c>
      <c r="AW145" s="23">
        <f>EXP(-LN(2)/2)*AW144+(1-EXP(-LN(2)/2))/(LN(2)/2)*AQ145*AT145*VLOOKUP('Données projet'!$B$10,Paramètres!$A$1:$I$89,3,0)*0.475*44/12</f>
        <v>7.1127776352476133E-6</v>
      </c>
      <c r="AX145" s="23">
        <f t="shared" si="114"/>
        <v>79.361118869443118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524.90754606181736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-1.72917680174578E-13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257.49385297440318</v>
      </c>
      <c r="T146" s="62">
        <f t="shared" si="142"/>
        <v>171.3281518185355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78.699713927585364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78.699713927585364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174.86489869124688</v>
      </c>
      <c r="AO146" s="62">
        <f t="shared" si="144"/>
        <v>146.54591565663782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68.622140654000944</v>
      </c>
      <c r="AV146" s="23">
        <f>EXP(-LN(2)/25)*AV145+(1-EXP(-LN(2)/25))/(LN(2)/25)*Calculateur!AQ146*Calculateur!AS146*VLOOKUP('Données projet'!$B$10,Paramètres!$A$1:$I$89,3,0)*0.475*44/12</f>
        <v>9.1102926590539468</v>
      </c>
      <c r="AW146" s="23">
        <f>EXP(-LN(2)/2)*AW145+(1-EXP(-LN(2)/2))/(LN(2)/2)*AQ146*AT146*VLOOKUP('Données projet'!$B$10,Paramètres!$A$1:$I$89,3,0)*0.475*44/12</f>
        <v>5.029493298955603E-6</v>
      </c>
      <c r="AX146" s="23">
        <f t="shared" si="114"/>
        <v>77.732438342548178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526.48696679854902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-1.72917680174578E-13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257.49385297440318</v>
      </c>
      <c r="T147" s="62">
        <f t="shared" si="142"/>
        <v>171.3281518185355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77.156460539551105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77.156460539551105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174.86489869124688</v>
      </c>
      <c r="AO147" s="62">
        <f t="shared" si="144"/>
        <v>146.54591565663782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67.276502331148905</v>
      </c>
      <c r="AV147" s="23">
        <f>EXP(-LN(2)/25)*AV146+(1-EXP(-LN(2)/25))/(LN(2)/25)*Calculateur!AQ147*Calculateur!AS147*VLOOKUP('Données projet'!$B$10,Paramètres!$A$1:$I$89,3,0)*0.475*44/12</f>
        <v>8.8611712272026484</v>
      </c>
      <c r="AW147" s="23">
        <f>EXP(-LN(2)/2)*AW146+(1-EXP(-LN(2)/2))/(LN(2)/2)*AQ147*AT147*VLOOKUP('Données projet'!$B$10,Paramètres!$A$1:$I$89,3,0)*0.475*44/12</f>
        <v>3.5563888176238067E-6</v>
      </c>
      <c r="AX147" s="23">
        <f t="shared" si="114"/>
        <v>76.13767711474037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528.06614316713558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-1.72917680174578E-13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257.49385297440318</v>
      </c>
      <c r="T148" s="62">
        <f t="shared" si="142"/>
        <v>171.3281518185355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75.643469409164567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75.643469409164567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174.86489869124688</v>
      </c>
      <c r="AO148" s="62">
        <f t="shared" si="144"/>
        <v>146.54591565663782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65.957251155049661</v>
      </c>
      <c r="AV148" s="23">
        <f>EXP(-LN(2)/25)*AV147+(1-EXP(-LN(2)/25))/(LN(2)/25)*Calculateur!AQ148*Calculateur!AS148*VLOOKUP('Données projet'!$B$10,Paramètres!$A$1:$I$89,3,0)*0.475*44/12</f>
        <v>8.6188620340060496</v>
      </c>
      <c r="AW148" s="23">
        <f>EXP(-LN(2)/2)*AW147+(1-EXP(-LN(2)/2))/(LN(2)/2)*AQ148*AT148*VLOOKUP('Données projet'!$B$10,Paramètres!$A$1:$I$89,3,0)*0.475*44/12</f>
        <v>2.5147466494778015E-6</v>
      </c>
      <c r="AX148" s="23">
        <f t="shared" si="114"/>
        <v>74.576115703802373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529.64507704831817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-1.72917680174578E-13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257.49385297440318</v>
      </c>
      <c r="T149" s="62">
        <f t="shared" si="142"/>
        <v>171.3281518185355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74.160147112011444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74.160147112011444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174.86489869124688</v>
      </c>
      <c r="AO149" s="62">
        <f t="shared" si="144"/>
        <v>146.54591565663782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64.66386968984996</v>
      </c>
      <c r="AV149" s="23">
        <f>EXP(-LN(2)/25)*AV148+(1-EXP(-LN(2)/25))/(LN(2)/25)*Calculateur!AQ149*Calculateur!AS149*VLOOKUP('Données projet'!$B$10,Paramètres!$A$1:$I$89,3,0)*0.475*44/12</f>
        <v>8.3831787984398982</v>
      </c>
      <c r="AW149" s="23">
        <f>EXP(-LN(2)/2)*AW148+(1-EXP(-LN(2)/2))/(LN(2)/2)*AQ149*AT149*VLOOKUP('Données projet'!$B$10,Paramètres!$A$1:$I$89,3,0)*0.475*44/12</f>
        <v>1.7781944088119033E-6</v>
      </c>
      <c r="AX149" s="23">
        <f t="shared" si="114"/>
        <v>73.047050266484263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531.22377029558493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-1.72917680174578E-13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257.49385297440318</v>
      </c>
      <c r="T150" s="62">
        <f t="shared" si="142"/>
        <v>171.3281518185355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72.705911860368232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72.705911860368232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174.86489869124688</v>
      </c>
      <c r="AO150" s="62">
        <f t="shared" si="144"/>
        <v>146.54591565663782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63.39585064629803</v>
      </c>
      <c r="AV150" s="23">
        <f>EXP(-LN(2)/25)*AV149+(1-EXP(-LN(2)/25))/(LN(2)/25)*Calculateur!AQ150*Calculateur!AS150*VLOOKUP('Données projet'!$B$10,Paramètres!$A$1:$I$89,3,0)*0.475*44/12</f>
        <v>8.1539403333443463</v>
      </c>
      <c r="AW150" s="23">
        <f>EXP(-LN(2)/2)*AW149+(1-EXP(-LN(2)/2))/(LN(2)/2)*AQ150*AT150*VLOOKUP('Données projet'!$B$10,Paramètres!$A$1:$I$89,3,0)*0.475*44/12</f>
        <v>1.2573733247389008E-6</v>
      </c>
      <c r="AX150" s="23">
        <f t="shared" si="114"/>
        <v>71.549792237015708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532.80222473574895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-1.72917680174578E-13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257.49385297440318</v>
      </c>
      <c r="T151" s="62">
        <f t="shared" si="142"/>
        <v>171.3281518185355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71.280193275013815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71.280193275013815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174.86489869124688</v>
      </c>
      <c r="AO151" s="62">
        <f t="shared" si="144"/>
        <v>146.54591565663782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62.152696682774909</v>
      </c>
      <c r="AV151" s="23">
        <f>EXP(-LN(2)/25)*AV150+(1-EXP(-LN(2)/25))/(LN(2)/25)*Calculateur!AQ151*Calculateur!AS151*VLOOKUP('Données projet'!$B$10,Paramètres!$A$1:$I$89,3,0)*0.475*44/12</f>
        <v>7.9309704061319595</v>
      </c>
      <c r="AW151" s="23">
        <f>EXP(-LN(2)/2)*AW150+(1-EXP(-LN(2)/2))/(LN(2)/2)*AQ151*AT151*VLOOKUP('Données projet'!$B$10,Paramètres!$A$1:$I$89,3,0)*0.475*44/12</f>
        <v>8.8909720440595167E-7</v>
      </c>
      <c r="AX151" s="23">
        <f t="shared" si="114"/>
        <v>70.083667978004073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534.38044216950959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-1.72917680174578E-13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257.49385297440318</v>
      </c>
      <c r="T152" s="62">
        <f t="shared" si="142"/>
        <v>171.3281518185355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69.882432161515737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69.882432161515737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174.86489869124688</v>
      </c>
      <c r="AO152" s="62">
        <f t="shared" si="144"/>
        <v>146.54591565663782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60.933920210227427</v>
      </c>
      <c r="AV152" s="23">
        <f>EXP(-LN(2)/25)*AV151+(1-EXP(-LN(2)/25))/(LN(2)/25)*Calculateur!AQ152*Calculateur!AS152*VLOOKUP('Données projet'!$B$10,Paramètres!$A$1:$I$89,3,0)*0.475*44/12</f>
        <v>7.7140976033046735</v>
      </c>
      <c r="AW152" s="23">
        <f>EXP(-LN(2)/2)*AW151+(1-EXP(-LN(2)/2))/(LN(2)/2)*AQ152*AT152*VLOOKUP('Données projet'!$B$10,Paramètres!$A$1:$I$89,3,0)*0.475*44/12</f>
        <v>6.2868666236945038E-7</v>
      </c>
      <c r="AX152" s="23">
        <f t="shared" si="114"/>
        <v>68.64801844221877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535.95842437199872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-1.72917680174578E-13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257.49385297440318</v>
      </c>
      <c r="T153" s="62">
        <f t="shared" si="142"/>
        <v>171.3281518185355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68.512080290903256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68.512080290903256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174.86489869124688</v>
      </c>
      <c r="AO153" s="62">
        <f t="shared" si="144"/>
        <v>146.54591565663782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59.739043200926353</v>
      </c>
      <c r="AV153" s="23">
        <f>EXP(-LN(2)/25)*AV152+(1-EXP(-LN(2)/25))/(LN(2)/25)*Calculateur!AQ153*Calculateur!AS153*VLOOKUP('Données projet'!$B$10,Paramètres!$A$1:$I$89,3,0)*0.475*44/12</f>
        <v>7.5031551986755449</v>
      </c>
      <c r="AW153" s="23">
        <f>EXP(-LN(2)/2)*AW152+(1-EXP(-LN(2)/2))/(LN(2)/2)*AQ153*AT153*VLOOKUP('Données projet'!$B$10,Paramètres!$A$1:$I$89,3,0)*0.475*44/12</f>
        <v>4.4454860220297583E-7</v>
      </c>
      <c r="AX153" s="23">
        <f t="shared" si="114"/>
        <v>67.242198844150508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537.53617309331071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-1.72917680174578E-13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257.49385297440318</v>
      </c>
      <c r="T154" s="62">
        <f t="shared" si="142"/>
        <v>171.3281518185355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67.168600184641377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67.168600184641377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174.86489869124688</v>
      </c>
      <c r="AO154" s="62">
        <f t="shared" si="144"/>
        <v>146.54591565663782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58.567597000974665</v>
      </c>
      <c r="AV154" s="23">
        <f>EXP(-LN(2)/25)*AV153+(1-EXP(-LN(2)/25))/(LN(2)/25)*Calculateur!AQ154*Calculateur!AS154*VLOOKUP('Données projet'!$B$10,Paramètres!$A$1:$I$89,3,0)*0.475*44/12</f>
        <v>7.2979810251939785</v>
      </c>
      <c r="AW154" s="23">
        <f>EXP(-LN(2)/2)*AW153+(1-EXP(-LN(2)/2))/(LN(2)/2)*AQ154*AT154*VLOOKUP('Données projet'!$B$10,Paramètres!$A$1:$I$89,3,0)*0.475*44/12</f>
        <v>3.1434333118472519E-7</v>
      </c>
      <c r="AX154" s="23">
        <f t="shared" ref="AX154:AX203" si="166">SUM(AU154:AW154)</f>
        <v>65.865578340511973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539.11369005902054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-1.72917680174578E-13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257.49385297440318</v>
      </c>
      <c r="T155" s="62">
        <f t="shared" si="142"/>
        <v>171.3281518185355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65.851464903821338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65.851464903821338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174.86489869124688</v>
      </c>
      <c r="AO155" s="62">
        <f t="shared" si="144"/>
        <v>146.54591565663782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57.419122146492398</v>
      </c>
      <c r="AV155" s="23">
        <f>EXP(-LN(2)/25)*AV154+(1-EXP(-LN(2)/25))/(LN(2)/25)*Calculateur!AQ155*Calculateur!AS155*VLOOKUP('Données projet'!$B$10,Paramètres!$A$1:$I$89,3,0)*0.475*44/12</f>
        <v>7.0984173502759065</v>
      </c>
      <c r="AW155" s="23">
        <f>EXP(-LN(2)/2)*AW154+(1-EXP(-LN(2)/2))/(LN(2)/2)*AQ155*AT155*VLOOKUP('Données projet'!$B$10,Paramètres!$A$1:$I$89,3,0)*0.475*44/12</f>
        <v>2.2227430110148792E-7</v>
      </c>
      <c r="AX155" s="23">
        <f t="shared" si="166"/>
        <v>64.517539719042603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540.69097697068514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-1.72917680174578E-13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257.49385297440318</v>
      </c>
      <c r="T156" s="62">
        <f t="shared" si="142"/>
        <v>171.3281518185355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64.560157842484983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64.560157842484983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174.86489869124688</v>
      </c>
      <c r="AO156" s="62">
        <f t="shared" si="144"/>
        <v>146.54591565663782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56.293168183406038</v>
      </c>
      <c r="AV156" s="23">
        <f>EXP(-LN(2)/25)*AV155+(1-EXP(-LN(2)/25))/(LN(2)/25)*Calculateur!AQ156*Calculateur!AS156*VLOOKUP('Données projet'!$B$10,Paramètres!$A$1:$I$89,3,0)*0.475*44/12</f>
        <v>6.9043107545430669</v>
      </c>
      <c r="AW156" s="23">
        <f>EXP(-LN(2)/2)*AW155+(1-EXP(-LN(2)/2))/(LN(2)/2)*AQ156*AT156*VLOOKUP('Données projet'!$B$10,Paramètres!$A$1:$I$89,3,0)*0.475*44/12</f>
        <v>1.5717166559236259E-7</v>
      </c>
      <c r="AX156" s="23">
        <f t="shared" si="166"/>
        <v>63.197479095120769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542.26803550633258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-1.72917680174578E-13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257.49385297440318</v>
      </c>
      <c r="T157" s="62">
        <f t="shared" si="142"/>
        <v>171.3281518185355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63.294172525001898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63.294172525001898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174.86489869124688</v>
      </c>
      <c r="AO157" s="62">
        <f t="shared" si="144"/>
        <v>146.54591565663782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55.189293490771696</v>
      </c>
      <c r="AV157" s="23">
        <f>EXP(-LN(2)/25)*AV156+(1-EXP(-LN(2)/25))/(LN(2)/25)*Calculateur!AQ157*Calculateur!AS157*VLOOKUP('Données projet'!$B$10,Paramètres!$A$1:$I$89,3,0)*0.475*44/12</f>
        <v>6.7155120138781639</v>
      </c>
      <c r="AW157" s="23">
        <f>EXP(-LN(2)/2)*AW156+(1-EXP(-LN(2)/2))/(LN(2)/2)*AQ157*AT157*VLOOKUP('Données projet'!$B$10,Paramètres!$A$1:$I$89,3,0)*0.475*44/12</f>
        <v>1.1113715055074396E-7</v>
      </c>
      <c r="AX157" s="23">
        <f t="shared" si="166"/>
        <v>61.904805615787005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543.84486732093865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-1.72917680174578E-13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257.49385297440318</v>
      </c>
      <c r="T158" s="62">
        <f t="shared" si="142"/>
        <v>171.3281518185355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62.053012407419864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62.053012407419864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174.86489869124688</v>
      </c>
      <c r="AO158" s="62">
        <f t="shared" si="144"/>
        <v>146.54591565663782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54.107065107562832</v>
      </c>
      <c r="AV158" s="23">
        <f>EXP(-LN(2)/25)*AV157+(1-EXP(-LN(2)/25))/(LN(2)/25)*Calculateur!AQ158*Calculateur!AS158*VLOOKUP('Données projet'!$B$10,Paramètres!$A$1:$I$89,3,0)*0.475*44/12</f>
        <v>6.5318759847052368</v>
      </c>
      <c r="AW158" s="23">
        <f>EXP(-LN(2)/2)*AW157+(1-EXP(-LN(2)/2))/(LN(2)/2)*AQ158*AT158*VLOOKUP('Données projet'!$B$10,Paramètres!$A$1:$I$89,3,0)*0.475*44/12</f>
        <v>7.8585832796181297E-8</v>
      </c>
      <c r="AX158" s="23">
        <f t="shared" si="166"/>
        <v>60.638941170853904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545.42147404688967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-1.72917680174578E-13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257.49385297440318</v>
      </c>
      <c r="T159" s="62">
        <f t="shared" si="142"/>
        <v>171.3281518185355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60.836190682710694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60.836190682710694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174.86489869124688</v>
      </c>
      <c r="AO159" s="62">
        <f t="shared" si="144"/>
        <v>146.54591565663782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53.046058562854562</v>
      </c>
      <c r="AV159" s="23">
        <f>EXP(-LN(2)/25)*AV158+(1-EXP(-LN(2)/25))/(LN(2)/25)*Calculateur!AQ159*Calculateur!AS159*VLOOKUP('Données projet'!$B$10,Paramètres!$A$1:$I$89,3,0)*0.475*44/12</f>
        <v>6.353261492407043</v>
      </c>
      <c r="AW159" s="23">
        <f>EXP(-LN(2)/2)*AW158+(1-EXP(-LN(2)/2))/(LN(2)/2)*AQ159*AT159*VLOOKUP('Données projet'!$B$10,Paramètres!$A$1:$I$89,3,0)*0.475*44/12</f>
        <v>5.5568575275371979E-8</v>
      </c>
      <c r="AX159" s="23">
        <f t="shared" si="166"/>
        <v>59.399320110830182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546.99785729443374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-1.72917680174578E-13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257.49385297440318</v>
      </c>
      <c r="T160" s="62">
        <f t="shared" si="142"/>
        <v>171.3281518185355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59.6432300898351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59.6432300898351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174.86489869124688</v>
      </c>
      <c r="AO160" s="62">
        <f t="shared" si="144"/>
        <v>146.54591565663782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52.005857709337924</v>
      </c>
      <c r="AV160" s="23">
        <f>EXP(-LN(2)/25)*AV159+(1-EXP(-LN(2)/25))/(LN(2)/25)*Calculateur!AQ160*Calculateur!AS160*VLOOKUP('Données projet'!$B$10,Paramètres!$A$1:$I$89,3,0)*0.475*44/12</f>
        <v>6.1795312227936714</v>
      </c>
      <c r="AW160" s="23">
        <f>EXP(-LN(2)/2)*AW159+(1-EXP(-LN(2)/2))/(LN(2)/2)*AQ160*AT160*VLOOKUP('Données projet'!$B$10,Paramètres!$A$1:$I$89,3,0)*0.475*44/12</f>
        <v>3.9292916398090648E-8</v>
      </c>
      <c r="AX160" s="23">
        <f t="shared" si="166"/>
        <v>58.185388971424508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548.57401865211966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-1.72917680174578E-13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257.49385297440318</v>
      </c>
      <c r="T161" s="62">
        <f t="shared" si="142"/>
        <v>171.3281518185355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58.47366272655168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58.47366272655168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174.86489869124688</v>
      </c>
      <c r="AO161" s="62">
        <f t="shared" si="144"/>
        <v>146.54591565663782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50.986054560098879</v>
      </c>
      <c r="AV161" s="23">
        <f>EXP(-LN(2)/25)*AV160+(1-EXP(-LN(2)/25))/(LN(2)/25)*Calculateur!AQ161*Calculateur!AS161*VLOOKUP('Données projet'!$B$10,Paramètres!$A$1:$I$89,3,0)*0.475*44/12</f>
        <v>6.0105516165389545</v>
      </c>
      <c r="AW161" s="23">
        <f>EXP(-LN(2)/2)*AW160+(1-EXP(-LN(2)/2))/(LN(2)/2)*AQ161*AT161*VLOOKUP('Données projet'!$B$10,Paramètres!$A$1:$I$89,3,0)*0.475*44/12</f>
        <v>2.778428763768599E-8</v>
      </c>
      <c r="AX161" s="23">
        <f t="shared" si="166"/>
        <v>56.996606204422122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550.14995968722587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-1.72917680174578E-13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257.49385297440318</v>
      </c>
      <c r="T162" s="62">
        <f t="shared" si="142"/>
        <v>171.3281518185355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57.327029865896598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57.327029865896598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174.86489869124688</v>
      </c>
      <c r="AO162" s="62">
        <f t="shared" si="144"/>
        <v>146.54591565663782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49.986249128597905</v>
      </c>
      <c r="AV162" s="23">
        <f>EXP(-LN(2)/25)*AV161+(1-EXP(-LN(2)/25))/(LN(2)/25)*Calculateur!AQ162*Calculateur!AS162*VLOOKUP('Données projet'!$B$10,Paramètres!$A$1:$I$89,3,0)*0.475*44/12</f>
        <v>5.8461927665035249</v>
      </c>
      <c r="AW162" s="23">
        <f>EXP(-LN(2)/2)*AW161+(1-EXP(-LN(2)/2))/(LN(2)/2)*AQ162*AT162*VLOOKUP('Données projet'!$B$10,Paramètres!$A$1:$I$89,3,0)*0.475*44/12</f>
        <v>1.9646458199045324E-8</v>
      </c>
      <c r="AX162" s="23">
        <f t="shared" si="166"/>
        <v>55.832441914747889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551.72568194617588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-1.72917680174578E-13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257.49385297440318</v>
      </c>
      <c r="T163" s="62">
        <f t="shared" si="142"/>
        <v>171.3281518185355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56.202881776261975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56.202881776261975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174.86489869124688</v>
      </c>
      <c r="AO163" s="62">
        <f t="shared" si="144"/>
        <v>146.54591565663782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49.006049271787568</v>
      </c>
      <c r="AV163" s="23">
        <f>EXP(-LN(2)/25)*AV162+(1-EXP(-LN(2)/25))/(LN(2)/25)*Calculateur!AQ163*Calculateur!AS163*VLOOKUP('Données projet'!$B$10,Paramètres!$A$1:$I$89,3,0)*0.475*44/12</f>
        <v>5.6863283178655699</v>
      </c>
      <c r="AW163" s="23">
        <f>EXP(-LN(2)/2)*AW162+(1-EXP(-LN(2)/2))/(LN(2)/2)*AQ163*AT163*VLOOKUP('Données projet'!$B$10,Paramètres!$A$1:$I$89,3,0)*0.475*44/12</f>
        <v>1.3892143818842995E-8</v>
      </c>
      <c r="AX163" s="23">
        <f t="shared" si="166"/>
        <v>54.692377603545275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553.30118695494502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-1.72917680174578E-13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257.49385297440318</v>
      </c>
      <c r="T164" s="62">
        <f t="shared" si="142"/>
        <v>171.3281518185355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55.100777545002458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55.100777545002458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174.86489869124688</v>
      </c>
      <c r="AO164" s="62">
        <f t="shared" si="144"/>
        <v>146.54591565663782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48.045070536306405</v>
      </c>
      <c r="AV164" s="23">
        <f>EXP(-LN(2)/25)*AV163+(1-EXP(-LN(2)/25))/(LN(2)/25)*Calculateur!AQ164*Calculateur!AS164*VLOOKUP('Données projet'!$B$10,Paramètres!$A$1:$I$89,3,0)*0.475*44/12</f>
        <v>5.5308353709825262</v>
      </c>
      <c r="AW164" s="23">
        <f>EXP(-LN(2)/2)*AW163+(1-EXP(-LN(2)/2))/(LN(2)/2)*AQ164*AT164*VLOOKUP('Données projet'!$B$10,Paramètres!$A$1:$I$89,3,0)*0.475*44/12</f>
        <v>9.8232290995226621E-9</v>
      </c>
      <c r="AX164" s="23">
        <f t="shared" si="166"/>
        <v>53.575905917112159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554.87647621945644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-1.72917680174578E-13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257.49385297440318</v>
      </c>
      <c r="T165" s="62">
        <f t="shared" si="142"/>
        <v>171.3281518185355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54.020284905500731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54.020284905500731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174.86489869124688</v>
      </c>
      <c r="AO165" s="62">
        <f t="shared" si="144"/>
        <v>146.54591565663782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47.102936007688875</v>
      </c>
      <c r="AV165" s="23">
        <f>EXP(-LN(2)/25)*AV164+(1-EXP(-LN(2)/25))/(LN(2)/25)*Calculateur!AQ165*Calculateur!AS165*VLOOKUP('Données projet'!$B$10,Paramètres!$A$1:$I$89,3,0)*0.475*44/12</f>
        <v>5.3795943869090177</v>
      </c>
      <c r="AW165" s="23">
        <f>EXP(-LN(2)/2)*AW164+(1-EXP(-LN(2)/2))/(LN(2)/2)*AQ165*AT165*VLOOKUP('Données projet'!$B$10,Paramètres!$A$1:$I$89,3,0)*0.475*44/12</f>
        <v>6.9460719094214974E-9</v>
      </c>
      <c r="AX165" s="23">
        <f t="shared" si="166"/>
        <v>52.482530401543968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556.45155122596543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-1.72917680174578E-13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257.49385297440318</v>
      </c>
      <c r="T166" s="62">
        <f t="shared" si="142"/>
        <v>171.3281518185355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52.960980067624199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52.960980067624199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174.86489869124688</v>
      </c>
      <c r="AO166" s="62">
        <f t="shared" si="144"/>
        <v>146.54591565663782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46.179276162532211</v>
      </c>
      <c r="AV166" s="23">
        <f>EXP(-LN(2)/25)*AV165+(1-EXP(-LN(2)/25))/(LN(2)/25)*Calculateur!AQ166*Calculateur!AS166*VLOOKUP('Données projet'!$B$10,Paramètres!$A$1:$I$89,3,0)*0.475*44/12</f>
        <v>5.2324890954984173</v>
      </c>
      <c r="AW166" s="23">
        <f>EXP(-LN(2)/2)*AW165+(1-EXP(-LN(2)/2))/(LN(2)/2)*AQ166*AT166*VLOOKUP('Données projet'!$B$10,Paramètres!$A$1:$I$89,3,0)*0.475*44/12</f>
        <v>4.9116145497613311E-9</v>
      </c>
      <c r="AX166" s="23">
        <f t="shared" si="166"/>
        <v>51.411765262942239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558.02641344143728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-1.72917680174578E-13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257.49385297440318</v>
      </c>
      <c r="T167" s="62">
        <f t="shared" si="142"/>
        <v>171.3281518185355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51.922447551506274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51.922447551506274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174.86489869124688</v>
      </c>
      <c r="AO167" s="62">
        <f t="shared" si="144"/>
        <v>146.54591565663782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45.273728723562193</v>
      </c>
      <c r="AV167" s="23">
        <f>EXP(-LN(2)/25)*AV166+(1-EXP(-LN(2)/25))/(LN(2)/25)*Calculateur!AQ167*Calculateur!AS167*VLOOKUP('Données projet'!$B$10,Paramètres!$A$1:$I$89,3,0)*0.475*44/12</f>
        <v>5.0894064060173703</v>
      </c>
      <c r="AW167" s="23">
        <f>EXP(-LN(2)/2)*AW166+(1-EXP(-LN(2)/2))/(LN(2)/2)*AQ167*AT167*VLOOKUP('Données projet'!$B$10,Paramètres!$A$1:$I$89,3,0)*0.475*44/12</f>
        <v>3.4730359547107487E-9</v>
      </c>
      <c r="AX167" s="23">
        <f t="shared" si="166"/>
        <v>50.363135133052594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559.60106431391182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-1.72917680174578E-13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257.49385297440318</v>
      </c>
      <c r="T168" s="62">
        <f t="shared" si="142"/>
        <v>171.3281518185355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50.904280024587131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50.904280024587131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174.86489869124688</v>
      </c>
      <c r="AO168" s="62">
        <f t="shared" si="144"/>
        <v>146.54591565663782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44.385938517540978</v>
      </c>
      <c r="AV168" s="23">
        <f>EXP(-LN(2)/25)*AV167+(1-EXP(-LN(2)/25))/(LN(2)/25)*Calculateur!AQ168*Calculateur!AS168*VLOOKUP('Données projet'!$B$10,Paramètres!$A$1:$I$89,3,0)*0.475*44/12</f>
        <v>4.9502363202045743</v>
      </c>
      <c r="AW168" s="23">
        <f>EXP(-LN(2)/2)*AW167+(1-EXP(-LN(2)/2))/(LN(2)/2)*AQ168*AT168*VLOOKUP('Données projet'!$B$10,Paramètres!$A$1:$I$89,3,0)*0.475*44/12</f>
        <v>2.4558072748806655E-9</v>
      </c>
      <c r="AX168" s="23">
        <f t="shared" si="166"/>
        <v>49.336174840201359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561.17550527286198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-1.72917680174578E-13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257.49385297440318</v>
      </c>
      <c r="T169" s="62">
        <f t="shared" si="142"/>
        <v>171.3281518185355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49.906078141850003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49.906078141850003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174.86489869124688</v>
      </c>
      <c r="AO169" s="62">
        <f t="shared" si="144"/>
        <v>146.54591565663782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43.515557335961283</v>
      </c>
      <c r="AV169" s="23">
        <f>EXP(-LN(2)/25)*AV168+(1-EXP(-LN(2)/25))/(LN(2)/25)*Calculateur!AQ169*Calculateur!AS169*VLOOKUP('Données projet'!$B$10,Paramètres!$A$1:$I$89,3,0)*0.475*44/12</f>
        <v>4.8148718477069661</v>
      </c>
      <c r="AW169" s="23">
        <f>EXP(-LN(2)/2)*AW168+(1-EXP(-LN(2)/2))/(LN(2)/2)*AQ169*AT169*VLOOKUP('Données projet'!$B$10,Paramètres!$A$1:$I$89,3,0)*0.475*44/12</f>
        <v>1.7365179773553743E-9</v>
      </c>
      <c r="AX169" s="23">
        <f t="shared" si="166"/>
        <v>48.330429185404768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562.74973772954172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-1.72917680174578E-13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257.49385297440318</v>
      </c>
      <c r="T170" s="62">
        <f t="shared" si="142"/>
        <v>171.3281518185355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48.927450389190319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48.927450389190319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174.86489869124688</v>
      </c>
      <c r="AO170" s="62">
        <f t="shared" si="144"/>
        <v>146.54591565663782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42.662243798472268</v>
      </c>
      <c r="AV170" s="23">
        <f>EXP(-LN(2)/25)*AV169+(1-EXP(-LN(2)/25))/(LN(2)/25)*Calculateur!AQ170*Calculateur!AS170*VLOOKUP('Données projet'!$B$10,Paramètres!$A$1:$I$89,3,0)*0.475*44/12</f>
        <v>4.683208923828313</v>
      </c>
      <c r="AW170" s="23">
        <f>EXP(-LN(2)/2)*AW169+(1-EXP(-LN(2)/2))/(LN(2)/2)*AQ170*AT170*VLOOKUP('Données projet'!$B$10,Paramètres!$A$1:$I$89,3,0)*0.475*44/12</f>
        <v>1.2279036374403328E-9</v>
      </c>
      <c r="AX170" s="23">
        <f t="shared" si="166"/>
        <v>47.345452723528481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564.32376307732591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-1.72917680174578E-13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257.49385297440318</v>
      </c>
      <c r="T171" s="62">
        <f t="shared" si="142"/>
        <v>171.3281518185355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47.9680129298563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47.9680129298563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174.86489869124688</v>
      </c>
      <c r="AO171" s="62">
        <f t="shared" si="144"/>
        <v>146.54591565663782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41.825663218983543</v>
      </c>
      <c r="AV171" s="23">
        <f>EXP(-LN(2)/25)*AV170+(1-EXP(-LN(2)/25))/(LN(2)/25)*Calculateur!AQ171*Calculateur!AS171*VLOOKUP('Données projet'!$B$10,Paramètres!$A$1:$I$89,3,0)*0.475*44/12</f>
        <v>4.5551463295269743</v>
      </c>
      <c r="AW171" s="23">
        <f>EXP(-LN(2)/2)*AW170+(1-EXP(-LN(2)/2))/(LN(2)/2)*AQ171*AT171*VLOOKUP('Données projet'!$B$10,Paramètres!$A$1:$I$89,3,0)*0.475*44/12</f>
        <v>8.6825898867768717E-10</v>
      </c>
      <c r="AX171" s="23">
        <f t="shared" si="166"/>
        <v>46.380809549378782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565.89758269204208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-1.72917680174578E-13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257.49385297440318</v>
      </c>
      <c r="T172" s="62">
        <f t="shared" si="142"/>
        <v>171.3281518185355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47.02738945390076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47.02738945390076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174.86489869124688</v>
      </c>
      <c r="AO172" s="62">
        <f t="shared" si="144"/>
        <v>146.54591565663782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41.005487474394826</v>
      </c>
      <c r="AV172" s="23">
        <f>EXP(-LN(2)/25)*AV171+(1-EXP(-LN(2)/25))/(LN(2)/25)*Calculateur!AQ172*Calculateur!AS172*VLOOKUP('Données projet'!$B$10,Paramètres!$A$1:$I$89,3,0)*0.475*44/12</f>
        <v>4.4305856136013251</v>
      </c>
      <c r="AW172" s="23">
        <f>EXP(-LN(2)/2)*AW171+(1-EXP(-LN(2)/2))/(LN(2)/2)*AQ172*AT172*VLOOKUP('Données projet'!$B$10,Paramètres!$A$1:$I$89,3,0)*0.475*44/12</f>
        <v>6.1395181872016638E-10</v>
      </c>
      <c r="AX172" s="23">
        <f t="shared" si="166"/>
        <v>45.436073088610101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567.4711979322941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-1.72917680174578E-13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257.49385297440318</v>
      </c>
      <c r="T173" s="62">
        <f t="shared" si="142"/>
        <v>171.3281518185355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46.105211030585032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46.105211030585032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174.86489869124688</v>
      </c>
      <c r="AO173" s="62">
        <f t="shared" si="144"/>
        <v>146.54591565663782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40.20139487589968</v>
      </c>
      <c r="AV173" s="23">
        <f>EXP(-LN(2)/25)*AV172+(1-EXP(-LN(2)/25))/(LN(2)/25)*Calculateur!AQ173*Calculateur!AS173*VLOOKUP('Données projet'!$B$10,Paramètres!$A$1:$I$89,3,0)*0.475*44/12</f>
        <v>4.3094310170030257</v>
      </c>
      <c r="AW173" s="23">
        <f>EXP(-LN(2)/2)*AW172+(1-EXP(-LN(2)/2))/(LN(2)/2)*AQ173*AT173*VLOOKUP('Données projet'!$B$10,Paramètres!$A$1:$I$89,3,0)*0.475*44/12</f>
        <v>4.3412949433884359E-10</v>
      </c>
      <c r="AX173" s="23">
        <f t="shared" si="166"/>
        <v>44.510825893336836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569.04461013977686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-1.72917680174578E-13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257.49385297440318</v>
      </c>
      <c r="T174" s="62">
        <f t="shared" si="142"/>
        <v>171.3281518185355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45.201115963677232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45.201115963677232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174.86489869124688</v>
      </c>
      <c r="AO174" s="62">
        <f t="shared" si="144"/>
        <v>146.54591565663782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39.413070042812969</v>
      </c>
      <c r="AV174" s="23">
        <f>EXP(-LN(2)/25)*AV173+(1-EXP(-LN(2)/25))/(LN(2)/25)*Calculateur!AQ174*Calculateur!AS174*VLOOKUP('Données projet'!$B$10,Paramètres!$A$1:$I$89,3,0)*0.475*44/12</f>
        <v>4.19158939921995</v>
      </c>
      <c r="AW174" s="23">
        <f>EXP(-LN(2)/2)*AW173+(1-EXP(-LN(2)/2))/(LN(2)/2)*AQ174*AT174*VLOOKUP('Données projet'!$B$10,Paramètres!$A$1:$I$89,3,0)*0.475*44/12</f>
        <v>3.0697590936008319E-10</v>
      </c>
      <c r="AX174" s="23">
        <f t="shared" si="166"/>
        <v>43.604659442339894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570.61782063958549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-1.72917680174578E-13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257.49385297440318</v>
      </c>
      <c r="T175" s="62">
        <f t="shared" si="142"/>
        <v>171.3281518185355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44.314749649587952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44.314749649587952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174.86489869124688</v>
      </c>
      <c r="AO175" s="62">
        <f t="shared" si="144"/>
        <v>146.54591565663782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38.640203778872419</v>
      </c>
      <c r="AV175" s="23">
        <f>EXP(-LN(2)/25)*AV174+(1-EXP(-LN(2)/25))/(LN(2)/25)*Calculateur!AQ175*Calculateur!AS175*VLOOKUP('Données projet'!$B$10,Paramètres!$A$1:$I$89,3,0)*0.475*44/12</f>
        <v>4.076970166672174</v>
      </c>
      <c r="AW175" s="23">
        <f>EXP(-LN(2)/2)*AW174+(1-EXP(-LN(2)/2))/(LN(2)/2)*AQ175*AT175*VLOOKUP('Données projet'!$B$10,Paramètres!$A$1:$I$89,3,0)*0.475*44/12</f>
        <v>2.1706474716942179E-10</v>
      </c>
      <c r="AX175" s="23">
        <f t="shared" si="166"/>
        <v>42.717173945761658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572.19083074051537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-1.72917680174578E-13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257.49385297440318</v>
      </c>
      <c r="T176" s="62">
        <f t="shared" si="142"/>
        <v>171.3281518185355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43.445764438287895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43.445764438287895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174.86489869124688</v>
      </c>
      <c r="AO176" s="62">
        <f t="shared" si="144"/>
        <v>146.54591565663782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37.882492950965869</v>
      </c>
      <c r="AV176" s="23">
        <f>EXP(-LN(2)/25)*AV175+(1-EXP(-LN(2)/25))/(LN(2)/25)*Calculateur!AQ176*Calculateur!AS176*VLOOKUP('Données projet'!$B$10,Paramètres!$A$1:$I$89,3,0)*0.475*44/12</f>
        <v>3.9654852030659806</v>
      </c>
      <c r="AW176" s="23">
        <f>EXP(-LN(2)/2)*AW175+(1-EXP(-LN(2)/2))/(LN(2)/2)*AQ176*AT176*VLOOKUP('Données projet'!$B$10,Paramètres!$A$1:$I$89,3,0)*0.475*44/12</f>
        <v>1.534879546800416E-10</v>
      </c>
      <c r="AX176" s="23">
        <f t="shared" si="166"/>
        <v>41.847978154185341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573.76364173535603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-1.72917680174578E-13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257.49385297440318</v>
      </c>
      <c r="T177" s="62">
        <f t="shared" si="142"/>
        <v>171.3281518185355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42.59381949695279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42.59381949695279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174.86489869124688</v>
      </c>
      <c r="AO177" s="62">
        <f t="shared" si="144"/>
        <v>146.54591565663782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37.139640370236599</v>
      </c>
      <c r="AV177" s="23">
        <f>EXP(-LN(2)/25)*AV176+(1-EXP(-LN(2)/25))/(LN(2)/25)*Calculateur!AQ177*Calculateur!AS177*VLOOKUP('Données projet'!$B$10,Paramètres!$A$1:$I$89,3,0)*0.475*44/12</f>
        <v>3.8570488016523377</v>
      </c>
      <c r="AW177" s="23">
        <f>EXP(-LN(2)/2)*AW176+(1-EXP(-LN(2)/2))/(LN(2)/2)*AQ177*AT177*VLOOKUP('Données projet'!$B$10,Paramètres!$A$1:$I$89,3,0)*0.475*44/12</f>
        <v>1.085323735847109E-10</v>
      </c>
      <c r="AX177" s="23">
        <f t="shared" si="166"/>
        <v>40.996689171997474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575.3362549011772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-1.72917680174578E-13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257.49385297440318</v>
      </c>
      <c r="T178" s="62">
        <f t="shared" si="142"/>
        <v>171.3281518185355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41.758580676282158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41.758580676282158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174.86489869124688</v>
      </c>
      <c r="AO178" s="62">
        <f t="shared" si="144"/>
        <v>146.54591565663782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36.411354675520094</v>
      </c>
      <c r="AV178" s="23">
        <f>EXP(-LN(2)/25)*AV177+(1-EXP(-LN(2)/25))/(LN(2)/25)*Calculateur!AQ178*Calculateur!AS178*VLOOKUP('Données projet'!$B$10,Paramètres!$A$1:$I$89,3,0)*0.475*44/12</f>
        <v>3.7515775993377733</v>
      </c>
      <c r="AW178" s="23">
        <f>EXP(-LN(2)/2)*AW177+(1-EXP(-LN(2)/2))/(LN(2)/2)*AQ178*AT178*VLOOKUP('Données projet'!$B$10,Paramètres!$A$1:$I$89,3,0)*0.475*44/12</f>
        <v>7.6743977340020798E-11</v>
      </c>
      <c r="AX178" s="23">
        <f t="shared" si="166"/>
        <v>40.162932274934612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576.90867149960923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-1.72917680174578E-13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257.49385297440318</v>
      </c>
      <c r="T179" s="62">
        <f t="shared" si="142"/>
        <v>171.3281518185355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40.9397203794395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40.9397203794395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174.86489869124688</v>
      </c>
      <c r="AO179" s="62">
        <f t="shared" si="144"/>
        <v>146.54591565663782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35.697350219066564</v>
      </c>
      <c r="AV179" s="23">
        <f>EXP(-LN(2)/25)*AV178+(1-EXP(-LN(2)/25))/(LN(2)/25)*Calculateur!AQ179*Calculateur!AS179*VLOOKUP('Données projet'!$B$10,Paramètres!$A$1:$I$89,3,0)*0.475*44/12</f>
        <v>3.6489905125969901</v>
      </c>
      <c r="AW179" s="23">
        <f>EXP(-LN(2)/2)*AW178+(1-EXP(-LN(2)/2))/(LN(2)/2)*AQ179*AT179*VLOOKUP('Données projet'!$B$10,Paramètres!$A$1:$I$89,3,0)*0.475*44/12</f>
        <v>5.4266186792355448E-11</v>
      </c>
      <c r="AX179" s="23">
        <f t="shared" si="166"/>
        <v>39.346340731717817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578.48089277711574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-1.72917680174578E-13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257.49385297440318</v>
      </c>
      <c r="T180" s="62">
        <f t="shared" si="142"/>
        <v>171.3281518185355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40.136917433562466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40.136917433562466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174.86489869124688</v>
      </c>
      <c r="AO180" s="62">
        <f t="shared" si="144"/>
        <v>146.54591565663782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34.997346954504373</v>
      </c>
      <c r="AV180" s="23">
        <f>EXP(-LN(2)/25)*AV179+(1-EXP(-LN(2)/25))/(LN(2)/25)*Calculateur!AQ180*Calculateur!AS180*VLOOKUP('Données projet'!$B$10,Paramètres!$A$1:$I$89,3,0)*0.475*44/12</f>
        <v>3.5492086751379541</v>
      </c>
      <c r="AW180" s="23">
        <f>EXP(-LN(2)/2)*AW179+(1-EXP(-LN(2)/2))/(LN(2)/2)*AQ180*AT180*VLOOKUP('Données projet'!$B$10,Paramètres!$A$1:$I$89,3,0)*0.475*44/12</f>
        <v>3.8371988670010399E-11</v>
      </c>
      <c r="AX180" s="23">
        <f t="shared" si="166"/>
        <v>38.546555629680697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580.05291996526171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-1.72917680174578E-13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257.49385297440318</v>
      </c>
      <c r="T181" s="62">
        <f t="shared" si="142"/>
        <v>171.3281518185355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39.349856963792632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39.349856963792632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174.86489869124688</v>
      </c>
      <c r="AO181" s="62">
        <f t="shared" si="144"/>
        <v>146.54591565663782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34.311070327000415</v>
      </c>
      <c r="AV181" s="23">
        <f>EXP(-LN(2)/25)*AV180+(1-EXP(-LN(2)/25))/(LN(2)/25)*Calculateur!AQ181*Calculateur!AS181*VLOOKUP('Données projet'!$B$10,Paramètres!$A$1:$I$89,3,0)*0.475*44/12</f>
        <v>3.4521553772715343</v>
      </c>
      <c r="AW181" s="23">
        <f>EXP(-LN(2)/2)*AW180+(1-EXP(-LN(2)/2))/(LN(2)/2)*AQ181*AT181*VLOOKUP('Données projet'!$B$10,Paramètres!$A$1:$I$89,3,0)*0.475*44/12</f>
        <v>2.7133093396177724E-11</v>
      </c>
      <c r="AX181" s="23">
        <f t="shared" si="166"/>
        <v>37.763225704299082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581.62475428097252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-1.72917680174578E-13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257.49385297440318</v>
      </c>
      <c r="T182" s="62">
        <f t="shared" si="142"/>
        <v>171.3281518185355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38.578230269775503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38.578230269775503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174.86489869124688</v>
      </c>
      <c r="AO182" s="62">
        <f t="shared" si="144"/>
        <v>146.54591565663782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33.638251165574403</v>
      </c>
      <c r="AV182" s="23">
        <f>EXP(-LN(2)/25)*AV181+(1-EXP(-LN(2)/25))/(LN(2)/25)*Calculateur!AQ182*Calculateur!AS182*VLOOKUP('Données projet'!$B$10,Paramètres!$A$1:$I$89,3,0)*0.475*44/12</f>
        <v>3.3577560069390828</v>
      </c>
      <c r="AW182" s="23">
        <f>EXP(-LN(2)/2)*AW181+(1-EXP(-LN(2)/2))/(LN(2)/2)*AQ182*AT182*VLOOKUP('Données projet'!$B$10,Paramètres!$A$1:$I$89,3,0)*0.475*44/12</f>
        <v>1.9185994335005199E-11</v>
      </c>
      <c r="AX182" s="23">
        <f t="shared" si="166"/>
        <v>36.996007172532671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583.19639692679084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-1.72917680174578E-13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257.49385297440318</v>
      </c>
      <c r="T183" s="62">
        <f t="shared" si="142"/>
        <v>171.3281518185355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37.821734704582234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37.821734704582234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174.86489869124688</v>
      </c>
      <c r="AO183" s="62">
        <f t="shared" si="144"/>
        <v>146.54591565663782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32.978625577524781</v>
      </c>
      <c r="AV183" s="23">
        <f>EXP(-LN(2)/25)*AV182+(1-EXP(-LN(2)/25))/(LN(2)/25)*Calculateur!AQ183*Calculateur!AS183*VLOOKUP('Données projet'!$B$10,Paramètres!$A$1:$I$89,3,0)*0.475*44/12</f>
        <v>3.2659379923526193</v>
      </c>
      <c r="AW183" s="23">
        <f>EXP(-LN(2)/2)*AW182+(1-EXP(-LN(2)/2))/(LN(2)/2)*AQ183*AT183*VLOOKUP('Données projet'!$B$10,Paramètres!$A$1:$I$89,3,0)*0.475*44/12</f>
        <v>1.3566546698088862E-11</v>
      </c>
      <c r="AX183" s="23">
        <f t="shared" si="166"/>
        <v>36.244563569890964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584.76784909112348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-1.72917680174578E-13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257.49385297440318</v>
      </c>
      <c r="T184" s="62">
        <f t="shared" si="142"/>
        <v>171.3281518185355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37.080073556005672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37.080073556005672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174.86489869124688</v>
      </c>
      <c r="AO184" s="62">
        <f t="shared" si="144"/>
        <v>146.54591565663782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32.33193484492493</v>
      </c>
      <c r="AV184" s="23">
        <f>EXP(-LN(2)/25)*AV183+(1-EXP(-LN(2)/25))/(LN(2)/25)*Calculateur!AQ184*Calculateur!AS184*VLOOKUP('Données projet'!$B$10,Paramètres!$A$1:$I$89,3,0)*0.475*44/12</f>
        <v>3.1766307462035224</v>
      </c>
      <c r="AW184" s="23">
        <f>EXP(-LN(2)/2)*AW183+(1-EXP(-LN(2)/2))/(LN(2)/2)*AQ184*AT184*VLOOKUP('Données projet'!$B$10,Paramètres!$A$1:$I$89,3,0)*0.475*44/12</f>
        <v>9.5929971675025997E-12</v>
      </c>
      <c r="AX184" s="23">
        <f t="shared" si="166"/>
        <v>35.508565591138044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586.33911194848645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-1.72917680174578E-13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257.49385297440318</v>
      </c>
      <c r="T185" s="62">
        <f t="shared" si="142"/>
        <v>171.3281518185355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36.352955930184066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36.352955930184066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174.86489869124688</v>
      </c>
      <c r="AO185" s="62">
        <f t="shared" si="144"/>
        <v>146.54591565663782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31.697925323148969</v>
      </c>
      <c r="AV185" s="23">
        <f>EXP(-LN(2)/25)*AV184+(1-EXP(-LN(2)/25))/(LN(2)/25)*Calculateur!AQ185*Calculateur!AS185*VLOOKUP('Données projet'!$B$10,Paramètres!$A$1:$I$89,3,0)*0.475*44/12</f>
        <v>3.0897656113968366</v>
      </c>
      <c r="AW185" s="23">
        <f>EXP(-LN(2)/2)*AW184+(1-EXP(-LN(2)/2))/(LN(2)/2)*AQ185*AT185*VLOOKUP('Données projet'!$B$10,Paramètres!$A$1:$I$89,3,0)*0.475*44/12</f>
        <v>6.7832733490444311E-12</v>
      </c>
      <c r="AX185" s="23">
        <f t="shared" si="166"/>
        <v>34.787690934552593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587.91018665974138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-1.72917680174578E-13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257.49385297440318</v>
      </c>
      <c r="T186" s="62">
        <f t="shared" si="142"/>
        <v>171.3281518185355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35.640096637506858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35.640096637506858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174.86489869124688</v>
      </c>
      <c r="AO186" s="62">
        <f t="shared" si="144"/>
        <v>146.54591565663782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31.076348341387408</v>
      </c>
      <c r="AV186" s="23">
        <f>EXP(-LN(2)/25)*AV185+(1-EXP(-LN(2)/25))/(LN(2)/25)*Calculateur!AQ186*Calculateur!AS186*VLOOKUP('Données projet'!$B$10,Paramètres!$A$1:$I$89,3,0)*0.475*44/12</f>
        <v>3.0052758082694782</v>
      </c>
      <c r="AW186" s="23">
        <f>EXP(-LN(2)/2)*AW185+(1-EXP(-LN(2)/2))/(LN(2)/2)*AQ186*AT186*VLOOKUP('Données projet'!$B$10,Paramètres!$A$1:$I$89,3,0)*0.475*44/12</f>
        <v>4.7964985837512999E-12</v>
      </c>
      <c r="AX186" s="23">
        <f t="shared" si="166"/>
        <v>34.081624149661685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589.48107437232875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-1.72917680174578E-13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257.49385297440318</v>
      </c>
      <c r="T187" s="62">
        <f t="shared" si="142"/>
        <v>171.3281518185355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34.941216080757819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34.941216080757819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174.86489869124688</v>
      </c>
      <c r="AO187" s="62">
        <f t="shared" si="144"/>
        <v>146.54591565663782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30.466960105113667</v>
      </c>
      <c r="AV187" s="23">
        <f>EXP(-LN(2)/25)*AV186+(1-EXP(-LN(2)/25))/(LN(2)/25)*Calculateur!AQ187*Calculateur!AS187*VLOOKUP('Données projet'!$B$10,Paramètres!$A$1:$I$89,3,0)*0.475*44/12</f>
        <v>2.9230963832517634</v>
      </c>
      <c r="AW187" s="23">
        <f>EXP(-LN(2)/2)*AW186+(1-EXP(-LN(2)/2))/(LN(2)/2)*AQ187*AT187*VLOOKUP('Données projet'!$B$10,Paramètres!$A$1:$I$89,3,0)*0.475*44/12</f>
        <v>3.3916366745222155E-12</v>
      </c>
      <c r="AX187" s="23">
        <f t="shared" si="166"/>
        <v>33.39005648836882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591.0517762204953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-1.72917680174578E-13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257.49385297440318</v>
      </c>
      <c r="T188" s="62">
        <f t="shared" si="142"/>
        <v>171.3281518185355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34.256040145451578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34.256040145451578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174.86489869124688</v>
      </c>
      <c r="AO188" s="62">
        <f t="shared" si="144"/>
        <v>146.54591565663782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29.869521600463134</v>
      </c>
      <c r="AV188" s="23">
        <f>EXP(-LN(2)/25)*AV187+(1-EXP(-LN(2)/25))/(LN(2)/25)*Calculateur!AQ188*Calculateur!AS188*VLOOKUP('Données projet'!$B$10,Paramètres!$A$1:$I$89,3,0)*0.475*44/12</f>
        <v>2.8431641589327858</v>
      </c>
      <c r="AW188" s="23">
        <f>EXP(-LN(2)/2)*AW187+(1-EXP(-LN(2)/2))/(LN(2)/2)*AQ188*AT188*VLOOKUP('Données projet'!$B$10,Paramètres!$A$1:$I$89,3,0)*0.475*44/12</f>
        <v>2.3982492918756499E-12</v>
      </c>
      <c r="AX188" s="23">
        <f t="shared" si="166"/>
        <v>32.712685759398319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592.62229332551556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-1.72917680174578E-13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257.49385297440318</v>
      </c>
      <c r="T189" s="62">
        <f t="shared" si="142"/>
        <v>171.3281518185355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33.584300092320639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33.584300092320639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174.86489869124688</v>
      </c>
      <c r="AO189" s="62">
        <f t="shared" si="144"/>
        <v>146.54591565663782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29.28379850048729</v>
      </c>
      <c r="AV189" s="23">
        <f>EXP(-LN(2)/25)*AV188+(1-EXP(-LN(2)/25))/(LN(2)/25)*Calculateur!AQ189*Calculateur!AS189*VLOOKUP('Données projet'!$B$10,Paramètres!$A$1:$I$89,3,0)*0.475*44/12</f>
        <v>2.765417685491264</v>
      </c>
      <c r="AW189" s="23">
        <f>EXP(-LN(2)/2)*AW188+(1-EXP(-LN(2)/2))/(LN(2)/2)*AQ189*AT189*VLOOKUP('Données projet'!$B$10,Paramètres!$A$1:$I$89,3,0)*0.475*44/12</f>
        <v>1.6958183372611078E-12</v>
      </c>
      <c r="AX189" s="23">
        <f t="shared" si="166"/>
        <v>32.049216185980249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594.1926267959094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-1.72917680174578E-13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257.49385297440318</v>
      </c>
      <c r="T190" s="62">
        <f t="shared" si="142"/>
        <v>171.3281518185355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32.925732451910619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32.925732451910619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174.86489869124688</v>
      </c>
      <c r="AO190" s="62">
        <f t="shared" si="144"/>
        <v>146.54591565663782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28.709561073246157</v>
      </c>
      <c r="AV190" s="23">
        <f>EXP(-LN(2)/25)*AV189+(1-EXP(-LN(2)/25))/(LN(2)/25)*Calculateur!AQ190*Calculateur!AS190*VLOOKUP('Données projet'!$B$10,Paramètres!$A$1:$I$89,3,0)*0.475*44/12</f>
        <v>2.6897971934545097</v>
      </c>
      <c r="AW190" s="23">
        <f>EXP(-LN(2)/2)*AW189+(1-EXP(-LN(2)/2))/(LN(2)/2)*AQ190*AT190*VLOOKUP('Données projet'!$B$10,Paramètres!$A$1:$I$89,3,0)*0.475*44/12</f>
        <v>1.199124645937825E-12</v>
      </c>
      <c r="AX190" s="23">
        <f t="shared" si="166"/>
        <v>31.399358266701867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595.76277772765491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-1.72917680174578E-13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257.49385297440318</v>
      </c>
      <c r="T191" s="62">
        <f t="shared" si="142"/>
        <v>171.3281518185355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32.280078921242442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32.280078921242442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174.86489869124688</v>
      </c>
      <c r="AO191" s="62">
        <f t="shared" si="144"/>
        <v>146.54591565663782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28.146584091702977</v>
      </c>
      <c r="AV191" s="23">
        <f>EXP(-LN(2)/25)*AV190+(1-EXP(-LN(2)/25))/(LN(2)/25)*Calculateur!AQ191*Calculateur!AS191*VLOOKUP('Données projet'!$B$10,Paramètres!$A$1:$I$89,3,0)*0.475*44/12</f>
        <v>2.6162445477492096</v>
      </c>
      <c r="AW191" s="23">
        <f>EXP(-LN(2)/2)*AW190+(1-EXP(-LN(2)/2))/(LN(2)/2)*AQ191*AT191*VLOOKUP('Données projet'!$B$10,Paramètres!$A$1:$I$89,3,0)*0.475*44/12</f>
        <v>8.4790916863055388E-13</v>
      </c>
      <c r="AX191" s="23">
        <f t="shared" si="166"/>
        <v>30.762828639453037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597.33274720439533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-1.72917680174578E-13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257.49385297440318</v>
      </c>
      <c r="T192" s="62">
        <f t="shared" si="142"/>
        <v>171.3281518185355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31.647086262500903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31.647086262500903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174.86489869124688</v>
      </c>
      <c r="AO192" s="62">
        <f t="shared" si="144"/>
        <v>146.54591565663782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27.594646745385806</v>
      </c>
      <c r="AV192" s="23">
        <f>EXP(-LN(2)/25)*AV191+(1-EXP(-LN(2)/25))/(LN(2)/25)*Calculateur!AQ192*Calculateur!AS192*VLOOKUP('Données projet'!$B$10,Paramètres!$A$1:$I$89,3,0)*0.475*44/12</f>
        <v>2.544703203008686</v>
      </c>
      <c r="AW192" s="23">
        <f>EXP(-LN(2)/2)*AW191+(1-EXP(-LN(2)/2))/(LN(2)/2)*AQ192*AT192*VLOOKUP('Données projet'!$B$10,Paramètres!$A$1:$I$89,3,0)*0.475*44/12</f>
        <v>5.9956232296891248E-13</v>
      </c>
      <c r="AX192" s="23">
        <f t="shared" si="166"/>
        <v>30.139349948395093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598.90253629764379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-1.72917680174578E-13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257.49385297440318</v>
      </c>
      <c r="T193" s="62">
        <f t="shared" si="142"/>
        <v>171.3281518185355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31.026506203709886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31.026506203709886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174.86489869124688</v>
      </c>
      <c r="AO193" s="62">
        <f t="shared" si="144"/>
        <v>146.54591565663782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27.053532553781373</v>
      </c>
      <c r="AV193" s="23">
        <f>EXP(-LN(2)/25)*AV192+(1-EXP(-LN(2)/25))/(LN(2)/25)*Calculateur!AQ193*Calculateur!AS193*VLOOKUP('Données projet'!$B$10,Paramètres!$A$1:$I$89,3,0)*0.475*44/12</f>
        <v>2.475118160102288</v>
      </c>
      <c r="AW193" s="23">
        <f>EXP(-LN(2)/2)*AW192+(1-EXP(-LN(2)/2))/(LN(2)/2)*AQ193*AT193*VLOOKUP('Données projet'!$B$10,Paramètres!$A$1:$I$89,3,0)*0.475*44/12</f>
        <v>4.2395458431527694E-13</v>
      </c>
      <c r="AX193" s="23">
        <f t="shared" si="166"/>
        <v>29.528650713884083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600.4721460669806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-1.72917680174578E-13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257.49385297440318</v>
      </c>
      <c r="T194" s="62">
        <f t="shared" si="142"/>
        <v>171.3281518185355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30.418095341355301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30.418095341355301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174.86489869124688</v>
      </c>
      <c r="AO194" s="62">
        <f t="shared" si="144"/>
        <v>146.54591565663782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26.523029281427238</v>
      </c>
      <c r="AV194" s="23">
        <f>EXP(-LN(2)/25)*AV193+(1-EXP(-LN(2)/25))/(LN(2)/25)*Calculateur!AQ194*Calculateur!AS194*VLOOKUP('Données projet'!$B$10,Paramètres!$A$1:$I$89,3,0)*0.475*44/12</f>
        <v>2.4074359238534839</v>
      </c>
      <c r="AW194" s="23">
        <f>EXP(-LN(2)/2)*AW193+(1-EXP(-LN(2)/2))/(LN(2)/2)*AQ194*AT194*VLOOKUP('Données projet'!$B$10,Paramètres!$A$1:$I$89,3,0)*0.475*44/12</f>
        <v>2.9978116148445624E-13</v>
      </c>
      <c r="AX194" s="23">
        <f t="shared" si="166"/>
        <v>28.930465205281021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602.04157756024915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-1.72917680174578E-13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257.49385297440318</v>
      </c>
      <c r="T195" s="62">
        <f t="shared" si="142"/>
        <v>171.3281518185355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29.821615044917504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29.821615044917504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174.86489869124688</v>
      </c>
      <c r="AO195" s="62">
        <f t="shared" si="144"/>
        <v>146.54591565663782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26.002928854668919</v>
      </c>
      <c r="AV195" s="23">
        <f>EXP(-LN(2)/25)*AV194+(1-EXP(-LN(2)/25))/(LN(2)/25)*Calculateur!AQ195*Calculateur!AS195*VLOOKUP('Données projet'!$B$10,Paramètres!$A$1:$I$89,3,0)*0.475*44/12</f>
        <v>2.3416044619141574</v>
      </c>
      <c r="AW195" s="23">
        <f>EXP(-LN(2)/2)*AW194+(1-EXP(-LN(2)/2))/(LN(2)/2)*AQ195*AT195*VLOOKUP('Données projet'!$B$10,Paramètres!$A$1:$I$89,3,0)*0.475*44/12</f>
        <v>2.1197729215763847E-13</v>
      </c>
      <c r="AX195" s="23">
        <f t="shared" si="166"/>
        <v>28.344533316583291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603.61083181374556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-1.72917680174578E-13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257.49385297440318</v>
      </c>
      <c r="T196" s="62">
        <f t="shared" si="142"/>
        <v>171.3281518185355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29.236831363275797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29.236831363275797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174.86489869124688</v>
      </c>
      <c r="AO196" s="62">
        <f t="shared" si="144"/>
        <v>146.54591565663782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25.493027280049397</v>
      </c>
      <c r="AV196" s="23">
        <f>EXP(-LN(2)/25)*AV195+(1-EXP(-LN(2)/25))/(LN(2)/25)*Calculateur!AQ196*Calculateur!AS196*VLOOKUP('Données projet'!$B$10,Paramètres!$A$1:$I$89,3,0)*0.475*44/12</f>
        <v>2.277573164763488</v>
      </c>
      <c r="AW196" s="23">
        <f>EXP(-LN(2)/2)*AW195+(1-EXP(-LN(2)/2))/(LN(2)/2)*AQ196*AT196*VLOOKUP('Données projet'!$B$10,Paramètres!$A$1:$I$89,3,0)*0.475*44/12</f>
        <v>1.4989058074222812E-13</v>
      </c>
      <c r="AX196" s="23">
        <f t="shared" si="166"/>
        <v>27.770600444813034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605.17990985240579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-1.72917680174578E-13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257.49385297440318</v>
      </c>
      <c r="T197" s="62">
        <f t="shared" ref="T197:T203" si="204">$T$3</f>
        <v>171.3281518185355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28.663514932948257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28.663514932948257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174.86489869124688</v>
      </c>
      <c r="AO197" s="62">
        <f t="shared" ref="AO197:AO203" si="205">$AO$3</f>
        <v>146.54591565663782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24.993124564298913</v>
      </c>
      <c r="AV197" s="23">
        <f>EXP(-LN(2)/25)*AV196+(1-EXP(-LN(2)/25))/(LN(2)/25)*Calculateur!AQ197*Calculateur!AS197*VLOOKUP('Données projet'!$B$10,Paramètres!$A$1:$I$89,3,0)*0.475*44/12</f>
        <v>2.215292806800663</v>
      </c>
      <c r="AW197" s="23">
        <f>EXP(-LN(2)/2)*AW196+(1-EXP(-LN(2)/2))/(LN(2)/2)*AQ197*AT197*VLOOKUP('Données projet'!$B$10,Paramètres!$A$1:$I$89,3,0)*0.475*44/12</f>
        <v>1.0598864607881924E-13</v>
      </c>
      <c r="AX197" s="23">
        <f t="shared" si="166"/>
        <v>27.208417371099682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606.7488126899874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-1.72917680174578E-13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257.49385297440318</v>
      </c>
      <c r="T198" s="62">
        <f t="shared" si="204"/>
        <v>171.3281518185355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28.101440888130945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28.101440888130945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174.86489869124688</v>
      </c>
      <c r="AO198" s="62">
        <f t="shared" si="205"/>
        <v>146.54591565663782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24.503024635893745</v>
      </c>
      <c r="AV198" s="23">
        <f>EXP(-LN(2)/25)*AV197+(1-EXP(-LN(2)/25))/(LN(2)/25)*Calculateur!AQ198*Calculateur!AS198*VLOOKUP('Données projet'!$B$10,Paramètres!$A$1:$I$89,3,0)*0.475*44/12</f>
        <v>2.1547155085015133</v>
      </c>
      <c r="AW198" s="23">
        <f>EXP(-LN(2)/2)*AW197+(1-EXP(-LN(2)/2))/(LN(2)/2)*AQ198*AT198*VLOOKUP('Données projet'!$B$10,Paramètres!$A$1:$I$89,3,0)*0.475*44/12</f>
        <v>7.494529037111406E-14</v>
      </c>
      <c r="AX198" s="23">
        <f t="shared" si="166"/>
        <v>26.657740144395333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608.31754132924857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-1.72917680174578E-13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257.49385297440318</v>
      </c>
      <c r="T199" s="62">
        <f t="shared" si="204"/>
        <v>171.3281518185355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27.550388772501186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27.550388772501186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174.86489869124688</v>
      </c>
      <c r="AO199" s="62">
        <f t="shared" si="205"/>
        <v>146.54591565663782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24.022535268153163</v>
      </c>
      <c r="AV199" s="23">
        <f>EXP(-LN(2)/25)*AV198+(1-EXP(-LN(2)/25))/(LN(2)/25)*Calculateur!AQ199*Calculateur!AS199*VLOOKUP('Données projet'!$B$10,Paramètres!$A$1:$I$89,3,0)*0.475*44/12</f>
        <v>2.0957946996099754</v>
      </c>
      <c r="AW199" s="23">
        <f>EXP(-LN(2)/2)*AW198+(1-EXP(-LN(2)/2))/(LN(2)/2)*AQ199*AT199*VLOOKUP('Données projet'!$B$10,Paramètres!$A$1:$I$89,3,0)*0.475*44/12</f>
        <v>5.2994323039409618E-14</v>
      </c>
      <c r="AX199" s="23">
        <f t="shared" si="166"/>
        <v>26.118329967763191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609.88609676212241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-1.72917680174578E-13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257.49385297440318</v>
      </c>
      <c r="T200" s="62">
        <f t="shared" si="204"/>
        <v>171.3281518185355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27.010142452750326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27.010142452750326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174.86489869124688</v>
      </c>
      <c r="AO200" s="62">
        <f t="shared" si="205"/>
        <v>146.54591565663782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23.551468003844398</v>
      </c>
      <c r="AV200" s="23">
        <f>EXP(-LN(2)/25)*AV199+(1-EXP(-LN(2)/25))/(LN(2)/25)*Calculateur!AQ200*Calculateur!AS200*VLOOKUP('Données projet'!$B$10,Paramètres!$A$1:$I$89,3,0)*0.475*44/12</f>
        <v>2.0384850833360875</v>
      </c>
      <c r="AW200" s="23">
        <f>EXP(-LN(2)/2)*AW199+(1-EXP(-LN(2)/2))/(LN(2)/2)*AQ200*AT200*VLOOKUP('Données projet'!$B$10,Paramètres!$A$1:$I$89,3,0)*0.475*44/12</f>
        <v>3.747264518555703E-14</v>
      </c>
      <c r="AX200" s="23">
        <f t="shared" si="166"/>
        <v>25.589953087180525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611.45447996988946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-1.72917680174578E-13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257.49385297440318</v>
      </c>
      <c r="T201" s="62">
        <f t="shared" si="204"/>
        <v>171.3281518185355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26.48049003381206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26.48049003381206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174.86489869124688</v>
      </c>
      <c r="AO201" s="62">
        <f t="shared" si="205"/>
        <v>146.54591565663782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23.08963808126607</v>
      </c>
      <c r="AV201" s="23">
        <f>EXP(-LN(2)/25)*AV200+(1-EXP(-LN(2)/25))/(LN(2)/25)*Calculateur!AQ201*Calculateur!AS201*VLOOKUP('Données projet'!$B$10,Paramètres!$A$1:$I$89,3,0)*0.475*44/12</f>
        <v>1.9827426015329905</v>
      </c>
      <c r="AW201" s="23">
        <f>EXP(-LN(2)/2)*AW200+(1-EXP(-LN(2)/2))/(LN(2)/2)*AQ201*AT201*VLOOKUP('Données projet'!$B$10,Paramètres!$A$1:$I$89,3,0)*0.475*44/12</f>
        <v>2.6497161519704809E-14</v>
      </c>
      <c r="AX201" s="23">
        <f t="shared" si="166"/>
        <v>25.072380682799086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613.0226919233437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-1.72917680174578E-13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257.49385297440318</v>
      </c>
      <c r="T202" s="62">
        <f t="shared" si="204"/>
        <v>171.3281518185355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25.961223775753098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25.961223775753098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174.86489869124688</v>
      </c>
      <c r="AO202" s="62">
        <f t="shared" si="205"/>
        <v>146.54591565663782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22.636864361781061</v>
      </c>
      <c r="AV202" s="23">
        <f>EXP(-LN(2)/25)*AV201+(1-EXP(-LN(2)/25))/(LN(2)/25)*Calculateur!AQ202*Calculateur!AS202*VLOOKUP('Données projet'!$B$10,Paramètres!$A$1:$I$89,3,0)*0.475*44/12</f>
        <v>1.928524400826169</v>
      </c>
      <c r="AW202" s="23">
        <f>EXP(-LN(2)/2)*AW201+(1-EXP(-LN(2)/2))/(LN(2)/2)*AQ202*AT202*VLOOKUP('Données projet'!$B$10,Paramètres!$A$1:$I$89,3,0)*0.475*44/12</f>
        <v>1.8736322592778515E-14</v>
      </c>
      <c r="AX202" s="23">
        <f t="shared" si="166"/>
        <v>24.565388762607249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614.59073358295734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-1.72917680174578E-13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257.49385297440318</v>
      </c>
      <c r="T203" s="62">
        <f t="shared" si="204"/>
        <v>171.3281518185355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25.452140012293526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25.452140012293526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174.86489869124688</v>
      </c>
      <c r="AO203" s="62">
        <f t="shared" si="205"/>
        <v>146.54591565663782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22.192969258770454</v>
      </c>
      <c r="AV203" s="23">
        <f>EXP(-LN(2)/25)*AV202+(1-EXP(-LN(2)/25))/(LN(2)/25)*Calculateur!AQ203*Calculateur!AS203*VLOOKUP('Données projet'!$B$10,Paramètres!$A$1:$I$89,3,0)*0.475*44/12</f>
        <v>1.8757887996688869</v>
      </c>
      <c r="AW203" s="23">
        <f>EXP(-LN(2)/2)*AW202+(1-EXP(-LN(2)/2))/(LN(2)/2)*AQ203*AT203*VLOOKUP('Données projet'!$B$10,Paramètres!$A$1:$I$89,3,0)*0.475*44/12</f>
        <v>1.3248580759852404E-14</v>
      </c>
      <c r="AX203" s="23">
        <f t="shared" si="166"/>
        <v>24.068758058439354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1.2516796742016716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1.1199509302709205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33" sqref="J3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Chêne pubescent</v>
      </c>
      <c r="B6" s="155">
        <f>'Données projet'!D9</f>
        <v>4</v>
      </c>
      <c r="C6" s="156">
        <f ca="1">IF(OR('Données projet'!B9="",'Données projet'!C9="",'Données projet'!C9=0%),0,Calculateur!S3)</f>
        <v>257.49385297440318</v>
      </c>
      <c r="D6" s="156">
        <f>IF(OR('Données projet'!B9="",'Données projet'!C9="",'Données projet'!C9=0%),0,Calculateur!T3)</f>
        <v>171.3281518185355</v>
      </c>
      <c r="E6" s="156">
        <f ca="1">MIN(C6,D6)</f>
        <v>171.3281518185355</v>
      </c>
      <c r="F6" s="156">
        <f ca="1">E6*B6</f>
        <v>685.31260727414201</v>
      </c>
      <c r="G6" s="156">
        <f ca="1">F6*(100%-'Données projet'!$C$24)*(100%-'Données projet'!$C$25)*(100%-'Données projet'!$C$26)*(100%-'Données projet'!$C$27)</f>
        <v>555.10321189205501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43</v>
      </c>
      <c r="K6" s="160">
        <f>J6*(100%-'Données projet'!$C$24)*(100%-'Données projet'!$C$25)*(100%-'Données projet'!$C$26)*(100%-'Données projet'!$C$27)</f>
        <v>34.830000000000005</v>
      </c>
      <c r="L6" s="161">
        <f ca="1">G6+I6+K6</f>
        <v>589.93321189205506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Cèdre de l'Atlas</v>
      </c>
      <c r="B7" s="163">
        <f>'Données projet'!D10</f>
        <v>4</v>
      </c>
      <c r="C7" s="156">
        <f ca="1">IF(OR('Données projet'!B10="",'Données projet'!C10="",'Données projet'!C10=0%),0,Calculateur!AN3)</f>
        <v>174.86489869124688</v>
      </c>
      <c r="D7" s="156">
        <f>IF(OR('Données projet'!B10="",'Données projet'!C10="",'Données projet'!C10=0%),0,Calculateur!AO3)</f>
        <v>146.54591565663782</v>
      </c>
      <c r="E7" s="156">
        <f t="shared" ref="E7:E15" ca="1" si="0">MIN(C7,D7)</f>
        <v>146.54591565663782</v>
      </c>
      <c r="F7" s="156">
        <f t="shared" ref="F7:F15" ca="1" si="1">E7*B7</f>
        <v>586.18366262655127</v>
      </c>
      <c r="G7" s="156">
        <f ca="1">F7*(100%-'Données projet'!$C$24)*(100%-'Données projet'!$C$25)*(100%-'Données projet'!$C$26)*(100%-'Données projet'!$C$27)</f>
        <v>474.80876672750662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474.80876672750662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1271.4962699006933</v>
      </c>
      <c r="G16" s="175">
        <f t="shared" ca="1" si="3"/>
        <v>1029.9119786195615</v>
      </c>
      <c r="H16" s="176">
        <f t="shared" si="3"/>
        <v>0</v>
      </c>
      <c r="I16" s="176">
        <f t="shared" si="3"/>
        <v>0</v>
      </c>
      <c r="J16" s="177">
        <f t="shared" si="3"/>
        <v>43</v>
      </c>
      <c r="K16" s="177">
        <f t="shared" si="3"/>
        <v>34.830000000000005</v>
      </c>
      <c r="L16" s="178">
        <f t="shared" ca="1" si="3"/>
        <v>1064.7419786195617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80" zoomScaleNormal="80" workbookViewId="0">
      <selection activeCell="J21" sqref="J2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-2731.7520652069097</v>
      </c>
      <c r="U10" s="190">
        <f>'Données projet'!D9</f>
        <v>4</v>
      </c>
      <c r="V10" s="189">
        <f>U10*T10</f>
        <v>-10927.008260827639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Cèdre de l'Atlas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-3120.3835265257126</v>
      </c>
      <c r="U11" s="190">
        <f>'Données projet'!D10</f>
        <v>4</v>
      </c>
      <c r="V11" s="189">
        <f t="shared" ref="V11" si="0">U11*T11</f>
        <v>-12481.53410610285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>
        <v>1</v>
      </c>
      <c r="I15" s="204">
        <v>4018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>
        <v>30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4852.4399999999996</v>
      </c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29.999999999999996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>
        <v>15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449.99999999999994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>
        <f>1650+3286.25</f>
        <v>4936.25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300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400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15</v>
      </c>
      <c r="B23" s="193">
        <f>'Données projet'!D36</f>
        <v>0</v>
      </c>
      <c r="C23" s="206">
        <f>225*'Données projet'!E36+13.8*('Données projet'!F36+'Données projet'!G36)+15*'Données projet'!G36</f>
        <v>0</v>
      </c>
      <c r="D23" s="194">
        <f>B23*C23</f>
        <v>0</v>
      </c>
      <c r="E23" s="206"/>
      <c r="F23" s="260"/>
      <c r="H23" s="203">
        <v>3</v>
      </c>
      <c r="I23" s="204"/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-37365.720316153267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20</v>
      </c>
      <c r="B24" s="193">
        <f>'Données projet'!D37</f>
        <v>11</v>
      </c>
      <c r="C24" s="206">
        <f>225*'Données projet'!E37+13.8*('Données projet'!F37+'Données projet'!G37)+15*'Données projet'!G37</f>
        <v>0</v>
      </c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961.20005582521071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25</v>
      </c>
      <c r="B25" s="193">
        <f>'Données projet'!D38</f>
        <v>15</v>
      </c>
      <c r="C25" s="206">
        <f>225*'Données projet'!E38+13.8*('Données projet'!F38+'Données projet'!G38)+15*'Données projet'!G38</f>
        <v>0</v>
      </c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-38326.920371978478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30</v>
      </c>
      <c r="B26" s="193">
        <f>'Données projet'!D39</f>
        <v>17</v>
      </c>
      <c r="C26" s="206">
        <f>225*'Données projet'!E39+13.8*('Données projet'!F39+'Données projet'!G39)+15*'Données projet'!G39</f>
        <v>0</v>
      </c>
      <c r="D26" s="194">
        <f t="shared" si="2"/>
        <v>0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35</v>
      </c>
      <c r="B27" s="193">
        <f>'Données projet'!D40</f>
        <v>19</v>
      </c>
      <c r="C27" s="206">
        <f>225*'Données projet'!E40+13.8*('Données projet'!F40+'Données projet'!G40)+15*'Données projet'!G40</f>
        <v>45</v>
      </c>
      <c r="D27" s="194">
        <f t="shared" si="2"/>
        <v>855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40</v>
      </c>
      <c r="B28" s="193">
        <f>'Données projet'!D41</f>
        <v>20</v>
      </c>
      <c r="C28" s="206">
        <f>225*'Données projet'!E41+13.8*('Données projet'!F41+'Données projet'!G41)+15*'Données projet'!G41</f>
        <v>45</v>
      </c>
      <c r="D28" s="194">
        <f t="shared" si="2"/>
        <v>900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45</v>
      </c>
      <c r="B29" s="193">
        <f>'Données projet'!D42</f>
        <v>21</v>
      </c>
      <c r="C29" s="206">
        <f>225*'Données projet'!E42+13.8*('Données projet'!F42+'Données projet'!G42)+15*'Données projet'!G42</f>
        <v>67.5</v>
      </c>
      <c r="D29" s="194">
        <f t="shared" si="2"/>
        <v>1417.5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50</v>
      </c>
      <c r="B30" s="193">
        <f>'Données projet'!D43</f>
        <v>22</v>
      </c>
      <c r="C30" s="206">
        <f>225*'Données projet'!E43+13.8*('Données projet'!F43+'Données projet'!G43)+15*'Données projet'!G43</f>
        <v>67.5</v>
      </c>
      <c r="D30" s="194">
        <f t="shared" si="2"/>
        <v>1485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55</v>
      </c>
      <c r="B31" s="193">
        <f>'Données projet'!D44</f>
        <v>22</v>
      </c>
      <c r="C31" s="206">
        <f>225*'Données projet'!E44+13.8*('Données projet'!F44+'Données projet'!G44)+15*'Données projet'!G44</f>
        <v>90</v>
      </c>
      <c r="D31" s="194">
        <f t="shared" si="2"/>
        <v>1980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60</v>
      </c>
      <c r="B32" s="193">
        <f>'Données projet'!D45</f>
        <v>22</v>
      </c>
      <c r="C32" s="206">
        <f>225*'Données projet'!E45+13.8*('Données projet'!F45+'Données projet'!G45)+15*'Données projet'!G45</f>
        <v>90</v>
      </c>
      <c r="D32" s="194">
        <f t="shared" si="2"/>
        <v>1980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65</v>
      </c>
      <c r="B33" s="193">
        <f>'Données projet'!D46</f>
        <v>22</v>
      </c>
      <c r="C33" s="206">
        <f>225*'Données projet'!E46+13.8*('Données projet'!F46+'Données projet'!G46)+15*'Données projet'!G46</f>
        <v>112.5</v>
      </c>
      <c r="D33" s="194">
        <f t="shared" si="2"/>
        <v>2475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70</v>
      </c>
      <c r="B34" s="193">
        <f>'Données projet'!D47</f>
        <v>22</v>
      </c>
      <c r="C34" s="206">
        <f>225*'Données projet'!E47+13.8*('Données projet'!F47+'Données projet'!G47)+15*'Données projet'!G47</f>
        <v>112.5</v>
      </c>
      <c r="D34" s="194">
        <f t="shared" si="2"/>
        <v>2475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75</v>
      </c>
      <c r="B35" s="193">
        <f>'Données projet'!D48</f>
        <v>22</v>
      </c>
      <c r="C35" s="206">
        <f>225*'Données projet'!E48+13.8*('Données projet'!F48+'Données projet'!G48)+15*'Données projet'!G48</f>
        <v>135</v>
      </c>
      <c r="D35" s="194">
        <f t="shared" si="2"/>
        <v>2970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80</v>
      </c>
      <c r="B36" s="193">
        <f>'Données projet'!D49</f>
        <v>21</v>
      </c>
      <c r="C36" s="206">
        <f>225*'Données projet'!E49+13.8*('Données projet'!F49+'Données projet'!G49)+15*'Données projet'!G49</f>
        <v>135</v>
      </c>
      <c r="D36" s="194">
        <f t="shared" si="2"/>
        <v>2835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85</v>
      </c>
      <c r="B37" s="193">
        <f>'Données projet'!D50</f>
        <v>20</v>
      </c>
      <c r="C37" s="206">
        <f>225*'Données projet'!E50+13.8*('Données projet'!F50+'Données projet'!G50)+15*'Données projet'!G50</f>
        <v>157.5</v>
      </c>
      <c r="D37" s="194">
        <f t="shared" si="2"/>
        <v>3150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90</v>
      </c>
      <c r="B38" s="193">
        <f>'Données projet'!D51</f>
        <v>20</v>
      </c>
      <c r="C38" s="206">
        <f>225*'Données projet'!E51+13.8*('Données projet'!F51+'Données projet'!G51)+15*'Données projet'!G51</f>
        <v>157.5</v>
      </c>
      <c r="D38" s="194">
        <f t="shared" si="2"/>
        <v>3150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95</v>
      </c>
      <c r="B39" s="193">
        <f>'Données projet'!D52</f>
        <v>19</v>
      </c>
      <c r="C39" s="206">
        <f>225*'Données projet'!E52+13.8*('Données projet'!F52+'Données projet'!G52)+15*'Données projet'!G52</f>
        <v>180</v>
      </c>
      <c r="D39" s="194">
        <f t="shared" si="2"/>
        <v>3420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100</v>
      </c>
      <c r="B40" s="193">
        <f>'Données projet'!D53</f>
        <v>18</v>
      </c>
      <c r="C40" s="206">
        <f>225*'Données projet'!E53+13.8*('Données projet'!F53+'Données projet'!G53)+15*'Données projet'!G53</f>
        <v>180</v>
      </c>
      <c r="D40" s="194">
        <f t="shared" si="2"/>
        <v>3240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105</v>
      </c>
      <c r="B41" s="193">
        <f>'Données projet'!D54</f>
        <v>17</v>
      </c>
      <c r="C41" s="206">
        <f>225*'Données projet'!E54+13.8*('Données projet'!F54+'Données projet'!G54)+15*'Données projet'!G54</f>
        <v>180</v>
      </c>
      <c r="D41" s="194">
        <f t="shared" si="2"/>
        <v>3060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110</v>
      </c>
      <c r="B42" s="193">
        <f>'Données projet'!D55</f>
        <v>282</v>
      </c>
      <c r="C42" s="206">
        <f>225*'Données projet'!E55+13.8*('Données projet'!F55+'Données projet'!G55)+15*'Données projet'!G55</f>
        <v>180</v>
      </c>
      <c r="D42" s="194">
        <f t="shared" si="2"/>
        <v>50760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3960.9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51</v>
      </c>
      <c r="B54" s="193">
        <f>'Données projet'!D62</f>
        <v>99.93</v>
      </c>
      <c r="C54" s="204">
        <f>54*'Données projet'!E62+19.4*('Données projet'!F62+'Données projet'!G62)+15*'Données projet'!H62</f>
        <v>33.24</v>
      </c>
      <c r="D54" s="191">
        <f>B54*C54</f>
        <v>3321.6732000000006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63</v>
      </c>
      <c r="B55" s="193">
        <f>'Données projet'!D63</f>
        <v>113.87</v>
      </c>
      <c r="C55" s="204">
        <f>54*'Données projet'!E63+19.4*('Données projet'!F63+'Données projet'!G63)+15*'Données projet'!H63</f>
        <v>36.700000000000003</v>
      </c>
      <c r="D55" s="191">
        <f t="shared" ref="D55:D73" si="4">B55*C55</f>
        <v>4179.0290000000005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75</v>
      </c>
      <c r="B56" s="193">
        <f>'Données projet'!D64</f>
        <v>92.44</v>
      </c>
      <c r="C56" s="204">
        <f>54*'Données projet'!E64+19.4*('Données projet'!F64+'Données projet'!G64)+15*'Données projet'!H64</f>
        <v>40.159999999999997</v>
      </c>
      <c r="D56" s="191">
        <f t="shared" si="4"/>
        <v>3712.3903999999998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87</v>
      </c>
      <c r="B57" s="193">
        <f>'Données projet'!D65</f>
        <v>91.18</v>
      </c>
      <c r="C57" s="204">
        <f>54*'Données projet'!E65+19.4*('Données projet'!F65+'Données projet'!G65)+15*'Données projet'!H65</f>
        <v>43.62</v>
      </c>
      <c r="D57" s="191">
        <f t="shared" si="4"/>
        <v>3977.2716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99</v>
      </c>
      <c r="B58" s="193">
        <f>'Données projet'!D66</f>
        <v>440.24</v>
      </c>
      <c r="C58" s="204">
        <f>54*'Données projet'!E66+19.4*('Données projet'!F66+'Données projet'!G66)+15*'Données projet'!H66</f>
        <v>47.080000000000005</v>
      </c>
      <c r="D58" s="191">
        <f t="shared" si="4"/>
        <v>20726.499200000002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>
        <f>54*'Données projet'!E67+19.4*('Données projet'!F67+'Données projet'!G67)+15*'Données projet'!H67</f>
        <v>0</v>
      </c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>
        <f>54*'Données projet'!E68+19.4*('Données projet'!F68+'Données projet'!G68)+15*'Données projet'!H68</f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f>54*'Données projet'!E69+19.4*('Données projet'!F69+'Données projet'!G69)+15*'Données projet'!H69</f>
        <v>0</v>
      </c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54*'Données projet'!E70+19.4*('Données projet'!F70+'Données projet'!G70)+15*'Données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54*'Données projet'!E71+19.4*('Données projet'!F71+'Données projet'!G71)+15*'Données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54*'Données projet'!E72+19.4*('Données projet'!F72+'Données projet'!G72)+15*'Données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54*'Données projet'!E73+19.4*('Données projet'!F73+'Données projet'!G73)+15*'Données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54*'Données projet'!E74+19.4*('Données projet'!F74+'Données projet'!G74)+15*'Données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54*'Données projet'!E75+19.4*('Données projet'!F75+'Données projet'!G75)+15*'Données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54*'Données projet'!E76+19.4*('Données projet'!F76+'Données projet'!G76)+15*'Données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54*'Données projet'!E77+19.4*('Données projet'!F77+'Données projet'!G77)+15*'Données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54*'Données projet'!E78+19.4*('Données projet'!F78+'Données projet'!G78)+15*'Données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54*'Données projet'!E79+19.4*('Données projet'!F79+'Données projet'!G79)+15*'Données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54*'Données projet'!E80+19.4*('Données projet'!F80+'Données projet'!G80)+15*'Données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54*'Données projet'!E81+19.4*('Données projet'!F81+'Données projet'!G81)+15*'Données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2025-06-03T16:30:31Z</dcterms:modified>
</cp:coreProperties>
</file>