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oy.Rombaut\Nextcloud\Documents partagés C+FOR\Geoffroy\Projets\Projets C+for\CNPF C+for n° 189 Beaufay (Deloitte France n° 4)\"/>
    </mc:Choice>
  </mc:AlternateContent>
  <bookViews>
    <workbookView xWindow="0" yWindow="0" windowWidth="11748" windowHeight="5316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5" i="1" l="1"/>
  <c r="D94" i="1"/>
  <c r="B94" i="1"/>
  <c r="B93" i="1"/>
  <c r="D92" i="1"/>
  <c r="B92" i="1"/>
  <c r="B91" i="1"/>
  <c r="D90" i="1"/>
  <c r="B90" i="1"/>
  <c r="B89" i="1"/>
  <c r="B69" i="1"/>
  <c r="D68" i="1"/>
  <c r="B68" i="1"/>
  <c r="B67" i="1"/>
  <c r="D66" i="1"/>
  <c r="B66" i="1"/>
  <c r="B65" i="1"/>
  <c r="D64" i="1"/>
  <c r="B64" i="1"/>
  <c r="B63" i="1"/>
  <c r="D48" i="1" l="1"/>
  <c r="B185" i="1"/>
  <c r="D185" i="1" s="1"/>
  <c r="D184" i="1"/>
  <c r="B184" i="1"/>
  <c r="B183" i="1"/>
  <c r="D182" i="1"/>
  <c r="B182" i="1"/>
  <c r="B181" i="1"/>
  <c r="D180" i="1"/>
  <c r="B180" i="1"/>
  <c r="B179" i="1"/>
  <c r="D178" i="1"/>
  <c r="B178" i="1"/>
  <c r="B177" i="1"/>
  <c r="D176" i="1"/>
  <c r="B176" i="1"/>
  <c r="B175" i="1"/>
  <c r="D174" i="1"/>
  <c r="B174" i="1"/>
  <c r="B173" i="1"/>
  <c r="D172" i="1"/>
  <c r="B172" i="1"/>
  <c r="B171" i="1"/>
  <c r="D170" i="1"/>
  <c r="B170" i="1"/>
  <c r="B169" i="1"/>
  <c r="D168" i="1"/>
  <c r="B168" i="1"/>
  <c r="B167" i="1"/>
  <c r="B166" i="1"/>
  <c r="B159" i="1" l="1"/>
  <c r="D159" i="1" s="1"/>
  <c r="B158" i="1"/>
  <c r="D157" i="1"/>
  <c r="B157" i="1"/>
  <c r="B156" i="1"/>
  <c r="D155" i="1"/>
  <c r="B155" i="1"/>
  <c r="B154" i="1"/>
  <c r="D153" i="1"/>
  <c r="B153" i="1"/>
  <c r="B152" i="1"/>
  <c r="D151" i="1"/>
  <c r="B151" i="1"/>
  <c r="B150" i="1"/>
  <c r="D149" i="1"/>
  <c r="B149" i="1"/>
  <c r="B148" i="1"/>
  <c r="D147" i="1"/>
  <c r="B147" i="1"/>
  <c r="B146" i="1"/>
  <c r="D145" i="1"/>
  <c r="B145" i="1"/>
  <c r="B144" i="1"/>
  <c r="D143" i="1"/>
  <c r="B143" i="1"/>
  <c r="B142" i="1"/>
  <c r="B141" i="1"/>
  <c r="B140" i="1"/>
  <c r="D133" i="1"/>
  <c r="B133" i="1"/>
  <c r="B132" i="1"/>
  <c r="D131" i="1"/>
  <c r="B131" i="1"/>
  <c r="B130" i="1"/>
  <c r="D129" i="1"/>
  <c r="B129" i="1"/>
  <c r="B128" i="1"/>
  <c r="D127" i="1"/>
  <c r="B127" i="1"/>
  <c r="B126" i="1"/>
  <c r="D125" i="1"/>
  <c r="B125" i="1"/>
  <c r="B124" i="1"/>
  <c r="D123" i="1"/>
  <c r="B123" i="1"/>
  <c r="B122" i="1"/>
  <c r="D121" i="1"/>
  <c r="B121" i="1"/>
  <c r="B120" i="1"/>
  <c r="D119" i="1"/>
  <c r="B119" i="1"/>
  <c r="B118" i="1"/>
  <c r="D117" i="1"/>
  <c r="B117" i="1"/>
  <c r="B116" i="1"/>
  <c r="B115" i="1"/>
  <c r="B114" i="1"/>
  <c r="B207" i="1" l="1"/>
  <c r="D207" i="1" s="1"/>
  <c r="D206" i="1"/>
  <c r="B206" i="1"/>
  <c r="B205" i="1"/>
  <c r="D204" i="1"/>
  <c r="B204" i="1"/>
  <c r="B203" i="1"/>
  <c r="D202" i="1"/>
  <c r="B202" i="1"/>
  <c r="B201" i="1"/>
  <c r="D200" i="1"/>
  <c r="B200" i="1"/>
  <c r="B199" i="1"/>
  <c r="D198" i="1"/>
  <c r="B198" i="1"/>
  <c r="B197" i="1"/>
  <c r="D196" i="1"/>
  <c r="B196" i="1"/>
  <c r="B195" i="1"/>
  <c r="D194" i="1"/>
  <c r="B194" i="1"/>
  <c r="B193" i="1"/>
  <c r="B192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W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W22" i="2"/>
  <c r="EB22" i="2"/>
  <c r="EC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B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DI154" i="2"/>
  <c r="EY154" i="2"/>
  <c r="EX155" i="2"/>
  <c r="EW155" i="2"/>
  <c r="EY155" i="2" s="1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D155" i="2" l="1"/>
  <c r="DH156" i="2"/>
  <c r="EX156" i="2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X157" i="2"/>
  <c r="EB157" i="2"/>
  <c r="EC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W158" i="2" l="1"/>
  <c r="EV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A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X161" i="2" l="1"/>
  <c r="EA161" i="2"/>
  <c r="E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Y161" i="2"/>
  <c r="EW162" i="2"/>
  <c r="EC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EV163" i="2"/>
  <c r="EB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DH164" i="2"/>
  <c r="EV164" i="2"/>
  <c r="EY163" i="2"/>
  <c r="EX164" i="2"/>
  <c r="EA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A167" i="2"/>
  <c r="EB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V168" i="2"/>
  <c r="EW168" i="2"/>
  <c r="EB168" i="2"/>
  <c r="EC168" i="2"/>
  <c r="FS168" i="2"/>
  <c r="EX168" i="2"/>
  <c r="EY168" i="2" s="1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EY171" i="2" s="1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V172" i="2"/>
  <c r="EW172" i="2"/>
  <c r="EA172" i="2"/>
  <c r="EB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A175" i="2" l="1"/>
  <c r="EW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W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V179" i="2"/>
  <c r="EA179" i="2"/>
  <c r="EB179" i="2"/>
  <c r="DF179" i="2"/>
  <c r="FS179" i="2"/>
  <c r="EX179" i="2"/>
  <c r="EY179" i="2" s="1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EV185" i="2"/>
  <c r="EA185" i="2"/>
  <c r="EB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B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Y189" i="2" s="1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C192" i="2"/>
  <c r="EB192" i="2"/>
  <c r="EA192" i="2"/>
  <c r="ED192" i="2" s="1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X193" i="2" l="1"/>
  <c r="EA193" i="2"/>
  <c r="EB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D194" i="2" l="1"/>
  <c r="DH195" i="2"/>
  <c r="EX195" i="2"/>
  <c r="EY194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B201" i="2"/>
  <c r="EA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EW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26" i="2" a="1"/>
  <c r="BC126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4" i="2" a="1"/>
  <c r="BC84" i="2" s="1"/>
  <c r="BC31" i="2" a="1"/>
  <c r="BC31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14" i="2" l="1" a="1"/>
  <c r="BC114" i="2" s="1"/>
  <c r="BC32" i="2" a="1"/>
  <c r="BC32" i="2" s="1"/>
  <c r="BC164" i="2" a="1"/>
  <c r="BC164" i="2" s="1"/>
  <c r="BC151" i="2" a="1"/>
  <c r="BC151" i="2" s="1"/>
  <c r="BC192" i="2" a="1"/>
  <c r="BC192" i="2" s="1"/>
  <c r="BC68" i="2" a="1"/>
  <c r="BC68" i="2" s="1"/>
  <c r="BC83" i="2" a="1"/>
  <c r="BC83" i="2" s="1"/>
  <c r="BC7" i="2" a="1"/>
  <c r="BC7" i="2" s="1"/>
  <c r="BD7" i="2" s="1"/>
  <c r="BC55" i="2" a="1"/>
  <c r="BC55" i="2" s="1"/>
  <c r="BC117" i="2" a="1"/>
  <c r="BC117" i="2" s="1"/>
  <c r="BC58" i="2" a="1"/>
  <c r="BC58" i="2" s="1"/>
  <c r="BC82" i="2" a="1"/>
  <c r="BC82" i="2" s="1"/>
  <c r="BC130" i="2" a="1"/>
  <c r="BC130" i="2" s="1"/>
  <c r="BC181" i="2" a="1"/>
  <c r="BC181" i="2" s="1"/>
  <c r="BC34" i="2" a="1"/>
  <c r="BC34" i="2" s="1"/>
  <c r="BC38" i="2" a="1"/>
  <c r="BC38" i="2" s="1"/>
  <c r="BC47" i="2" a="1"/>
  <c r="BC47" i="2" s="1"/>
  <c r="BC185" i="2" a="1"/>
  <c r="BC185" i="2" s="1"/>
  <c r="BC143" i="2" a="1"/>
  <c r="BC143" i="2" s="1"/>
  <c r="BC65" i="2" a="1"/>
  <c r="BC65" i="2" s="1"/>
  <c r="AH92" i="2" a="1"/>
  <c r="AH92" i="2" s="1"/>
  <c r="AH199" i="2" a="1"/>
  <c r="AH199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42" i="2" l="1"/>
  <c r="CY161" i="2"/>
  <c r="CY40" i="2"/>
  <c r="CY168" i="2"/>
  <c r="CY45" i="2"/>
  <c r="CY9" i="2"/>
  <c r="CY11" i="2"/>
  <c r="CY139" i="2"/>
  <c r="CY24" i="2"/>
  <c r="CY143" i="2"/>
  <c r="CY66" i="2"/>
  <c r="CY85" i="2"/>
  <c r="CY46" i="2"/>
  <c r="CY104" i="2"/>
  <c r="CY180" i="2"/>
  <c r="CY129" i="2"/>
  <c r="CY122" i="2"/>
  <c r="CY33" i="2"/>
  <c r="CY55" i="2"/>
  <c r="CY36" i="2"/>
  <c r="CY51" i="2"/>
  <c r="CY43" i="2"/>
  <c r="CY69" i="2"/>
  <c r="CY142" i="2"/>
  <c r="CY27" i="2"/>
  <c r="CY106" i="2"/>
  <c r="CY126" i="2"/>
  <c r="CY150" i="2"/>
  <c r="CY128" i="2"/>
  <c r="CY108" i="2"/>
  <c r="CY138" i="2"/>
  <c r="CY105" i="2"/>
  <c r="CY58" i="2"/>
  <c r="CY172" i="2"/>
  <c r="CY112" i="2"/>
  <c r="CY22" i="2"/>
  <c r="CY47" i="2"/>
  <c r="CY5" i="2"/>
  <c r="CY21" i="2"/>
  <c r="CY149" i="2"/>
  <c r="CY181" i="2"/>
  <c r="CY94" i="2"/>
  <c r="CY71" i="2"/>
  <c r="CY157" i="2"/>
  <c r="CY189" i="2"/>
  <c r="CY97" i="2"/>
  <c r="CY67" i="2"/>
  <c r="CY127" i="2"/>
  <c r="CY26" i="2"/>
  <c r="CY156" i="2"/>
  <c r="CY182" i="2"/>
  <c r="CY16" i="2"/>
  <c r="CY196" i="2"/>
  <c r="CY17" i="2"/>
  <c r="CY49" i="2"/>
  <c r="CY100" i="2"/>
  <c r="CY166" i="2"/>
  <c r="CY98" i="2"/>
  <c r="CY187" i="2"/>
  <c r="CY167" i="2"/>
  <c r="CY8" i="2"/>
  <c r="CY171" i="2"/>
  <c r="CY158" i="2"/>
  <c r="CY86" i="2"/>
  <c r="CY174" i="2"/>
  <c r="CY82" i="2"/>
  <c r="CY83" i="2"/>
  <c r="CY175" i="2"/>
  <c r="CY79" i="2"/>
  <c r="CY59" i="2"/>
  <c r="CY80" i="2"/>
  <c r="CY64" i="2"/>
  <c r="CY61" i="2"/>
  <c r="CY90" i="2"/>
  <c r="CY6" i="2"/>
  <c r="CY118" i="2"/>
  <c r="CY199" i="2"/>
  <c r="CY52" i="2"/>
  <c r="CY102" i="2"/>
  <c r="CY30" i="2"/>
  <c r="CY201" i="2"/>
  <c r="CY113" i="2"/>
  <c r="CY89" i="2"/>
  <c r="CY20" i="2"/>
  <c r="CY81" i="2"/>
  <c r="CY111" i="2"/>
  <c r="CY148" i="2"/>
  <c r="CY190" i="2"/>
  <c r="CY117" i="2"/>
  <c r="CY186" i="2"/>
  <c r="CY164" i="2"/>
  <c r="CY173" i="2"/>
  <c r="CY38" i="2"/>
  <c r="CY145" i="2"/>
  <c r="CY179" i="2"/>
  <c r="CY54" i="2"/>
  <c r="CY88" i="2"/>
  <c r="CY77" i="2"/>
  <c r="CY132" i="2"/>
  <c r="CY200" i="2"/>
  <c r="CY50" i="2"/>
  <c r="CY7" i="2"/>
  <c r="CY103" i="2"/>
  <c r="CY159" i="2"/>
  <c r="CY165" i="2"/>
  <c r="CY107" i="2"/>
  <c r="CY178" i="2"/>
  <c r="CY191" i="2"/>
  <c r="CY73" i="2"/>
  <c r="CY62" i="2"/>
  <c r="CY183" i="2"/>
  <c r="CY56" i="2"/>
  <c r="CY4" i="2"/>
  <c r="CY170" i="2"/>
  <c r="CY153" i="2"/>
  <c r="CY125" i="2"/>
  <c r="CY91" i="2"/>
  <c r="CY134" i="2"/>
  <c r="CY160" i="2"/>
  <c r="CY130" i="2"/>
  <c r="CY140" i="2"/>
  <c r="CY14" i="2"/>
  <c r="CY115" i="2"/>
  <c r="CY120" i="2"/>
  <c r="CY198" i="2"/>
  <c r="CY144" i="2"/>
  <c r="CY39" i="2"/>
  <c r="CY84" i="2"/>
  <c r="CY28" i="2"/>
  <c r="CY68" i="2"/>
  <c r="CY15" i="2"/>
  <c r="CY101" i="2"/>
  <c r="CY41" i="2"/>
  <c r="CY154" i="2"/>
  <c r="CY12" i="2"/>
  <c r="CY188" i="2"/>
  <c r="CY37" i="2"/>
  <c r="CY123" i="2"/>
  <c r="CY74" i="2"/>
  <c r="CY147" i="2"/>
  <c r="CY32" i="2"/>
  <c r="CY18" i="2"/>
  <c r="CY163" i="2"/>
  <c r="CY162" i="2"/>
  <c r="CY177" i="2"/>
  <c r="CY193" i="2"/>
  <c r="CY57" i="2"/>
  <c r="CY137" i="2"/>
  <c r="CY119" i="2"/>
  <c r="CY93" i="2"/>
  <c r="CY3" i="2"/>
  <c r="C10" i="4" s="1"/>
  <c r="E10" i="4" s="1"/>
  <c r="F10" i="4" s="1"/>
  <c r="G10" i="4" s="1"/>
  <c r="L10" i="4" s="1"/>
  <c r="CY63" i="2"/>
  <c r="CY34" i="2"/>
  <c r="CY136" i="2"/>
  <c r="CY133" i="2"/>
  <c r="CY197" i="2"/>
  <c r="CY176" i="2"/>
  <c r="CY78" i="2"/>
  <c r="CY76" i="2"/>
  <c r="CY99" i="2"/>
  <c r="CY141" i="2"/>
  <c r="CY72" i="2"/>
  <c r="CY124" i="2"/>
  <c r="CY194" i="2"/>
  <c r="CY110" i="2"/>
  <c r="CY151" i="2"/>
  <c r="CY146" i="2"/>
  <c r="CY10" i="2"/>
  <c r="CY195" i="2"/>
  <c r="CY31" i="2"/>
  <c r="CY184" i="2"/>
  <c r="CY185" i="2"/>
  <c r="CY135" i="2"/>
  <c r="CY109" i="2"/>
  <c r="CY203" i="2"/>
  <c r="CY155" i="2"/>
  <c r="CY152" i="2"/>
  <c r="CY87" i="2"/>
  <c r="CY23" i="2"/>
  <c r="CY13" i="2"/>
  <c r="CY96" i="2"/>
  <c r="CY169" i="2"/>
  <c r="CY53" i="2"/>
  <c r="CY192" i="2"/>
  <c r="CY75" i="2"/>
  <c r="CY116" i="2"/>
  <c r="CY48" i="2"/>
  <c r="CY92" i="2"/>
  <c r="CY29" i="2"/>
  <c r="CY202" i="2"/>
  <c r="CY65" i="2"/>
  <c r="CY70" i="2"/>
  <c r="CY25" i="2"/>
  <c r="CY131" i="2"/>
  <c r="CY60" i="2"/>
  <c r="CY44" i="2"/>
  <c r="CY121" i="2"/>
  <c r="CY114" i="2"/>
  <c r="CY19" i="2"/>
  <c r="CY35" i="2"/>
  <c r="CY95" i="2"/>
  <c r="CD124" i="2"/>
  <c r="CD19" i="2"/>
  <c r="CD48" i="2"/>
  <c r="CD128" i="2"/>
  <c r="CD189" i="2"/>
  <c r="CD22" i="2"/>
  <c r="CD109" i="2"/>
  <c r="CD153" i="2"/>
  <c r="CD162" i="2"/>
  <c r="CD195" i="2"/>
  <c r="CD179" i="2"/>
  <c r="CD177" i="2"/>
  <c r="CD191" i="2"/>
  <c r="CD68" i="2"/>
  <c r="CD13" i="2"/>
  <c r="CD65" i="2"/>
  <c r="CD29" i="2"/>
  <c r="CD131" i="2"/>
  <c r="CD63" i="2"/>
  <c r="CD12" i="2"/>
  <c r="CD186" i="2"/>
  <c r="CD44" i="2"/>
  <c r="CD104" i="2"/>
  <c r="CD85" i="2"/>
  <c r="CD170" i="2"/>
  <c r="CD112" i="2"/>
  <c r="CD67" i="2"/>
  <c r="CD203" i="2"/>
  <c r="CD181" i="2"/>
  <c r="CD25" i="2"/>
  <c r="CD188" i="2"/>
  <c r="CD76" i="2"/>
  <c r="CD95" i="2"/>
  <c r="CD6" i="2"/>
  <c r="CD165" i="2"/>
  <c r="CD37" i="2"/>
  <c r="CD41" i="2"/>
  <c r="CD198" i="2"/>
  <c r="CD159" i="2"/>
  <c r="CD127" i="2"/>
  <c r="CD163" i="2"/>
  <c r="CD5" i="2"/>
  <c r="CD4" i="2"/>
  <c r="CD60" i="2"/>
  <c r="CD120" i="2"/>
  <c r="CD77" i="2"/>
  <c r="CD158" i="2"/>
  <c r="CD122" i="2"/>
  <c r="CD101" i="2"/>
  <c r="CD38" i="2"/>
  <c r="CD94" i="2"/>
  <c r="CD50" i="2"/>
  <c r="CD172" i="2"/>
  <c r="CD132" i="2"/>
  <c r="CD46" i="2"/>
  <c r="CD75" i="2"/>
  <c r="CD200" i="2"/>
  <c r="CD96" i="2"/>
  <c r="CD35" i="2"/>
  <c r="CD135" i="2"/>
  <c r="CD125" i="2"/>
  <c r="CD56" i="2"/>
  <c r="CD97" i="2"/>
  <c r="CD71" i="2"/>
  <c r="CD148" i="2"/>
  <c r="CD142" i="2"/>
  <c r="CD169" i="2"/>
  <c r="CD202" i="2"/>
  <c r="CD66" i="2"/>
  <c r="CD164" i="2"/>
  <c r="CD8" i="2"/>
  <c r="CD190" i="2"/>
  <c r="CD143" i="2"/>
  <c r="CD116" i="2"/>
  <c r="CD47" i="2"/>
  <c r="CD78" i="2"/>
  <c r="CD185" i="2"/>
  <c r="CD30" i="2"/>
  <c r="CD99" i="2"/>
  <c r="CD121" i="2"/>
  <c r="CD152" i="2"/>
  <c r="CD187" i="2"/>
  <c r="CD175" i="2"/>
  <c r="CD57" i="2"/>
  <c r="CD176" i="2"/>
  <c r="CD145" i="2"/>
  <c r="CD113" i="2"/>
  <c r="CD88" i="2"/>
  <c r="CD70" i="2"/>
  <c r="CD43" i="2"/>
  <c r="CD150" i="2"/>
  <c r="CD183" i="2"/>
  <c r="CD115" i="2"/>
  <c r="CD18" i="2"/>
  <c r="CD197" i="2"/>
  <c r="CD16" i="2"/>
  <c r="CD69" i="2"/>
  <c r="CD161" i="2"/>
  <c r="CD39" i="2"/>
  <c r="CD141" i="2"/>
  <c r="CD147" i="2"/>
  <c r="CD111" i="2"/>
  <c r="CD173" i="2"/>
  <c r="CD193" i="2"/>
  <c r="CD117" i="2"/>
  <c r="CD192" i="2"/>
  <c r="CD87" i="2"/>
  <c r="CD182" i="2"/>
  <c r="CD62" i="2"/>
  <c r="CD108" i="2"/>
  <c r="CD21" i="2"/>
  <c r="CD28" i="2"/>
  <c r="CD149" i="2"/>
  <c r="CD59" i="2"/>
  <c r="CD103" i="2"/>
  <c r="CD54" i="2"/>
  <c r="CD100" i="2"/>
  <c r="CD79" i="2"/>
  <c r="CD34" i="2"/>
  <c r="CD45" i="2"/>
  <c r="CD129" i="2"/>
  <c r="CD31" i="2"/>
  <c r="CD194" i="2"/>
  <c r="CD118" i="2"/>
  <c r="CD51" i="2"/>
  <c r="CD11" i="2"/>
  <c r="CD82" i="2"/>
  <c r="CD133" i="2"/>
  <c r="CD86" i="2"/>
  <c r="CD72" i="2"/>
  <c r="CD91" i="2"/>
  <c r="CD201" i="2"/>
  <c r="CD36" i="2"/>
  <c r="CD10" i="2"/>
  <c r="CD171" i="2"/>
  <c r="CD7" i="2"/>
  <c r="CD55" i="2"/>
  <c r="CD73" i="2"/>
  <c r="CD33" i="2"/>
  <c r="CD196" i="2"/>
  <c r="CD119" i="2"/>
  <c r="CD156" i="2"/>
  <c r="CD98" i="2"/>
  <c r="CD134" i="2"/>
  <c r="CD168" i="2"/>
  <c r="CD174" i="2"/>
  <c r="CD139" i="2"/>
  <c r="CD144" i="2"/>
  <c r="CD32" i="2"/>
  <c r="CD180" i="2"/>
  <c r="CD20" i="2"/>
  <c r="CD24" i="2"/>
  <c r="CD17" i="2"/>
  <c r="CD84" i="2"/>
  <c r="CD123" i="2"/>
  <c r="CD160" i="2"/>
  <c r="CD155" i="2"/>
  <c r="CD107" i="2"/>
  <c r="CD106" i="2"/>
  <c r="CD184" i="2"/>
  <c r="CD52" i="2"/>
  <c r="CD26" i="2"/>
  <c r="CD90" i="2"/>
  <c r="CD166" i="2"/>
  <c r="CD42" i="2"/>
  <c r="CD49" i="2"/>
  <c r="CD110" i="2"/>
  <c r="CD102" i="2"/>
  <c r="CD114" i="2"/>
  <c r="CD154" i="2"/>
  <c r="CD23" i="2"/>
  <c r="CD40" i="2"/>
  <c r="CD178" i="2"/>
  <c r="CD126" i="2"/>
  <c r="CD81" i="2"/>
  <c r="CD14" i="2"/>
  <c r="CD53" i="2"/>
  <c r="CD83" i="2"/>
  <c r="CD93" i="2"/>
  <c r="CD140" i="2"/>
  <c r="CD199" i="2"/>
  <c r="CD105" i="2"/>
  <c r="CD157" i="2"/>
  <c r="CD27" i="2"/>
  <c r="CD74" i="2"/>
  <c r="CD9" i="2"/>
  <c r="CD3" i="2"/>
  <c r="C9" i="4" s="1"/>
  <c r="E9" i="4" s="1"/>
  <c r="F9" i="4" s="1"/>
  <c r="G9" i="4" s="1"/>
  <c r="L9" i="4" s="1"/>
  <c r="CD130" i="2"/>
  <c r="CD89" i="2"/>
  <c r="CD138" i="2"/>
  <c r="CD137" i="2"/>
  <c r="CD64" i="2"/>
  <c r="CD58" i="2"/>
  <c r="CD167" i="2"/>
  <c r="CD151" i="2"/>
  <c r="CD61" i="2"/>
  <c r="CD92" i="2"/>
  <c r="CD146" i="2"/>
  <c r="CD136" i="2"/>
  <c r="CD80" i="2"/>
  <c r="CD15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87" i="2" l="1"/>
  <c r="BI53" i="2"/>
  <c r="BI72" i="2"/>
  <c r="BI147" i="2"/>
  <c r="BI150" i="2"/>
  <c r="BI70" i="2"/>
  <c r="BI145" i="2"/>
  <c r="BI58" i="2"/>
  <c r="BI101" i="2"/>
  <c r="BI92" i="2"/>
  <c r="BI142" i="2"/>
  <c r="BI31" i="2"/>
  <c r="BI136" i="2"/>
  <c r="BI149" i="2"/>
  <c r="BI6" i="2"/>
  <c r="BI118" i="2"/>
  <c r="BI119" i="2"/>
  <c r="BI74" i="2"/>
  <c r="BI191" i="2"/>
  <c r="BI16" i="2"/>
  <c r="BI201" i="2"/>
  <c r="BI80" i="2"/>
  <c r="BI73" i="2"/>
  <c r="BI194" i="2"/>
  <c r="BI29" i="2"/>
  <c r="BI30" i="2"/>
  <c r="BI59" i="2"/>
  <c r="BI189" i="2"/>
  <c r="BI47" i="2"/>
  <c r="BI152" i="2"/>
  <c r="BI21" i="2"/>
  <c r="BI15" i="2"/>
  <c r="BI171" i="2"/>
  <c r="BI132" i="2"/>
  <c r="BI105" i="2"/>
  <c r="BI170" i="2"/>
  <c r="BI148" i="2"/>
  <c r="BI78" i="2"/>
  <c r="BI33" i="2"/>
  <c r="BI84" i="2"/>
  <c r="BI36" i="2"/>
  <c r="BI45" i="2"/>
  <c r="BI115" i="2"/>
  <c r="BI126" i="2"/>
  <c r="BI158" i="2"/>
  <c r="BI68" i="2"/>
  <c r="BI168" i="2"/>
  <c r="BI185" i="2"/>
  <c r="BI176" i="2"/>
  <c r="BI75" i="2"/>
  <c r="BI130" i="2"/>
  <c r="BI100" i="2"/>
  <c r="BI129" i="2"/>
  <c r="BI159" i="2"/>
  <c r="BI4" i="2"/>
  <c r="BI96" i="2"/>
  <c r="BI121" i="2"/>
  <c r="BI34" i="2"/>
  <c r="BI193" i="2"/>
  <c r="BI7" i="2"/>
  <c r="BI104" i="2"/>
  <c r="BI180" i="2"/>
  <c r="BI186" i="2"/>
  <c r="BI12" i="2"/>
  <c r="BI161" i="2"/>
  <c r="BI146" i="2"/>
  <c r="BI131" i="2"/>
  <c r="BI141" i="2"/>
  <c r="BI182" i="2"/>
  <c r="BI13" i="2"/>
  <c r="BI66" i="2"/>
  <c r="BI5" i="2"/>
  <c r="BI35" i="2"/>
  <c r="BI67" i="2"/>
  <c r="BI56" i="2"/>
  <c r="BI26" i="2"/>
  <c r="BI61" i="2"/>
  <c r="BI76" i="2"/>
  <c r="BI116" i="2"/>
  <c r="BI140" i="2"/>
  <c r="BI155" i="2"/>
  <c r="BI167" i="2"/>
  <c r="BI50" i="2"/>
  <c r="BI113" i="2"/>
  <c r="BI38" i="2"/>
  <c r="BI88" i="2"/>
  <c r="BI162" i="2"/>
  <c r="BI173" i="2"/>
  <c r="BI197" i="2"/>
  <c r="BI77" i="2"/>
  <c r="BI124" i="2"/>
  <c r="BI57" i="2"/>
  <c r="BI27" i="2"/>
  <c r="BI177" i="2"/>
  <c r="BI41" i="2"/>
  <c r="BI24" i="2"/>
  <c r="BI133" i="2"/>
  <c r="BI55" i="2"/>
  <c r="BI19" i="2"/>
  <c r="BI199" i="2"/>
  <c r="BI117" i="2"/>
  <c r="BI102" i="2"/>
  <c r="BI190" i="2"/>
  <c r="BI28" i="2"/>
  <c r="BI153" i="2"/>
  <c r="BI99" i="2"/>
  <c r="BI90" i="2"/>
  <c r="BI135" i="2"/>
  <c r="BI85" i="2"/>
  <c r="BI112" i="2"/>
  <c r="BI65" i="2"/>
  <c r="BI81" i="2"/>
  <c r="BI122" i="2"/>
  <c r="BI39" i="2"/>
  <c r="BI187" i="2"/>
  <c r="BI91" i="2"/>
  <c r="BI184" i="2"/>
  <c r="BI18" i="2"/>
  <c r="BI109" i="2"/>
  <c r="BI48" i="2"/>
  <c r="BI111" i="2"/>
  <c r="BI14" i="2"/>
  <c r="BI20" i="2"/>
  <c r="BI188" i="2"/>
  <c r="BI195" i="2"/>
  <c r="BI40" i="2"/>
  <c r="BI172" i="2"/>
  <c r="BI89" i="2"/>
  <c r="BI8" i="2"/>
  <c r="BI164" i="2"/>
  <c r="BI169" i="2"/>
  <c r="BI196" i="2"/>
  <c r="BI86" i="2"/>
  <c r="BI157" i="2"/>
  <c r="BI54" i="2"/>
  <c r="BI137" i="2"/>
  <c r="BI128" i="2"/>
  <c r="BI106" i="2"/>
  <c r="BI51" i="2"/>
  <c r="BI42" i="2"/>
  <c r="BI163" i="2"/>
  <c r="BI198" i="2"/>
  <c r="BI134" i="2"/>
  <c r="BI160" i="2"/>
  <c r="BI97" i="2"/>
  <c r="BI120" i="2"/>
  <c r="BI44" i="2"/>
  <c r="BI49" i="2"/>
  <c r="BI110" i="2"/>
  <c r="BI125" i="2"/>
  <c r="BI23" i="2"/>
  <c r="BI103" i="2"/>
  <c r="BI64" i="2"/>
  <c r="BI154" i="2"/>
  <c r="BI98" i="2"/>
  <c r="BI143" i="2"/>
  <c r="BI165" i="2"/>
  <c r="BI95" i="2"/>
  <c r="BI174" i="2"/>
  <c r="BI123" i="2"/>
  <c r="BI32" i="2"/>
  <c r="BI175" i="2"/>
  <c r="BI166" i="2"/>
  <c r="BI69" i="2"/>
  <c r="BI11" i="2"/>
  <c r="BI179" i="2"/>
  <c r="BI139" i="2"/>
  <c r="BI151" i="2"/>
  <c r="BI93" i="2"/>
  <c r="BI63" i="2"/>
  <c r="BI94" i="2"/>
  <c r="BI127" i="2"/>
  <c r="BI22" i="2"/>
  <c r="BI71" i="2"/>
  <c r="BI144" i="2"/>
  <c r="BI156" i="2"/>
  <c r="BI10" i="2"/>
  <c r="BI200" i="2"/>
  <c r="BI3" i="2"/>
  <c r="C8" i="4" s="1"/>
  <c r="E8" i="4" s="1"/>
  <c r="F8" i="4" s="1"/>
  <c r="G8" i="4" s="1"/>
  <c r="L8" i="4" s="1"/>
  <c r="BI108" i="2"/>
  <c r="BI178" i="2"/>
  <c r="BI192" i="2"/>
  <c r="BI181" i="2"/>
  <c r="BI60" i="2"/>
  <c r="BI79" i="2"/>
  <c r="BI52" i="2"/>
  <c r="BI203" i="2"/>
  <c r="BI183" i="2"/>
  <c r="BI83" i="2"/>
  <c r="BI82" i="2"/>
  <c r="BI9" i="2"/>
  <c r="BI202" i="2"/>
  <c r="BI62" i="2"/>
  <c r="BI25" i="2"/>
  <c r="BI17" i="2"/>
  <c r="BI114" i="2"/>
  <c r="BI37" i="2"/>
  <c r="BI107" i="2"/>
  <c r="BI138" i="2"/>
  <c r="BI43" i="2"/>
  <c r="BI46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<sst xmlns="http://schemas.openxmlformats.org/spreadsheetml/2006/main" count="1176" uniqueCount="324">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</sst>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2.0769215137370751</c:v>
                </c:pt>
                <c:pt idx="2">
                  <c:v>3.25185377668021</c:v>
                </c:pt>
                <c:pt idx="3">
                  <c:v>5.094646932167973</c:v>
                </c:pt>
                <c:pt idx="4">
                  <c:v>7.9866306262996707</c:v>
                </c:pt>
                <c:pt idx="5">
                  <c:v>12.527764940189931</c:v>
                </c:pt>
                <c:pt idx="6">
                  <c:v>19.662465573119412</c:v>
                </c:pt>
                <c:pt idx="7">
                  <c:v>50.16158761458086</c:v>
                </c:pt>
                <c:pt idx="8">
                  <c:v>82.427288374941909</c:v>
                </c:pt>
                <c:pt idx="9">
                  <c:v>114.36657798952803</c:v>
                </c:pt>
                <c:pt idx="10">
                  <c:v>148.34421936892755</c:v>
                </c:pt>
                <c:pt idx="11">
                  <c:v>177.63880427486311</c:v>
                </c:pt>
                <c:pt idx="12">
                  <c:v>206.81985986104726</c:v>
                </c:pt>
                <c:pt idx="13">
                  <c:v>233.67136135002343</c:v>
                </c:pt>
                <c:pt idx="14">
                  <c:v>258.22311977759608</c:v>
                </c:pt>
                <c:pt idx="15">
                  <c:v>278.27142387835931</c:v>
                </c:pt>
                <c:pt idx="16">
                  <c:v>296.06485629960235</c:v>
                </c:pt>
                <c:pt idx="17">
                  <c:v>313.83444704261166</c:v>
                </c:pt>
                <c:pt idx="18">
                  <c:v>327.14692715126904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3435744"/>
        <c:axId val="-895314640"/>
      </c:scatterChart>
      <c:valAx>
        <c:axId val="-1434357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95314640"/>
        <c:crosses val="autoZero"/>
        <c:crossBetween val="midCat"/>
      </c:valAx>
      <c:valAx>
        <c:axId val="-895314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3435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8541312"/>
        <c:axId val="-128536960"/>
      </c:scatterChart>
      <c:valAx>
        <c:axId val="-1285413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536960"/>
        <c:crosses val="autoZero"/>
        <c:crossBetween val="midCat"/>
      </c:valAx>
      <c:valAx>
        <c:axId val="-128536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5413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8542400"/>
        <c:axId val="-128543488"/>
      </c:scatterChart>
      <c:valAx>
        <c:axId val="-1285424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543488"/>
        <c:crosses val="autoZero"/>
        <c:crossBetween val="midCat"/>
      </c:valAx>
      <c:valAx>
        <c:axId val="-12854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542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8535872"/>
        <c:axId val="-128540768"/>
      </c:scatterChart>
      <c:valAx>
        <c:axId val="-1285358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540768"/>
        <c:crosses val="autoZero"/>
        <c:crossBetween val="midCat"/>
      </c:valAx>
      <c:valAx>
        <c:axId val="-12854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535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2.8530458900838358</c:v>
                </c:pt>
                <c:pt idx="2">
                  <c:v>3.3039212099420436</c:v>
                </c:pt>
                <c:pt idx="3">
                  <c:v>3.8263060507819229</c:v>
                </c:pt>
                <c:pt idx="4">
                  <c:v>4.431580333413633</c:v>
                </c:pt>
                <c:pt idx="5">
                  <c:v>5.1329406942075515</c:v>
                </c:pt>
                <c:pt idx="6">
                  <c:v>5.945691362151531</c:v>
                </c:pt>
                <c:pt idx="7">
                  <c:v>6.887581735097335</c:v>
                </c:pt>
                <c:pt idx="8">
                  <c:v>7.9791981712630529</c:v>
                </c:pt>
                <c:pt idx="9">
                  <c:v>9.2444187244984306</c:v>
                </c:pt>
                <c:pt idx="10">
                  <c:v>10.71094096024798</c:v>
                </c:pt>
                <c:pt idx="11">
                  <c:v>12.410894625303198</c:v>
                </c:pt>
                <c:pt idx="12">
                  <c:v>14.381552845209095</c:v>
                </c:pt>
                <c:pt idx="13">
                  <c:v>16.666157731457787</c:v>
                </c:pt>
                <c:pt idx="14">
                  <c:v>19.314878846195473</c:v>
                </c:pt>
                <c:pt idx="15">
                  <c:v>22.385925953013096</c:v>
                </c:pt>
                <c:pt idx="16">
                  <c:v>25.946840945811488</c:v>
                </c:pt>
                <c:pt idx="17">
                  <c:v>30.07599787199096</c:v>
                </c:pt>
                <c:pt idx="18">
                  <c:v>34.864344642284394</c:v>
                </c:pt>
                <c:pt idx="19">
                  <c:v>40.417425453185118</c:v>
                </c:pt>
                <c:pt idx="20">
                  <c:v>46.85772926204951</c:v>
                </c:pt>
                <c:pt idx="21">
                  <c:v>53.349300230420219</c:v>
                </c:pt>
                <c:pt idx="22">
                  <c:v>59.820043288621314</c:v>
                </c:pt>
                <c:pt idx="23">
                  <c:v>66.272536635761469</c:v>
                </c:pt>
                <c:pt idx="24">
                  <c:v>72.708812992429259</c:v>
                </c:pt>
                <c:pt idx="25">
                  <c:v>79.130514295439681</c:v>
                </c:pt>
                <c:pt idx="26">
                  <c:v>86.819205269098731</c:v>
                </c:pt>
                <c:pt idx="27">
                  <c:v>94.490773445625265</c:v>
                </c:pt>
                <c:pt idx="28">
                  <c:v>102.14680795061109</c:v>
                </c:pt>
                <c:pt idx="29">
                  <c:v>109.78863954070187</c:v>
                </c:pt>
                <c:pt idx="30">
                  <c:v>117.41739809202979</c:v>
                </c:pt>
                <c:pt idx="31">
                  <c:v>125.03405430760159</c:v>
                </c:pt>
                <c:pt idx="32">
                  <c:v>132.63945069450935</c:v>
                </c:pt>
                <c:pt idx="33">
                  <c:v>140.23432504208844</c:v>
                </c:pt>
                <c:pt idx="34">
                  <c:v>147.81932853312981</c:v>
                </c:pt>
                <c:pt idx="35">
                  <c:v>155.39503993343254</c:v>
                </c:pt>
                <c:pt idx="36">
                  <c:v>127.99300373621668</c:v>
                </c:pt>
                <c:pt idx="37">
                  <c:v>136.4381605770578</c:v>
                </c:pt>
                <c:pt idx="38">
                  <c:v>144.87073948277092</c:v>
                </c:pt>
                <c:pt idx="39">
                  <c:v>153.29157689885758</c:v>
                </c:pt>
                <c:pt idx="40">
                  <c:v>161.70140970029556</c:v>
                </c:pt>
                <c:pt idx="41">
                  <c:v>169.68115418242931</c:v>
                </c:pt>
                <c:pt idx="42">
                  <c:v>177.65205947769599</c:v>
                </c:pt>
                <c:pt idx="43">
                  <c:v>185.6145786783502</c:v>
                </c:pt>
                <c:pt idx="44">
                  <c:v>193.56912276774736</c:v>
                </c:pt>
                <c:pt idx="45">
                  <c:v>201.51606614204607</c:v>
                </c:pt>
                <c:pt idx="46">
                  <c:v>171.77959852127819</c:v>
                </c:pt>
                <c:pt idx="47">
                  <c:v>179.7482548480051</c:v>
                </c:pt>
                <c:pt idx="48">
                  <c:v>187.70863707245698</c:v>
                </c:pt>
                <c:pt idx="49">
                  <c:v>195.66114605562757</c:v>
                </c:pt>
                <c:pt idx="50">
                  <c:v>203.60614736350433</c:v>
                </c:pt>
                <c:pt idx="51">
                  <c:v>211.96156334030783</c:v>
                </c:pt>
                <c:pt idx="52">
                  <c:v>220.30938898976532</c:v>
                </c:pt>
                <c:pt idx="53">
                  <c:v>228.64995281860425</c:v>
                </c:pt>
                <c:pt idx="54">
                  <c:v>236.98355738084277</c:v>
                </c:pt>
                <c:pt idx="55">
                  <c:v>245.31048218883168</c:v>
                </c:pt>
                <c:pt idx="56">
                  <c:v>213.63172478455704</c:v>
                </c:pt>
                <c:pt idx="57">
                  <c:v>221.56092883337803</c:v>
                </c:pt>
                <c:pt idx="58">
                  <c:v>229.48362165810047</c:v>
                </c:pt>
                <c:pt idx="59">
                  <c:v>237.40006003332357</c:v>
                </c:pt>
                <c:pt idx="60">
                  <c:v>245.31048218883168</c:v>
                </c:pt>
                <c:pt idx="61">
                  <c:v>253.21510971702909</c:v>
                </c:pt>
                <c:pt idx="62">
                  <c:v>261.11414922946938</c:v>
                </c:pt>
                <c:pt idx="63">
                  <c:v>269.0077938022381</c:v>
                </c:pt>
                <c:pt idx="64">
                  <c:v>276.89622424264059</c:v>
                </c:pt>
                <c:pt idx="65">
                  <c:v>284.77961020385533</c:v>
                </c:pt>
                <c:pt idx="66">
                  <c:v>250.71952474895636</c:v>
                </c:pt>
                <c:pt idx="67">
                  <c:v>258.20461441214769</c:v>
                </c:pt>
                <c:pt idx="68">
                  <c:v>265.68479967259987</c:v>
                </c:pt>
                <c:pt idx="69">
                  <c:v>273.16023825041395</c:v>
                </c:pt>
                <c:pt idx="70">
                  <c:v>280.63107851839709</c:v>
                </c:pt>
                <c:pt idx="71">
                  <c:v>287.68277599708523</c:v>
                </c:pt>
                <c:pt idx="72">
                  <c:v>294.73060802032893</c:v>
                </c:pt>
                <c:pt idx="73">
                  <c:v>301.7746801674329</c:v>
                </c:pt>
                <c:pt idx="74">
                  <c:v>308.81509268095914</c:v>
                </c:pt>
                <c:pt idx="75">
                  <c:v>315.85194085471181</c:v>
                </c:pt>
                <c:pt idx="76">
                  <c:v>281.46089418692515</c:v>
                </c:pt>
                <c:pt idx="77">
                  <c:v>288.5121312426167</c:v>
                </c:pt>
                <c:pt idx="78">
                  <c:v>295.55951555452697</c:v>
                </c:pt>
                <c:pt idx="79">
                  <c:v>302.60315205267631</c:v>
                </c:pt>
                <c:pt idx="80">
                  <c:v>309.64314037802711</c:v>
                </c:pt>
                <c:pt idx="81">
                  <c:v>315.85194085471193</c:v>
                </c:pt>
                <c:pt idx="82">
                  <c:v>322.05803699935797</c:v>
                </c:pt>
                <c:pt idx="83">
                  <c:v>328.26148833919052</c:v>
                </c:pt>
                <c:pt idx="84">
                  <c:v>334.46235196533502</c:v>
                </c:pt>
                <c:pt idx="85">
                  <c:v>340.66068267684119</c:v>
                </c:pt>
                <c:pt idx="86">
                  <c:v>310.05714577566249</c:v>
                </c:pt>
                <c:pt idx="87">
                  <c:v>316.67957526595023</c:v>
                </c:pt>
                <c:pt idx="88">
                  <c:v>323.29893699066059</c:v>
                </c:pt>
                <c:pt idx="89">
                  <c:v>329.91530269151457</c:v>
                </c:pt>
                <c:pt idx="90">
                  <c:v>336.5287409947552</c:v>
                </c:pt>
                <c:pt idx="91">
                  <c:v>342.31314985114523</c:v>
                </c:pt>
                <c:pt idx="92">
                  <c:v>348.09541005573732</c:v>
                </c:pt>
                <c:pt idx="93">
                  <c:v>353.87556237718678</c:v>
                </c:pt>
                <c:pt idx="94">
                  <c:v>359.65364614215167</c:v>
                </c:pt>
                <c:pt idx="95">
                  <c:v>365.42969930916388</c:v>
                </c:pt>
                <c:pt idx="96">
                  <c:v>334.46235196533502</c:v>
                </c:pt>
                <c:pt idx="97">
                  <c:v>340.66068267684119</c:v>
                </c:pt>
                <c:pt idx="98">
                  <c:v>346.8565331136702</c:v>
                </c:pt>
                <c:pt idx="99">
                  <c:v>353.04995387967392</c:v>
                </c:pt>
                <c:pt idx="100">
                  <c:v>359.24099365648948</c:v>
                </c:pt>
                <c:pt idx="101">
                  <c:v>365.01719063545926</c:v>
                </c:pt>
                <c:pt idx="102">
                  <c:v>370.79139109899671</c:v>
                </c:pt>
                <c:pt idx="103">
                  <c:v>376.56363055787483</c:v>
                </c:pt>
                <c:pt idx="104">
                  <c:v>382.33394334423559</c:v>
                </c:pt>
                <c:pt idx="105">
                  <c:v>388.10236266830731</c:v>
                </c:pt>
                <c:pt idx="106">
                  <c:v>357.17757535606319</c:v>
                </c:pt>
                <c:pt idx="107">
                  <c:v>363.3670539509107</c:v>
                </c:pt>
                <c:pt idx="108">
                  <c:v>369.55422870449638</c:v>
                </c:pt>
                <c:pt idx="109">
                  <c:v>375.73914366877972</c:v>
                </c:pt>
                <c:pt idx="110">
                  <c:v>381.92184132571992</c:v>
                </c:pt>
                <c:pt idx="111">
                  <c:v>388.10236266830731</c:v>
                </c:pt>
                <c:pt idx="112">
                  <c:v>394.28074727616132</c:v>
                </c:pt>
                <c:pt idx="113">
                  <c:v>400.45703338613862</c:v>
                </c:pt>
                <c:pt idx="114">
                  <c:v>406.63125795835577</c:v>
                </c:pt>
                <c:pt idx="115">
                  <c:v>412.80345673799087</c:v>
                </c:pt>
                <c:pt idx="116">
                  <c:v>418.97366431319239</c:v>
                </c:pt>
                <c:pt idx="117">
                  <c:v>425.14191416939951</c:v>
                </c:pt>
                <c:pt idx="118">
                  <c:v>431.30823874034081</c:v>
                </c:pt>
                <c:pt idx="119">
                  <c:v>437.47266945596539</c:v>
                </c:pt>
                <c:pt idx="120">
                  <c:v>443.63523678752927</c:v>
                </c:pt>
                <c:pt idx="121">
                  <c:v>1.6380047803526383E-12</c:v>
                </c:pt>
                <c:pt idx="122">
                  <c:v>1.6380047803526383E-12</c:v>
                </c:pt>
                <c:pt idx="123">
                  <c:v>1.6380047803526383E-12</c:v>
                </c:pt>
                <c:pt idx="124">
                  <c:v>1.6380047803526383E-12</c:v>
                </c:pt>
                <c:pt idx="125">
                  <c:v>1.6380047803526383E-12</c:v>
                </c:pt>
                <c:pt idx="126">
                  <c:v>1.6380047803526383E-12</c:v>
                </c:pt>
                <c:pt idx="127">
                  <c:v>1.6380047803526383E-12</c:v>
                </c:pt>
                <c:pt idx="128">
                  <c:v>1.6380047803526383E-12</c:v>
                </c:pt>
                <c:pt idx="129">
                  <c:v>1.6380047803526383E-12</c:v>
                </c:pt>
                <c:pt idx="130">
                  <c:v>1.6380047803526383E-12</c:v>
                </c:pt>
                <c:pt idx="131">
                  <c:v>1.6380047803526383E-12</c:v>
                </c:pt>
                <c:pt idx="132">
                  <c:v>1.6380047803526383E-12</c:v>
                </c:pt>
                <c:pt idx="133">
                  <c:v>1.6380047803526383E-12</c:v>
                </c:pt>
                <c:pt idx="134">
                  <c:v>1.6380047803526383E-12</c:v>
                </c:pt>
                <c:pt idx="135">
                  <c:v>1.6380047803526383E-12</c:v>
                </c:pt>
                <c:pt idx="136">
                  <c:v>1.6380047803526383E-12</c:v>
                </c:pt>
                <c:pt idx="137">
                  <c:v>1.6380047803526383E-12</c:v>
                </c:pt>
                <c:pt idx="138">
                  <c:v>1.6380047803526383E-12</c:v>
                </c:pt>
                <c:pt idx="139">
                  <c:v>1.6380047803526383E-12</c:v>
                </c:pt>
                <c:pt idx="140">
                  <c:v>1.6380047803526383E-12</c:v>
                </c:pt>
                <c:pt idx="141">
                  <c:v>1.6380047803526383E-12</c:v>
                </c:pt>
                <c:pt idx="142">
                  <c:v>1.6380047803526383E-12</c:v>
                </c:pt>
                <c:pt idx="143">
                  <c:v>1.6380047803526383E-12</c:v>
                </c:pt>
                <c:pt idx="144">
                  <c:v>1.6380047803526383E-12</c:v>
                </c:pt>
                <c:pt idx="145">
                  <c:v>1.6380047803526383E-12</c:v>
                </c:pt>
                <c:pt idx="146">
                  <c:v>1.6380047803526383E-12</c:v>
                </c:pt>
                <c:pt idx="147">
                  <c:v>1.6380047803526383E-12</c:v>
                </c:pt>
                <c:pt idx="148">
                  <c:v>1.6380047803526383E-12</c:v>
                </c:pt>
                <c:pt idx="149">
                  <c:v>1.6380047803526383E-12</c:v>
                </c:pt>
                <c:pt idx="150">
                  <c:v>1.6380047803526383E-12</c:v>
                </c:pt>
                <c:pt idx="151">
                  <c:v>1.6380047803526383E-12</c:v>
                </c:pt>
                <c:pt idx="152">
                  <c:v>1.6380047803526383E-12</c:v>
                </c:pt>
                <c:pt idx="153">
                  <c:v>1.6380047803526383E-12</c:v>
                </c:pt>
                <c:pt idx="154">
                  <c:v>1.6380047803526383E-12</c:v>
                </c:pt>
                <c:pt idx="155">
                  <c:v>1.6380047803526383E-12</c:v>
                </c:pt>
                <c:pt idx="156">
                  <c:v>1.6380047803526383E-12</c:v>
                </c:pt>
                <c:pt idx="157">
                  <c:v>1.6380047803526383E-12</c:v>
                </c:pt>
                <c:pt idx="158">
                  <c:v>1.6380047803526383E-12</c:v>
                </c:pt>
                <c:pt idx="159">
                  <c:v>1.6380047803526383E-12</c:v>
                </c:pt>
                <c:pt idx="160">
                  <c:v>1.6380047803526383E-12</c:v>
                </c:pt>
                <c:pt idx="161">
                  <c:v>1.6380047803526383E-12</c:v>
                </c:pt>
                <c:pt idx="162">
                  <c:v>1.6380047803526383E-12</c:v>
                </c:pt>
                <c:pt idx="163">
                  <c:v>1.6380047803526383E-12</c:v>
                </c:pt>
                <c:pt idx="164">
                  <c:v>1.6380047803526383E-12</c:v>
                </c:pt>
                <c:pt idx="165">
                  <c:v>1.6380047803526383E-12</c:v>
                </c:pt>
                <c:pt idx="166">
                  <c:v>1.6380047803526383E-12</c:v>
                </c:pt>
                <c:pt idx="167">
                  <c:v>1.6380047803526383E-12</c:v>
                </c:pt>
                <c:pt idx="168">
                  <c:v>1.6380047803526383E-12</c:v>
                </c:pt>
                <c:pt idx="169">
                  <c:v>1.6380047803526383E-12</c:v>
                </c:pt>
                <c:pt idx="170">
                  <c:v>1.6380047803526383E-12</c:v>
                </c:pt>
                <c:pt idx="171">
                  <c:v>1.6380047803526383E-12</c:v>
                </c:pt>
                <c:pt idx="172">
                  <c:v>1.6380047803526383E-12</c:v>
                </c:pt>
                <c:pt idx="173">
                  <c:v>1.6380047803526383E-12</c:v>
                </c:pt>
                <c:pt idx="174">
                  <c:v>1.6380047803526383E-12</c:v>
                </c:pt>
                <c:pt idx="175">
                  <c:v>1.6380047803526383E-12</c:v>
                </c:pt>
                <c:pt idx="176">
                  <c:v>1.6380047803526383E-12</c:v>
                </c:pt>
                <c:pt idx="177">
                  <c:v>1.6380047803526383E-12</c:v>
                </c:pt>
                <c:pt idx="178">
                  <c:v>1.6380047803526383E-12</c:v>
                </c:pt>
                <c:pt idx="179">
                  <c:v>1.6380047803526383E-12</c:v>
                </c:pt>
                <c:pt idx="180">
                  <c:v>1.6380047803526383E-12</c:v>
                </c:pt>
                <c:pt idx="181">
                  <c:v>1.6380047803526383E-12</c:v>
                </c:pt>
                <c:pt idx="182">
                  <c:v>1.6380047803526383E-12</c:v>
                </c:pt>
                <c:pt idx="183">
                  <c:v>1.6380047803526383E-12</c:v>
                </c:pt>
                <c:pt idx="184">
                  <c:v>1.6380047803526383E-12</c:v>
                </c:pt>
                <c:pt idx="185">
                  <c:v>1.6380047803526383E-12</c:v>
                </c:pt>
                <c:pt idx="186">
                  <c:v>1.6380047803526383E-12</c:v>
                </c:pt>
                <c:pt idx="187">
                  <c:v>1.6380047803526383E-12</c:v>
                </c:pt>
                <c:pt idx="188">
                  <c:v>1.6380047803526383E-12</c:v>
                </c:pt>
                <c:pt idx="189">
                  <c:v>1.6380047803526383E-12</c:v>
                </c:pt>
                <c:pt idx="190">
                  <c:v>1.6380047803526383E-12</c:v>
                </c:pt>
                <c:pt idx="191">
                  <c:v>1.6380047803526383E-12</c:v>
                </c:pt>
                <c:pt idx="192">
                  <c:v>1.6380047803526383E-12</c:v>
                </c:pt>
                <c:pt idx="193">
                  <c:v>1.6380047803526383E-12</c:v>
                </c:pt>
                <c:pt idx="194">
                  <c:v>1.6380047803526383E-12</c:v>
                </c:pt>
                <c:pt idx="195">
                  <c:v>1.6380047803526383E-12</c:v>
                </c:pt>
                <c:pt idx="196">
                  <c:v>1.6380047803526383E-12</c:v>
                </c:pt>
                <c:pt idx="197">
                  <c:v>1.6380047803526383E-12</c:v>
                </c:pt>
                <c:pt idx="198">
                  <c:v>1.6380047803526383E-12</c:v>
                </c:pt>
                <c:pt idx="199">
                  <c:v>1.6380047803526383E-12</c:v>
                </c:pt>
                <c:pt idx="200">
                  <c:v>1.6380047803526383E-12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8546208"/>
        <c:axId val="-128535328"/>
      </c:scatterChart>
      <c:valAx>
        <c:axId val="-1285462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535328"/>
        <c:crosses val="autoZero"/>
        <c:crossBetween val="midCat"/>
      </c:valAx>
      <c:valAx>
        <c:axId val="-128535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5462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3.1628863339481534</c:v>
                </c:pt>
                <c:pt idx="2">
                  <c:v>3.6628992871920438</c:v>
                </c:pt>
                <c:pt idx="3">
                  <c:v>4.2422409244936503</c:v>
                </c:pt>
                <c:pt idx="4">
                  <c:v>4.9135393564650593</c:v>
                </c:pt>
                <c:pt idx="5">
                  <c:v>5.6914392471718847</c:v>
                </c:pt>
                <c:pt idx="6">
                  <c:v>6.5929247726706288</c:v>
                </c:pt>
                <c:pt idx="7">
                  <c:v>7.6376944418802752</c:v>
                </c:pt>
                <c:pt idx="8">
                  <c:v>8.8485961287004873</c:v>
                </c:pt>
                <c:pt idx="9">
                  <c:v>10.252132011350932</c:v>
                </c:pt>
                <c:pt idx="10">
                  <c:v>11.879044679757373</c:v>
                </c:pt>
                <c:pt idx="11">
                  <c:v>13.764997489727833</c:v>
                </c:pt>
                <c:pt idx="12">
                  <c:v>15.951364354646456</c:v>
                </c:pt>
                <c:pt idx="13">
                  <c:v>18.486146619119001</c:v>
                </c:pt>
                <c:pt idx="14">
                  <c:v>21.425037509820857</c:v>
                </c:pt>
                <c:pt idx="15">
                  <c:v>24.832657971109484</c:v>
                </c:pt>
                <c:pt idx="16">
                  <c:v>28.783991541603669</c:v>
                </c:pt>
                <c:pt idx="17">
                  <c:v>33.366050399895471</c:v>
                </c:pt>
                <c:pt idx="18">
                  <c:v>38.679809903968007</c:v>
                </c:pt>
                <c:pt idx="19">
                  <c:v>44.842454987298908</c:v>
                </c:pt>
                <c:pt idx="20">
                  <c:v>51.989988791691758</c:v>
                </c:pt>
                <c:pt idx="21">
                  <c:v>59.194676379503932</c:v>
                </c:pt>
                <c:pt idx="22">
                  <c:v>66.376471349621667</c:v>
                </c:pt>
                <c:pt idx="23">
                  <c:v>73.538207482585321</c:v>
                </c:pt>
                <c:pt idx="24">
                  <c:v>80.682119006165934</c:v>
                </c:pt>
                <c:pt idx="25">
                  <c:v>87.810010625275268</c:v>
                </c:pt>
                <c:pt idx="26">
                  <c:v>96.344409983623464</c:v>
                </c:pt>
                <c:pt idx="27">
                  <c:v>104.85998913171427</c:v>
                </c:pt>
                <c:pt idx="28">
                  <c:v>113.3584947279664</c:v>
                </c:pt>
                <c:pt idx="29">
                  <c:v>121.84138944928242</c:v>
                </c:pt>
                <c:pt idx="30">
                  <c:v>130.30991517841125</c:v>
                </c:pt>
                <c:pt idx="31">
                  <c:v>138.76513884586331</c:v>
                </c:pt>
                <c:pt idx="32">
                  <c:v>147.20798647794683</c:v>
                </c:pt>
                <c:pt idx="33">
                  <c:v>155.63926900235728</c:v>
                </c:pt>
                <c:pt idx="34">
                  <c:v>164.05970215478595</c:v>
                </c:pt>
                <c:pt idx="35">
                  <c:v>172.4699220751078</c:v>
                </c:pt>
                <c:pt idx="36">
                  <c:v>142.04989216192445</c:v>
                </c:pt>
                <c:pt idx="37">
                  <c:v>151.42502661477829</c:v>
                </c:pt>
                <c:pt idx="38">
                  <c:v>160.78633625957769</c:v>
                </c:pt>
                <c:pt idx="39">
                  <c:v>170.13474046014426</c:v>
                </c:pt>
                <c:pt idx="40">
                  <c:v>179.47104913917383</c:v>
                </c:pt>
                <c:pt idx="41">
                  <c:v>188.32999436925604</c:v>
                </c:pt>
                <c:pt idx="42">
                  <c:v>197.17922416826374</c:v>
                </c:pt>
                <c:pt idx="43">
                  <c:v>206.01923654428722</c:v>
                </c:pt>
                <c:pt idx="44">
                  <c:v>214.85048322218776</c:v>
                </c:pt>
                <c:pt idx="45">
                  <c:v>223.6733757126764</c:v>
                </c:pt>
                <c:pt idx="46">
                  <c:v>190.65965977632126</c:v>
                </c:pt>
                <c:pt idx="47">
                  <c:v>199.50641766256544</c:v>
                </c:pt>
                <c:pt idx="48">
                  <c:v>208.34408122016089</c:v>
                </c:pt>
                <c:pt idx="49">
                  <c:v>217.17309104815993</c:v>
                </c:pt>
                <c:pt idx="50">
                  <c:v>225.9938489517518</c:v>
                </c:pt>
                <c:pt idx="51">
                  <c:v>235.27034637020085</c:v>
                </c:pt>
                <c:pt idx="52">
                  <c:v>244.53850101874687</c:v>
                </c:pt>
                <c:pt idx="53">
                  <c:v>253.79867396956936</c:v>
                </c:pt>
                <c:pt idx="54">
                  <c:v>263.05119776940052</c:v>
                </c:pt>
                <c:pt idx="55">
                  <c:v>272.29637963914479</c:v>
                </c:pt>
                <c:pt idx="56">
                  <c:v>237.12463272796342</c:v>
                </c:pt>
                <c:pt idx="57">
                  <c:v>245.92802736230567</c:v>
                </c:pt>
                <c:pt idx="58">
                  <c:v>254.72426530340337</c:v>
                </c:pt>
                <c:pt idx="59">
                  <c:v>263.51362878037509</c:v>
                </c:pt>
                <c:pt idx="60">
                  <c:v>272.29637963914473</c:v>
                </c:pt>
                <c:pt idx="61">
                  <c:v>281.07276143896291</c:v>
                </c:pt>
                <c:pt idx="62">
                  <c:v>289.84300127315146</c:v>
                </c:pt>
                <c:pt idx="63">
                  <c:v>298.60731135776933</c:v>
                </c:pt>
                <c:pt idx="64">
                  <c:v>307.36589042386942</c:v>
                </c:pt>
                <c:pt idx="65">
                  <c:v>316.1189249426497</c:v>
                </c:pt>
                <c:pt idx="66">
                  <c:v>278.301946435746</c:v>
                </c:pt>
                <c:pt idx="67">
                  <c:v>286.61256112608555</c:v>
                </c:pt>
                <c:pt idx="68">
                  <c:v>294.91778523157933</c:v>
                </c:pt>
                <c:pt idx="69">
                  <c:v>303.21779210740073</c:v>
                </c:pt>
                <c:pt idx="70">
                  <c:v>311.51274483481546</c:v>
                </c:pt>
                <c:pt idx="71">
                  <c:v>319.34236469301567</c:v>
                </c:pt>
                <c:pt idx="72">
                  <c:v>327.16773590634534</c:v>
                </c:pt>
                <c:pt idx="73">
                  <c:v>334.98897452037232</c:v>
                </c:pt>
                <c:pt idx="74">
                  <c:v>342.80619071488059</c:v>
                </c:pt>
                <c:pt idx="75">
                  <c:v>350.61948923031787</c:v>
                </c:pt>
                <c:pt idx="76">
                  <c:v>312.43410102603713</c:v>
                </c:pt>
                <c:pt idx="77">
                  <c:v>320.26321481869581</c:v>
                </c:pt>
                <c:pt idx="78">
                  <c:v>328.08809393827681</c:v>
                </c:pt>
                <c:pt idx="79">
                  <c:v>335.90885371669873</c:v>
                </c:pt>
                <c:pt idx="80">
                  <c:v>343.72560367250861</c:v>
                </c:pt>
                <c:pt idx="81">
                  <c:v>350.61948923031787</c:v>
                </c:pt>
                <c:pt idx="82">
                  <c:v>357.51040237087665</c:v>
                </c:pt>
                <c:pt idx="83">
                  <c:v>364.39840852244924</c:v>
                </c:pt>
                <c:pt idx="84">
                  <c:v>371.28357043570492</c:v>
                </c:pt>
                <c:pt idx="85">
                  <c:v>378.1659483420201</c:v>
                </c:pt>
                <c:pt idx="86">
                  <c:v>344.18528987135369</c:v>
                </c:pt>
                <c:pt idx="87">
                  <c:v>351.53844793236181</c:v>
                </c:pt>
                <c:pt idx="88">
                  <c:v>358.8882341147721</c:v>
                </c:pt>
                <c:pt idx="89">
                  <c:v>366.23472727218899</c:v>
                </c:pt>
                <c:pt idx="90">
                  <c:v>373.57800283389633</c:v>
                </c:pt>
                <c:pt idx="91">
                  <c:v>380.00078636560312</c:v>
                </c:pt>
                <c:pt idx="92">
                  <c:v>386.42120824586385</c:v>
                </c:pt>
                <c:pt idx="93">
                  <c:v>392.83931328480293</c:v>
                </c:pt>
                <c:pt idx="94">
                  <c:v>399.25514470759913</c:v>
                </c:pt>
                <c:pt idx="95">
                  <c:v>405.66874423568089</c:v>
                </c:pt>
                <c:pt idx="96">
                  <c:v>371.28357043570492</c:v>
                </c:pt>
                <c:pt idx="97">
                  <c:v>378.1659483420201</c:v>
                </c:pt>
                <c:pt idx="98">
                  <c:v>385.04560009964825</c:v>
                </c:pt>
                <c:pt idx="99">
                  <c:v>391.92258132889066</c:v>
                </c:pt>
                <c:pt idx="100">
                  <c:v>398.79694553728069</c:v>
                </c:pt>
                <c:pt idx="101">
                  <c:v>405.21070313365345</c:v>
                </c:pt>
                <c:pt idx="102">
                  <c:v>411.62226629649246</c:v>
                </c:pt>
                <c:pt idx="103">
                  <c:v>418.03167405681643</c:v>
                </c:pt>
                <c:pt idx="104">
                  <c:v>424.43896415017315</c:v>
                </c:pt>
                <c:pt idx="105">
                  <c:v>430.8441730789794</c:v>
                </c:pt>
                <c:pt idx="106">
                  <c:v>396.50577836169577</c:v>
                </c:pt>
                <c:pt idx="107">
                  <c:v>403.37842662539197</c:v>
                </c:pt>
                <c:pt idx="108">
                  <c:v>410.2485426639725</c:v>
                </c:pt>
                <c:pt idx="109">
                  <c:v>417.11617489634546</c:v>
                </c:pt>
                <c:pt idx="110">
                  <c:v>423.98137001578169</c:v>
                </c:pt>
                <c:pt idx="111">
                  <c:v>430.8441730789794</c:v>
                </c:pt>
                <c:pt idx="112">
                  <c:v>437.70462758915534</c:v>
                </c:pt>
                <c:pt idx="113">
                  <c:v>444.5627755736532</c:v>
                </c:pt>
                <c:pt idx="114">
                  <c:v>451.41865765651147</c:v>
                </c:pt>
                <c:pt idx="115">
                  <c:v>458.27231312639066</c:v>
                </c:pt>
                <c:pt idx="116">
                  <c:v>465.12378000022363</c:v>
                </c:pt>
                <c:pt idx="117">
                  <c:v>471.97309508291988</c:v>
                </c:pt>
                <c:pt idx="118">
                  <c:v>478.82029402342158</c:v>
                </c:pt>
                <c:pt idx="119">
                  <c:v>485.66541136738397</c:v>
                </c:pt>
                <c:pt idx="120">
                  <c:v>492.50848060673189</c:v>
                </c:pt>
                <c:pt idx="121">
                  <c:v>1.8017017738191463E-12</c:v>
                </c:pt>
                <c:pt idx="122">
                  <c:v>1.8017017738191463E-12</c:v>
                </c:pt>
                <c:pt idx="123">
                  <c:v>1.8017017738191463E-12</c:v>
                </c:pt>
                <c:pt idx="124">
                  <c:v>1.8017017738191463E-12</c:v>
                </c:pt>
                <c:pt idx="125">
                  <c:v>1.8017017738191463E-12</c:v>
                </c:pt>
                <c:pt idx="126">
                  <c:v>1.8017017738191463E-12</c:v>
                </c:pt>
                <c:pt idx="127">
                  <c:v>1.8017017738191463E-12</c:v>
                </c:pt>
                <c:pt idx="128">
                  <c:v>1.8017017738191463E-12</c:v>
                </c:pt>
                <c:pt idx="129">
                  <c:v>1.8017017738191463E-12</c:v>
                </c:pt>
                <c:pt idx="130">
                  <c:v>1.8017017738191463E-12</c:v>
                </c:pt>
                <c:pt idx="131">
                  <c:v>1.8017017738191463E-12</c:v>
                </c:pt>
                <c:pt idx="132">
                  <c:v>1.8017017738191463E-12</c:v>
                </c:pt>
                <c:pt idx="133">
                  <c:v>1.8017017738191463E-12</c:v>
                </c:pt>
                <c:pt idx="134">
                  <c:v>1.8017017738191463E-12</c:v>
                </c:pt>
                <c:pt idx="135">
                  <c:v>1.8017017738191463E-12</c:v>
                </c:pt>
                <c:pt idx="136">
                  <c:v>1.8017017738191463E-12</c:v>
                </c:pt>
                <c:pt idx="137">
                  <c:v>1.8017017738191463E-12</c:v>
                </c:pt>
                <c:pt idx="138">
                  <c:v>1.8017017738191463E-12</c:v>
                </c:pt>
                <c:pt idx="139">
                  <c:v>1.8017017738191463E-12</c:v>
                </c:pt>
                <c:pt idx="140">
                  <c:v>1.8017017738191463E-12</c:v>
                </c:pt>
                <c:pt idx="141">
                  <c:v>1.8017017738191463E-12</c:v>
                </c:pt>
                <c:pt idx="142">
                  <c:v>1.8017017738191463E-12</c:v>
                </c:pt>
                <c:pt idx="143">
                  <c:v>1.8017017738191463E-12</c:v>
                </c:pt>
                <c:pt idx="144">
                  <c:v>1.8017017738191463E-12</c:v>
                </c:pt>
                <c:pt idx="145">
                  <c:v>1.8017017738191463E-12</c:v>
                </c:pt>
                <c:pt idx="146">
                  <c:v>1.8017017738191463E-12</c:v>
                </c:pt>
                <c:pt idx="147">
                  <c:v>1.8017017738191463E-12</c:v>
                </c:pt>
                <c:pt idx="148">
                  <c:v>1.8017017738191463E-12</c:v>
                </c:pt>
                <c:pt idx="149">
                  <c:v>1.8017017738191463E-12</c:v>
                </c:pt>
                <c:pt idx="150">
                  <c:v>1.8017017738191463E-12</c:v>
                </c:pt>
                <c:pt idx="151">
                  <c:v>1.8017017738191463E-12</c:v>
                </c:pt>
                <c:pt idx="152">
                  <c:v>1.8017017738191463E-12</c:v>
                </c:pt>
                <c:pt idx="153">
                  <c:v>1.8017017738191463E-12</c:v>
                </c:pt>
                <c:pt idx="154">
                  <c:v>1.8017017738191463E-12</c:v>
                </c:pt>
                <c:pt idx="155">
                  <c:v>1.8017017738191463E-12</c:v>
                </c:pt>
                <c:pt idx="156">
                  <c:v>1.8017017738191463E-12</c:v>
                </c:pt>
                <c:pt idx="157">
                  <c:v>1.8017017738191463E-12</c:v>
                </c:pt>
                <c:pt idx="158">
                  <c:v>1.8017017738191463E-12</c:v>
                </c:pt>
                <c:pt idx="159">
                  <c:v>1.8017017738191463E-12</c:v>
                </c:pt>
                <c:pt idx="160">
                  <c:v>1.8017017738191463E-12</c:v>
                </c:pt>
                <c:pt idx="161">
                  <c:v>1.8017017738191463E-12</c:v>
                </c:pt>
                <c:pt idx="162">
                  <c:v>1.8017017738191463E-12</c:v>
                </c:pt>
                <c:pt idx="163">
                  <c:v>1.8017017738191463E-12</c:v>
                </c:pt>
                <c:pt idx="164">
                  <c:v>1.8017017738191463E-12</c:v>
                </c:pt>
                <c:pt idx="165">
                  <c:v>1.8017017738191463E-12</c:v>
                </c:pt>
                <c:pt idx="166">
                  <c:v>1.8017017738191463E-12</c:v>
                </c:pt>
                <c:pt idx="167">
                  <c:v>1.8017017738191463E-12</c:v>
                </c:pt>
                <c:pt idx="168">
                  <c:v>1.8017017738191463E-12</c:v>
                </c:pt>
                <c:pt idx="169">
                  <c:v>1.8017017738191463E-12</c:v>
                </c:pt>
                <c:pt idx="170">
                  <c:v>1.8017017738191463E-12</c:v>
                </c:pt>
                <c:pt idx="171">
                  <c:v>1.8017017738191463E-12</c:v>
                </c:pt>
                <c:pt idx="172">
                  <c:v>1.8017017738191463E-12</c:v>
                </c:pt>
                <c:pt idx="173">
                  <c:v>1.8017017738191463E-12</c:v>
                </c:pt>
                <c:pt idx="174">
                  <c:v>1.8017017738191463E-12</c:v>
                </c:pt>
                <c:pt idx="175">
                  <c:v>1.8017017738191463E-12</c:v>
                </c:pt>
                <c:pt idx="176">
                  <c:v>1.8017017738191463E-12</c:v>
                </c:pt>
                <c:pt idx="177">
                  <c:v>1.8017017738191463E-12</c:v>
                </c:pt>
                <c:pt idx="178">
                  <c:v>1.8017017738191463E-12</c:v>
                </c:pt>
                <c:pt idx="179">
                  <c:v>1.8017017738191463E-12</c:v>
                </c:pt>
                <c:pt idx="180">
                  <c:v>1.8017017738191463E-12</c:v>
                </c:pt>
                <c:pt idx="181">
                  <c:v>1.8017017738191463E-12</c:v>
                </c:pt>
                <c:pt idx="182">
                  <c:v>1.8017017738191463E-12</c:v>
                </c:pt>
                <c:pt idx="183">
                  <c:v>1.8017017738191463E-12</c:v>
                </c:pt>
                <c:pt idx="184">
                  <c:v>1.8017017738191463E-12</c:v>
                </c:pt>
                <c:pt idx="185">
                  <c:v>1.8017017738191463E-12</c:v>
                </c:pt>
                <c:pt idx="186">
                  <c:v>1.8017017738191463E-12</c:v>
                </c:pt>
                <c:pt idx="187">
                  <c:v>1.8017017738191463E-12</c:v>
                </c:pt>
                <c:pt idx="188">
                  <c:v>1.8017017738191463E-12</c:v>
                </c:pt>
                <c:pt idx="189">
                  <c:v>1.8017017738191463E-12</c:v>
                </c:pt>
                <c:pt idx="190">
                  <c:v>1.8017017738191463E-12</c:v>
                </c:pt>
                <c:pt idx="191">
                  <c:v>1.8017017738191463E-12</c:v>
                </c:pt>
                <c:pt idx="192">
                  <c:v>1.8017017738191463E-12</c:v>
                </c:pt>
                <c:pt idx="193">
                  <c:v>1.8017017738191463E-12</c:v>
                </c:pt>
                <c:pt idx="194">
                  <c:v>1.8017017738191463E-12</c:v>
                </c:pt>
                <c:pt idx="195">
                  <c:v>1.8017017738191463E-12</c:v>
                </c:pt>
                <c:pt idx="196">
                  <c:v>1.8017017738191463E-12</c:v>
                </c:pt>
                <c:pt idx="197">
                  <c:v>1.8017017738191463E-12</c:v>
                </c:pt>
                <c:pt idx="198">
                  <c:v>1.8017017738191463E-12</c:v>
                </c:pt>
                <c:pt idx="199">
                  <c:v>1.8017017738191463E-12</c:v>
                </c:pt>
                <c:pt idx="200">
                  <c:v>1.8017017738191463E-12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8545664"/>
        <c:axId val="-128534784"/>
      </c:scatterChart>
      <c:valAx>
        <c:axId val="-128545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534784"/>
        <c:crosses val="autoZero"/>
        <c:crossBetween val="midCat"/>
      </c:valAx>
      <c:valAx>
        <c:axId val="-128534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545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2.2007158170150634</c:v>
                </c:pt>
                <c:pt idx="2">
                  <c:v>2.7962519094118723</c:v>
                </c:pt>
                <c:pt idx="3">
                  <c:v>3.5535861505858075</c:v>
                </c:pt>
                <c:pt idx="4">
                  <c:v>4.5168406960899965</c:v>
                </c:pt>
                <c:pt idx="5">
                  <c:v>5.7422116394973726</c:v>
                </c:pt>
                <c:pt idx="6">
                  <c:v>7.3012836732651438</c:v>
                </c:pt>
                <c:pt idx="7">
                  <c:v>9.2852574241869252</c:v>
                </c:pt>
                <c:pt idx="8">
                  <c:v>11.810341445786392</c:v>
                </c:pt>
                <c:pt idx="9">
                  <c:v>15.024630592214445</c:v>
                </c:pt>
                <c:pt idx="10">
                  <c:v>19.116881586433095</c:v>
                </c:pt>
                <c:pt idx="11">
                  <c:v>24.327710406972969</c:v>
                </c:pt>
                <c:pt idx="12">
                  <c:v>30.963881526939787</c:v>
                </c:pt>
                <c:pt idx="13">
                  <c:v>39.416544835762807</c:v>
                </c:pt>
                <c:pt idx="14">
                  <c:v>50.184513497177107</c:v>
                </c:pt>
                <c:pt idx="15">
                  <c:v>63.903979417585994</c:v>
                </c:pt>
                <c:pt idx="16">
                  <c:v>74.968706876518851</c:v>
                </c:pt>
                <c:pt idx="17">
                  <c:v>85.991728436661262</c:v>
                </c:pt>
                <c:pt idx="18">
                  <c:v>96.979158932691703</c:v>
                </c:pt>
                <c:pt idx="19">
                  <c:v>107.93560770449947</c:v>
                </c:pt>
                <c:pt idx="20">
                  <c:v>118.86466834612668</c:v>
                </c:pt>
                <c:pt idx="21">
                  <c:v>130.33262503284615</c:v>
                </c:pt>
                <c:pt idx="22">
                  <c:v>141.77618935167845</c:v>
                </c:pt>
                <c:pt idx="23">
                  <c:v>153.19760973996208</c:v>
                </c:pt>
                <c:pt idx="24">
                  <c:v>164.59877136682616</c:v>
                </c:pt>
                <c:pt idx="25">
                  <c:v>175.98127648998829</c:v>
                </c:pt>
                <c:pt idx="26">
                  <c:v>133.89951586726025</c:v>
                </c:pt>
                <c:pt idx="27">
                  <c:v>145.14865683159067</c:v>
                </c:pt>
                <c:pt idx="28">
                  <c:v>156.3769455749574</c:v>
                </c:pt>
                <c:pt idx="29">
                  <c:v>167.58609180073498</c:v>
                </c:pt>
                <c:pt idx="30">
                  <c:v>178.77755746583179</c:v>
                </c:pt>
                <c:pt idx="31">
                  <c:v>189.20809090709827</c:v>
                </c:pt>
                <c:pt idx="32">
                  <c:v>199.62522507053666</c:v>
                </c:pt>
                <c:pt idx="33">
                  <c:v>210.02975834863889</c:v>
                </c:pt>
                <c:pt idx="34">
                  <c:v>220.42240348483696</c:v>
                </c:pt>
                <c:pt idx="35">
                  <c:v>230.80380045507431</c:v>
                </c:pt>
                <c:pt idx="36">
                  <c:v>195.34832747549947</c:v>
                </c:pt>
                <c:pt idx="37">
                  <c:v>205.38638702588551</c:v>
                </c:pt>
                <c:pt idx="38">
                  <c:v>215.41310599520918</c:v>
                </c:pt>
                <c:pt idx="39">
                  <c:v>225.42908712953158</c:v>
                </c:pt>
                <c:pt idx="40">
                  <c:v>235.4348751848737</c:v>
                </c:pt>
                <c:pt idx="41">
                  <c:v>244.50579602361998</c:v>
                </c:pt>
                <c:pt idx="42">
                  <c:v>253.56907009189914</c:v>
                </c:pt>
                <c:pt idx="43">
                  <c:v>262.62500950142402</c:v>
                </c:pt>
                <c:pt idx="44">
                  <c:v>271.67390306099725</c:v>
                </c:pt>
                <c:pt idx="45">
                  <c:v>280.71601875158382</c:v>
                </c:pt>
                <c:pt idx="46">
                  <c:v>243.95065658009185</c:v>
                </c:pt>
                <c:pt idx="47">
                  <c:v>252.45968154773985</c:v>
                </c:pt>
                <c:pt idx="48">
                  <c:v>260.96221015972293</c:v>
                </c:pt>
                <c:pt idx="49">
                  <c:v>269.45848413939967</c:v>
                </c:pt>
                <c:pt idx="50">
                  <c:v>277.94872870657525</c:v>
                </c:pt>
                <c:pt idx="51">
                  <c:v>286.06438440827776</c:v>
                </c:pt>
                <c:pt idx="52">
                  <c:v>294.17488861011532</c:v>
                </c:pt>
                <c:pt idx="53">
                  <c:v>302.28040350881963</c:v>
                </c:pt>
                <c:pt idx="54">
                  <c:v>310.38108188437286</c:v>
                </c:pt>
                <c:pt idx="55">
                  <c:v>318.47706788363627</c:v>
                </c:pt>
                <c:pt idx="56">
                  <c:v>282.7449756396457</c:v>
                </c:pt>
                <c:pt idx="57">
                  <c:v>290.30459825765917</c:v>
                </c:pt>
                <c:pt idx="58">
                  <c:v>297.85982268054408</c:v>
                </c:pt>
                <c:pt idx="59">
                  <c:v>305.41077632123785</c:v>
                </c:pt>
                <c:pt idx="60">
                  <c:v>312.95757977167301</c:v>
                </c:pt>
                <c:pt idx="61">
                  <c:v>319.76464216080774</c:v>
                </c:pt>
                <c:pt idx="62">
                  <c:v>326.56849772007598</c:v>
                </c:pt>
                <c:pt idx="63">
                  <c:v>333.36922275846945</c:v>
                </c:pt>
                <c:pt idx="64">
                  <c:v>340.16689021425316</c:v>
                </c:pt>
                <c:pt idx="65">
                  <c:v>346.96156986974069</c:v>
                </c:pt>
                <c:pt idx="66">
                  <c:v>314.06164885604733</c:v>
                </c:pt>
                <c:pt idx="67">
                  <c:v>320.68426777479954</c:v>
                </c:pt>
                <c:pt idx="68">
                  <c:v>327.30386083487946</c:v>
                </c:pt>
                <c:pt idx="69">
                  <c:v>333.9204979335957</c:v>
                </c:pt>
                <c:pt idx="70">
                  <c:v>340.53424596920644</c:v>
                </c:pt>
                <c:pt idx="71">
                  <c:v>346.59436515417241</c:v>
                </c:pt>
                <c:pt idx="72">
                  <c:v>352.65215800851342</c:v>
                </c:pt>
                <c:pt idx="73">
                  <c:v>358.7076701751036</c:v>
                </c:pt>
                <c:pt idx="74">
                  <c:v>364.76094562839216</c:v>
                </c:pt>
                <c:pt idx="75">
                  <c:v>370.81202676268725</c:v>
                </c:pt>
                <c:pt idx="76">
                  <c:v>342.0035819124044</c:v>
                </c:pt>
                <c:pt idx="77">
                  <c:v>348.06313285395299</c:v>
                </c:pt>
                <c:pt idx="78">
                  <c:v>354.12036868801255</c:v>
                </c:pt>
                <c:pt idx="79">
                  <c:v>360.17533464453709</c:v>
                </c:pt>
                <c:pt idx="80">
                  <c:v>366.22807430704444</c:v>
                </c:pt>
                <c:pt idx="81">
                  <c:v>371.72866839180887</c:v>
                </c:pt>
                <c:pt idx="82">
                  <c:v>377.22748782234959</c:v>
                </c:pt>
                <c:pt idx="83">
                  <c:v>382.72456214571093</c:v>
                </c:pt>
                <c:pt idx="84">
                  <c:v>388.21991999001642</c:v>
                </c:pt>
                <c:pt idx="85">
                  <c:v>393.71358910594313</c:v>
                </c:pt>
                <c:pt idx="86">
                  <c:v>364.94434375313602</c:v>
                </c:pt>
                <c:pt idx="87">
                  <c:v>370.07867787425289</c:v>
                </c:pt>
                <c:pt idx="88">
                  <c:v>375.2114582000915</c:v>
                </c:pt>
                <c:pt idx="89">
                  <c:v>380.34270900980033</c:v>
                </c:pt>
                <c:pt idx="90">
                  <c:v>385.4724538732321</c:v>
                </c:pt>
                <c:pt idx="91">
                  <c:v>390.60071568104081</c:v>
                </c:pt>
                <c:pt idx="92">
                  <c:v>395.72751667311633</c:v>
                </c:pt>
                <c:pt idx="93">
                  <c:v>400.85287846546549</c:v>
                </c:pt>
                <c:pt idx="94">
                  <c:v>405.97682207564702</c:v>
                </c:pt>
                <c:pt idx="95">
                  <c:v>411.09936794685399</c:v>
                </c:pt>
                <c:pt idx="96">
                  <c:v>383.82377013249379</c:v>
                </c:pt>
                <c:pt idx="97">
                  <c:v>388.58621683386582</c:v>
                </c:pt>
                <c:pt idx="98">
                  <c:v>393.34739649249155</c:v>
                </c:pt>
                <c:pt idx="99">
                  <c:v>398.107326626516</c:v>
                </c:pt>
                <c:pt idx="100">
                  <c:v>402.86602430053154</c:v>
                </c:pt>
                <c:pt idx="101">
                  <c:v>407.25758879520464</c:v>
                </c:pt>
                <c:pt idx="102">
                  <c:v>411.64813007939955</c:v>
                </c:pt>
                <c:pt idx="103">
                  <c:v>416.03766061861705</c:v>
                </c:pt>
                <c:pt idx="104">
                  <c:v>420.42619259356724</c:v>
                </c:pt>
                <c:pt idx="105">
                  <c:v>424.81373790964727</c:v>
                </c:pt>
                <c:pt idx="106">
                  <c:v>399.93773989825144</c:v>
                </c:pt>
                <c:pt idx="107">
                  <c:v>404.32999360363397</c:v>
                </c:pt>
                <c:pt idx="108">
                  <c:v>408.72121562510921</c:v>
                </c:pt>
                <c:pt idx="109">
                  <c:v>413.11141862351934</c:v>
                </c:pt>
                <c:pt idx="110">
                  <c:v>417.50061496835565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8536416"/>
        <c:axId val="-128537504"/>
      </c:scatterChart>
      <c:valAx>
        <c:axId val="-128536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537504"/>
        <c:crosses val="autoZero"/>
        <c:crossBetween val="midCat"/>
      </c:valAx>
      <c:valAx>
        <c:axId val="-128537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536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2.5983166838350953</c:v>
                </c:pt>
                <c:pt idx="2">
                  <c:v>3.2463174463232147</c:v>
                </c:pt>
                <c:pt idx="3">
                  <c:v>4.0565513374209239</c:v>
                </c:pt>
                <c:pt idx="4">
                  <c:v>5.0697828618695446</c:v>
                </c:pt>
                <c:pt idx="5">
                  <c:v>6.3370542463297648</c:v>
                </c:pt>
                <c:pt idx="6">
                  <c:v>7.9222848506989054</c:v>
                </c:pt>
                <c:pt idx="7">
                  <c:v>9.9055299174053317</c:v>
                </c:pt>
                <c:pt idx="8">
                  <c:v>12.387066341894517</c:v>
                </c:pt>
                <c:pt idx="9">
                  <c:v>15.492515895586982</c:v>
                </c:pt>
                <c:pt idx="10">
                  <c:v>19.379270002357259</c:v>
                </c:pt>
                <c:pt idx="11">
                  <c:v>24.244547556933963</c:v>
                </c:pt>
                <c:pt idx="12">
                  <c:v>30.335501891424943</c:v>
                </c:pt>
                <c:pt idx="13">
                  <c:v>37.961899258450863</c:v>
                </c:pt>
                <c:pt idx="14">
                  <c:v>47.512024652827165</c:v>
                </c:pt>
                <c:pt idx="15">
                  <c:v>59.472638408851729</c:v>
                </c:pt>
                <c:pt idx="16">
                  <c:v>67.408662492679099</c:v>
                </c:pt>
                <c:pt idx="17">
                  <c:v>75.320599808628302</c:v>
                </c:pt>
                <c:pt idx="18">
                  <c:v>83.211344052224632</c:v>
                </c:pt>
                <c:pt idx="19">
                  <c:v>91.083193034949701</c:v>
                </c:pt>
                <c:pt idx="20">
                  <c:v>98.938013551923461</c:v>
                </c:pt>
                <c:pt idx="21">
                  <c:v>107.13333833929822</c:v>
                </c:pt>
                <c:pt idx="22">
                  <c:v>115.31321791037726</c:v>
                </c:pt>
                <c:pt idx="23">
                  <c:v>123.47890428692084</c:v>
                </c:pt>
                <c:pt idx="24">
                  <c:v>131.63146998500227</c:v>
                </c:pt>
                <c:pt idx="25">
                  <c:v>139.7718435296224</c:v>
                </c:pt>
                <c:pt idx="26">
                  <c:v>123.83362931472313</c:v>
                </c:pt>
                <c:pt idx="27">
                  <c:v>130.92304770905506</c:v>
                </c:pt>
                <c:pt idx="28">
                  <c:v>138.00319162665042</c:v>
                </c:pt>
                <c:pt idx="29">
                  <c:v>145.07460486529592</c:v>
                </c:pt>
                <c:pt idx="30">
                  <c:v>152.13777377111359</c:v>
                </c:pt>
                <c:pt idx="31">
                  <c:v>160.60330678698656</c:v>
                </c:pt>
                <c:pt idx="32">
                  <c:v>169.05827270884916</c:v>
                </c:pt>
                <c:pt idx="33">
                  <c:v>177.5032752566774</c:v>
                </c:pt>
                <c:pt idx="34">
                  <c:v>185.93885592329801</c:v>
                </c:pt>
                <c:pt idx="35">
                  <c:v>194.36550298334643</c:v>
                </c:pt>
                <c:pt idx="36">
                  <c:v>169.41034278527815</c:v>
                </c:pt>
                <c:pt idx="37">
                  <c:v>177.85494234060414</c:v>
                </c:pt>
                <c:pt idx="38">
                  <c:v>186.29014136595831</c:v>
                </c:pt>
                <c:pt idx="39">
                  <c:v>194.71642608832349</c:v>
                </c:pt>
                <c:pt idx="40">
                  <c:v>203.13423715529458</c:v>
                </c:pt>
                <c:pt idx="41">
                  <c:v>211.5439756614193</c:v>
                </c:pt>
                <c:pt idx="42">
                  <c:v>219.94600816465757</c:v>
                </c:pt>
                <c:pt idx="43">
                  <c:v>228.34067089512379</c:v>
                </c:pt>
                <c:pt idx="44">
                  <c:v>236.72827331171041</c:v>
                </c:pt>
                <c:pt idx="45">
                  <c:v>245.10910112764864</c:v>
                </c:pt>
                <c:pt idx="46">
                  <c:v>216.44607557160018</c:v>
                </c:pt>
                <c:pt idx="47">
                  <c:v>224.49401164296523</c:v>
                </c:pt>
                <c:pt idx="48">
                  <c:v>232.53533626130948</c:v>
                </c:pt>
                <c:pt idx="49">
                  <c:v>240.57031057620057</c:v>
                </c:pt>
                <c:pt idx="50">
                  <c:v>248.59917684690126</c:v>
                </c:pt>
                <c:pt idx="51">
                  <c:v>256.27345444267445</c:v>
                </c:pt>
                <c:pt idx="52">
                  <c:v>263.94253392620135</c:v>
                </c:pt>
                <c:pt idx="53">
                  <c:v>271.60658781037904</c:v>
                </c:pt>
                <c:pt idx="54">
                  <c:v>279.26577806642058</c:v>
                </c:pt>
                <c:pt idx="55">
                  <c:v>286.9202570458869</c:v>
                </c:pt>
                <c:pt idx="56">
                  <c:v>255.92473775915406</c:v>
                </c:pt>
                <c:pt idx="57">
                  <c:v>263.24555506532818</c:v>
                </c:pt>
                <c:pt idx="58">
                  <c:v>270.56177945365772</c:v>
                </c:pt>
                <c:pt idx="59">
                  <c:v>277.87355278777545</c:v>
                </c:pt>
                <c:pt idx="60">
                  <c:v>285.18100884727511</c:v>
                </c:pt>
                <c:pt idx="61">
                  <c:v>292.13659270097298</c:v>
                </c:pt>
                <c:pt idx="62">
                  <c:v>299.08847869495395</c:v>
                </c:pt>
                <c:pt idx="63">
                  <c:v>306.03676500452571</c:v>
                </c:pt>
                <c:pt idx="64">
                  <c:v>312.98154497816944</c:v>
                </c:pt>
                <c:pt idx="65">
                  <c:v>319.92290747907691</c:v>
                </c:pt>
                <c:pt idx="66">
                  <c:v>288.65926934113514</c:v>
                </c:pt>
                <c:pt idx="67">
                  <c:v>295.61299167710996</c:v>
                </c:pt>
                <c:pt idx="68">
                  <c:v>302.56306586704608</c:v>
                </c:pt>
                <c:pt idx="69">
                  <c:v>309.50958762804521</c:v>
                </c:pt>
                <c:pt idx="70">
                  <c:v>316.45264802528953</c:v>
                </c:pt>
                <c:pt idx="71">
                  <c:v>322.6985146909015</c:v>
                </c:pt>
                <c:pt idx="72">
                  <c:v>328.94170839365825</c:v>
                </c:pt>
                <c:pt idx="73">
                  <c:v>335.18228708152941</c:v>
                </c:pt>
                <c:pt idx="74">
                  <c:v>341.42030636615868</c:v>
                </c:pt>
                <c:pt idx="75">
                  <c:v>347.65581965898053</c:v>
                </c:pt>
                <c:pt idx="76">
                  <c:v>315.75849524236122</c:v>
                </c:pt>
                <c:pt idx="77">
                  <c:v>322.00466258727687</c:v>
                </c:pt>
                <c:pt idx="78">
                  <c:v>328.24815038016726</c:v>
                </c:pt>
                <c:pt idx="79">
                  <c:v>334.48901683747783</c:v>
                </c:pt>
                <c:pt idx="80">
                  <c:v>340.7273178235244</c:v>
                </c:pt>
                <c:pt idx="81">
                  <c:v>346.27036394506968</c:v>
                </c:pt>
                <c:pt idx="82">
                  <c:v>351.81146173661563</c:v>
                </c:pt>
                <c:pt idx="83">
                  <c:v>357.35064625082185</c:v>
                </c:pt>
                <c:pt idx="84">
                  <c:v>362.88795136374142</c:v>
                </c:pt>
                <c:pt idx="85">
                  <c:v>368.42340983207026</c:v>
                </c:pt>
                <c:pt idx="86">
                  <c:v>337.26190853958701</c:v>
                </c:pt>
                <c:pt idx="87">
                  <c:v>342.45973119739142</c:v>
                </c:pt>
                <c:pt idx="88">
                  <c:v>347.65581965898036</c:v>
                </c:pt>
                <c:pt idx="89">
                  <c:v>352.85020353381975</c:v>
                </c:pt>
                <c:pt idx="90">
                  <c:v>358.04291148739202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8551104"/>
        <c:axId val="-128550560"/>
      </c:scatterChart>
      <c:valAx>
        <c:axId val="-1285511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550560"/>
        <c:crosses val="autoZero"/>
        <c:crossBetween val="midCat"/>
      </c:valAx>
      <c:valAx>
        <c:axId val="-12855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5511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8545120"/>
        <c:axId val="-128541856"/>
      </c:scatterChart>
      <c:valAx>
        <c:axId val="-1285451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541856"/>
        <c:crosses val="autoZero"/>
        <c:crossBetween val="midCat"/>
      </c:valAx>
      <c:valAx>
        <c:axId val="-128541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545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8544032"/>
        <c:axId val="-128546752"/>
      </c:scatterChart>
      <c:valAx>
        <c:axId val="-1285440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546752"/>
        <c:crosses val="autoZero"/>
        <c:crossBetween val="midCat"/>
      </c:valAx>
      <c:valAx>
        <c:axId val="-12854675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5440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3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3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3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3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3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3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3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3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3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3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3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3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3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3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3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3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3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3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22" zoomScale="85" zoomScaleNormal="85" workbookViewId="0">
      <selection activeCell="E29" sqref="E29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6" t="s">
        <v>192</v>
      </c>
      <c r="C3" s="297"/>
      <c r="D3" s="297"/>
      <c r="E3" s="297"/>
      <c r="F3" s="298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2" t="s">
        <v>231</v>
      </c>
      <c r="B5" s="302"/>
      <c r="C5" s="26">
        <v>4</v>
      </c>
      <c r="D5" s="303" t="s">
        <v>229</v>
      </c>
      <c r="E5" s="304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300" t="s">
        <v>226</v>
      </c>
      <c r="B7" s="300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112</v>
      </c>
      <c r="C9" s="35">
        <v>0.5</v>
      </c>
      <c r="D9" s="36">
        <f t="shared" ref="D9:D18" si="0">C9*$C$5</f>
        <v>2</v>
      </c>
      <c r="E9" s="37">
        <v>18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14</v>
      </c>
      <c r="C10" s="35">
        <v>0.2</v>
      </c>
      <c r="D10" s="36">
        <f t="shared" si="0"/>
        <v>0.8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12</v>
      </c>
      <c r="C11" s="35">
        <v>0.2</v>
      </c>
      <c r="D11" s="36">
        <f t="shared" si="0"/>
        <v>0.8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</v>
      </c>
      <c r="C12" s="35">
        <v>0.04</v>
      </c>
      <c r="D12" s="36">
        <f t="shared" si="0"/>
        <v>0.16</v>
      </c>
      <c r="E12" s="37">
        <v>120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52</v>
      </c>
      <c r="C13" s="35">
        <v>2.9000000000000001E-2</v>
      </c>
      <c r="D13" s="36">
        <f t="shared" si="0"/>
        <v>0.11600000000000001</v>
      </c>
      <c r="E13" s="37">
        <v>120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50</v>
      </c>
      <c r="C14" s="35">
        <v>1.4E-2</v>
      </c>
      <c r="D14" s="36">
        <f t="shared" si="0"/>
        <v>5.6000000000000001E-2</v>
      </c>
      <c r="E14" s="37">
        <v>110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5</v>
      </c>
      <c r="C15" s="35">
        <v>1.4E-2</v>
      </c>
      <c r="D15" s="36">
        <f t="shared" si="0"/>
        <v>5.6000000000000001E-2</v>
      </c>
      <c r="E15" s="37">
        <v>90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9" t="s">
        <v>175</v>
      </c>
      <c r="C19" s="40">
        <f>SUM(C9:C18)</f>
        <v>0.997</v>
      </c>
      <c r="D19" s="41">
        <f>SUM(D9:D18)</f>
        <v>3.988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9" t="s">
        <v>232</v>
      </c>
      <c r="B22" s="299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1" t="s">
        <v>227</v>
      </c>
      <c r="B30" s="301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Peuplier Koster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9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6</v>
      </c>
      <c r="B36" s="61">
        <v>16.32</v>
      </c>
      <c r="C36" s="61"/>
      <c r="D36" s="61"/>
      <c r="E36" s="54"/>
      <c r="F36" s="54"/>
      <c r="G36" s="54"/>
      <c r="H36" s="54"/>
      <c r="I36" s="52">
        <f>IFERROR(B36/A36,"")</f>
        <v>2.72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7</v>
      </c>
      <c r="B37" s="61">
        <v>42.84</v>
      </c>
      <c r="C37" s="61"/>
      <c r="D37" s="61"/>
      <c r="E37" s="54"/>
      <c r="F37" s="54"/>
      <c r="G37" s="54"/>
      <c r="H37" s="54"/>
      <c r="I37" s="56">
        <f t="shared" ref="I37:I55" si="1">IF(A37&lt;&gt;0,(B37-(B36-D36))/(A37-A36),"")</f>
        <v>26.520000000000003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8</v>
      </c>
      <c r="B38" s="61">
        <v>71.400000000000006</v>
      </c>
      <c r="C38" s="61"/>
      <c r="D38" s="61"/>
      <c r="E38" s="54"/>
      <c r="F38" s="54"/>
      <c r="G38" s="54"/>
      <c r="H38" s="54"/>
      <c r="I38" s="56">
        <f t="shared" si="1"/>
        <v>28.560000000000002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9</v>
      </c>
      <c r="B39" s="61">
        <v>99.96</v>
      </c>
      <c r="C39" s="61"/>
      <c r="D39" s="61"/>
      <c r="E39" s="54"/>
      <c r="F39" s="54"/>
      <c r="G39" s="54"/>
      <c r="H39" s="54"/>
      <c r="I39" s="52">
        <f t="shared" si="1"/>
        <v>28.559999999999988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10</v>
      </c>
      <c r="B40" s="61">
        <v>130.56</v>
      </c>
      <c r="C40" s="61"/>
      <c r="D40" s="61"/>
      <c r="E40" s="54"/>
      <c r="F40" s="54"/>
      <c r="G40" s="54"/>
      <c r="H40" s="54"/>
      <c r="I40" s="52">
        <f t="shared" si="1"/>
        <v>30.600000000000009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11</v>
      </c>
      <c r="B41" s="61">
        <v>157.08000000000001</v>
      </c>
      <c r="C41" s="61"/>
      <c r="D41" s="61"/>
      <c r="E41" s="54"/>
      <c r="F41" s="54"/>
      <c r="G41" s="54"/>
      <c r="H41" s="54"/>
      <c r="I41" s="56">
        <f t="shared" si="1"/>
        <v>26.52000000000001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12</v>
      </c>
      <c r="B42" s="61">
        <v>183.6</v>
      </c>
      <c r="C42" s="61"/>
      <c r="D42" s="61"/>
      <c r="E42" s="54"/>
      <c r="F42" s="54"/>
      <c r="G42" s="54"/>
      <c r="H42" s="54"/>
      <c r="I42" s="56">
        <f t="shared" si="1"/>
        <v>26.519999999999982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1">
        <v>13</v>
      </c>
      <c r="B43" s="61">
        <v>208.08</v>
      </c>
      <c r="C43" s="61"/>
      <c r="D43" s="61"/>
      <c r="E43" s="54"/>
      <c r="F43" s="54"/>
      <c r="G43" s="54"/>
      <c r="H43" s="54"/>
      <c r="I43" s="52">
        <f t="shared" si="1"/>
        <v>24.480000000000018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1">
        <v>14</v>
      </c>
      <c r="B44" s="61">
        <v>230.52</v>
      </c>
      <c r="C44" s="61"/>
      <c r="D44" s="61"/>
      <c r="E44" s="54"/>
      <c r="F44" s="54"/>
      <c r="G44" s="54"/>
      <c r="H44" s="54"/>
      <c r="I44" s="52">
        <f t="shared" si="1"/>
        <v>22.439999999999998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1">
        <v>15</v>
      </c>
      <c r="B45" s="61">
        <v>248.88</v>
      </c>
      <c r="C45" s="61"/>
      <c r="D45" s="61"/>
      <c r="E45" s="54"/>
      <c r="F45" s="54"/>
      <c r="G45" s="54"/>
      <c r="H45" s="54"/>
      <c r="I45" s="52">
        <f t="shared" si="1"/>
        <v>18.359999999999985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1">
        <v>16</v>
      </c>
      <c r="B46" s="61">
        <v>265.2</v>
      </c>
      <c r="C46" s="61"/>
      <c r="D46" s="61"/>
      <c r="E46" s="54"/>
      <c r="F46" s="54"/>
      <c r="G46" s="54"/>
      <c r="H46" s="54"/>
      <c r="I46" s="52">
        <f t="shared" si="1"/>
        <v>16.319999999999993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1">
        <v>17</v>
      </c>
      <c r="B47" s="61">
        <v>281.52</v>
      </c>
      <c r="C47" s="61"/>
      <c r="D47" s="61"/>
      <c r="E47" s="54"/>
      <c r="F47" s="54"/>
      <c r="G47" s="54"/>
      <c r="H47" s="54"/>
      <c r="I47" s="52">
        <f t="shared" si="1"/>
        <v>16.319999999999993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1">
        <v>18</v>
      </c>
      <c r="B48" s="61">
        <v>293.76</v>
      </c>
      <c r="C48" s="61">
        <v>1</v>
      </c>
      <c r="D48" s="61">
        <f>B48</f>
        <v>293.76</v>
      </c>
      <c r="E48" s="54">
        <v>0.78</v>
      </c>
      <c r="F48" s="54"/>
      <c r="G48" s="54">
        <v>0.1</v>
      </c>
      <c r="H48" s="54">
        <v>0.12</v>
      </c>
      <c r="I48" s="52">
        <f t="shared" si="1"/>
        <v>12.240000000000009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1"/>
      <c r="B49" s="61"/>
      <c r="C49" s="61"/>
      <c r="D49" s="61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1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1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1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1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1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1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sessile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9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1">
        <v>42</v>
      </c>
      <c r="C62" s="61"/>
      <c r="D62" s="61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1">
        <f>62+8</f>
        <v>70</v>
      </c>
      <c r="C63" s="61"/>
      <c r="D63" s="61"/>
      <c r="E63" s="54"/>
      <c r="F63" s="54"/>
      <c r="G63" s="54"/>
      <c r="H63" s="54"/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1">
        <f>76+8+21</f>
        <v>105</v>
      </c>
      <c r="C64" s="61">
        <v>1</v>
      </c>
      <c r="D64" s="61">
        <f>8+21</f>
        <v>29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1">
        <f>95+21</f>
        <v>116</v>
      </c>
      <c r="C65" s="61"/>
      <c r="D65" s="61"/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1">
        <f>116+21+21</f>
        <v>158</v>
      </c>
      <c r="C66" s="61">
        <v>2</v>
      </c>
      <c r="D66" s="61">
        <f>21+21</f>
        <v>42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1">
        <f>137+21</f>
        <v>158</v>
      </c>
      <c r="C67" s="61"/>
      <c r="D67" s="61"/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1">
        <f>157+21+21</f>
        <v>199</v>
      </c>
      <c r="C68" s="61">
        <v>3</v>
      </c>
      <c r="D68" s="61">
        <f>21+21</f>
        <v>42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61">
        <f>176+21</f>
        <v>197</v>
      </c>
      <c r="C69" s="61"/>
      <c r="D69" s="61"/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235</v>
      </c>
      <c r="C70" s="53">
        <v>4</v>
      </c>
      <c r="D70" s="53">
        <v>42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229</v>
      </c>
      <c r="C71" s="53"/>
      <c r="D71" s="53"/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263</v>
      </c>
      <c r="C72" s="53">
        <v>5</v>
      </c>
      <c r="D72" s="53">
        <v>42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252</v>
      </c>
      <c r="C73" s="53"/>
      <c r="D73" s="53"/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282</v>
      </c>
      <c r="C74" s="53">
        <v>6</v>
      </c>
      <c r="D74" s="53">
        <v>42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90</v>
      </c>
      <c r="B75" s="53">
        <v>296</v>
      </c>
      <c r="C75" s="53">
        <v>7</v>
      </c>
      <c r="D75" s="53">
        <v>42</v>
      </c>
      <c r="E75" s="54"/>
      <c r="F75" s="54"/>
      <c r="G75" s="54"/>
      <c r="H75" s="54"/>
      <c r="I75" s="52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100</v>
      </c>
      <c r="B76" s="53">
        <v>303</v>
      </c>
      <c r="C76" s="53">
        <v>8</v>
      </c>
      <c r="D76" s="53">
        <v>42</v>
      </c>
      <c r="E76" s="54"/>
      <c r="F76" s="54"/>
      <c r="G76" s="54"/>
      <c r="H76" s="54"/>
      <c r="I76" s="52">
        <f t="shared" si="2"/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110</v>
      </c>
      <c r="B77" s="53">
        <v>305</v>
      </c>
      <c r="C77" s="53">
        <v>9</v>
      </c>
      <c r="D77" s="53">
        <v>39</v>
      </c>
      <c r="E77" s="54"/>
      <c r="F77" s="54"/>
      <c r="G77" s="54"/>
      <c r="H77" s="54"/>
      <c r="I77" s="52">
        <f t="shared" si="2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120</v>
      </c>
      <c r="B78" s="53">
        <v>303</v>
      </c>
      <c r="C78" s="53">
        <v>10</v>
      </c>
      <c r="D78" s="53">
        <v>35</v>
      </c>
      <c r="E78" s="54"/>
      <c r="F78" s="54"/>
      <c r="G78" s="54"/>
      <c r="H78" s="54"/>
      <c r="I78" s="52">
        <f t="shared" si="2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130</v>
      </c>
      <c r="B79" s="53">
        <v>300</v>
      </c>
      <c r="C79" s="53">
        <v>11</v>
      </c>
      <c r="D79" s="53">
        <v>31</v>
      </c>
      <c r="E79" s="54"/>
      <c r="F79" s="54"/>
      <c r="G79" s="54"/>
      <c r="H79" s="54"/>
      <c r="I79" s="52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140</v>
      </c>
      <c r="B80" s="53">
        <v>296</v>
      </c>
      <c r="C80" s="53">
        <v>12</v>
      </c>
      <c r="D80" s="53">
        <v>27</v>
      </c>
      <c r="E80" s="54"/>
      <c r="F80" s="54"/>
      <c r="G80" s="54"/>
      <c r="H80" s="54"/>
      <c r="I80" s="52">
        <f t="shared" si="2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53">
        <v>293</v>
      </c>
      <c r="C81" s="53">
        <v>13</v>
      </c>
      <c r="D81" s="53">
        <v>293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pubescent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9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1">
        <v>42</v>
      </c>
      <c r="C88" s="61"/>
      <c r="D88" s="61"/>
      <c r="E88" s="54"/>
      <c r="F88" s="54"/>
      <c r="G88" s="54"/>
      <c r="H88" s="54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1">
        <f>62+8</f>
        <v>70</v>
      </c>
      <c r="C89" s="61"/>
      <c r="D89" s="61"/>
      <c r="E89" s="54"/>
      <c r="F89" s="54"/>
      <c r="G89" s="54"/>
      <c r="H89" s="54"/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1">
        <f>76+8+21</f>
        <v>105</v>
      </c>
      <c r="C90" s="61">
        <v>1</v>
      </c>
      <c r="D90" s="61">
        <f>8+21</f>
        <v>29</v>
      </c>
      <c r="E90" s="54"/>
      <c r="F90" s="54"/>
      <c r="G90" s="54"/>
      <c r="H90" s="54">
        <v>1</v>
      </c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61">
        <f>95+21</f>
        <v>116</v>
      </c>
      <c r="C91" s="61"/>
      <c r="D91" s="61"/>
      <c r="E91" s="54"/>
      <c r="F91" s="54"/>
      <c r="G91" s="54"/>
      <c r="H91" s="54"/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61">
        <f>116+21+21</f>
        <v>158</v>
      </c>
      <c r="C92" s="61">
        <v>2</v>
      </c>
      <c r="D92" s="61">
        <f>21+21</f>
        <v>42</v>
      </c>
      <c r="E92" s="54"/>
      <c r="F92" s="54"/>
      <c r="G92" s="54"/>
      <c r="H92" s="54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61">
        <f>137+21</f>
        <v>158</v>
      </c>
      <c r="C93" s="61"/>
      <c r="D93" s="61"/>
      <c r="E93" s="54"/>
      <c r="F93" s="54"/>
      <c r="G93" s="54"/>
      <c r="H93" s="54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61">
        <f>157+21+21</f>
        <v>199</v>
      </c>
      <c r="C94" s="61">
        <v>3</v>
      </c>
      <c r="D94" s="61">
        <f>21+21</f>
        <v>42</v>
      </c>
      <c r="E94" s="54"/>
      <c r="F94" s="54"/>
      <c r="G94" s="54"/>
      <c r="H94" s="54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55</v>
      </c>
      <c r="B95" s="61">
        <f>176+21</f>
        <v>197</v>
      </c>
      <c r="C95" s="61"/>
      <c r="D95" s="61"/>
      <c r="E95" s="54"/>
      <c r="F95" s="54"/>
      <c r="G95" s="54"/>
      <c r="H95" s="54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60</v>
      </c>
      <c r="B96" s="53">
        <v>235</v>
      </c>
      <c r="C96" s="53">
        <v>4</v>
      </c>
      <c r="D96" s="53">
        <v>42</v>
      </c>
      <c r="E96" s="54"/>
      <c r="F96" s="54"/>
      <c r="G96" s="54"/>
      <c r="H96" s="54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65</v>
      </c>
      <c r="B97" s="53">
        <v>229</v>
      </c>
      <c r="C97" s="53"/>
      <c r="D97" s="53"/>
      <c r="E97" s="54"/>
      <c r="F97" s="54"/>
      <c r="G97" s="54"/>
      <c r="H97" s="54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70</v>
      </c>
      <c r="B98" s="53">
        <v>263</v>
      </c>
      <c r="C98" s="53">
        <v>5</v>
      </c>
      <c r="D98" s="53">
        <v>42</v>
      </c>
      <c r="E98" s="54"/>
      <c r="F98" s="54"/>
      <c r="G98" s="54"/>
      <c r="H98" s="54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75</v>
      </c>
      <c r="B99" s="53">
        <v>252</v>
      </c>
      <c r="C99" s="53"/>
      <c r="D99" s="53"/>
      <c r="E99" s="54"/>
      <c r="F99" s="54"/>
      <c r="G99" s="54"/>
      <c r="H99" s="54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80</v>
      </c>
      <c r="B100" s="53">
        <v>282</v>
      </c>
      <c r="C100" s="53">
        <v>6</v>
      </c>
      <c r="D100" s="53">
        <v>42</v>
      </c>
      <c r="E100" s="54"/>
      <c r="F100" s="54"/>
      <c r="G100" s="54"/>
      <c r="H100" s="54"/>
      <c r="I100" s="56">
        <f t="shared" si="3"/>
        <v>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90</v>
      </c>
      <c r="B101" s="53">
        <v>296</v>
      </c>
      <c r="C101" s="53">
        <v>7</v>
      </c>
      <c r="D101" s="53">
        <v>42</v>
      </c>
      <c r="E101" s="54"/>
      <c r="F101" s="54"/>
      <c r="G101" s="54"/>
      <c r="H101" s="54"/>
      <c r="I101" s="56">
        <f t="shared" si="3"/>
        <v>5.6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100</v>
      </c>
      <c r="B102" s="53">
        <v>303</v>
      </c>
      <c r="C102" s="53">
        <v>8</v>
      </c>
      <c r="D102" s="53">
        <v>42</v>
      </c>
      <c r="E102" s="54"/>
      <c r="F102" s="54"/>
      <c r="G102" s="54"/>
      <c r="H102" s="54"/>
      <c r="I102" s="56">
        <f t="shared" si="3"/>
        <v>4.9000000000000004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110</v>
      </c>
      <c r="B103" s="53">
        <v>305</v>
      </c>
      <c r="C103" s="53">
        <v>9</v>
      </c>
      <c r="D103" s="53">
        <v>39</v>
      </c>
      <c r="E103" s="54"/>
      <c r="F103" s="54"/>
      <c r="G103" s="54"/>
      <c r="H103" s="54"/>
      <c r="I103" s="56">
        <f t="shared" si="3"/>
        <v>4.4000000000000004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>
        <v>120</v>
      </c>
      <c r="B104" s="53">
        <v>303</v>
      </c>
      <c r="C104" s="53">
        <v>10</v>
      </c>
      <c r="D104" s="53">
        <v>35</v>
      </c>
      <c r="E104" s="54"/>
      <c r="F104" s="54"/>
      <c r="G104" s="54"/>
      <c r="H104" s="54"/>
      <c r="I104" s="56">
        <f t="shared" si="3"/>
        <v>3.7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130</v>
      </c>
      <c r="B105" s="53">
        <v>300</v>
      </c>
      <c r="C105" s="53">
        <v>11</v>
      </c>
      <c r="D105" s="53">
        <v>31</v>
      </c>
      <c r="E105" s="54"/>
      <c r="F105" s="54"/>
      <c r="G105" s="54"/>
      <c r="H105" s="54"/>
      <c r="I105" s="56">
        <f t="shared" si="3"/>
        <v>3.2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140</v>
      </c>
      <c r="B106" s="53">
        <v>296</v>
      </c>
      <c r="C106" s="53">
        <v>12</v>
      </c>
      <c r="D106" s="53">
        <v>27</v>
      </c>
      <c r="E106" s="54"/>
      <c r="F106" s="54"/>
      <c r="G106" s="54"/>
      <c r="H106" s="54"/>
      <c r="I106" s="56">
        <f t="shared" si="3"/>
        <v>2.7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150</v>
      </c>
      <c r="B107" s="53">
        <v>293</v>
      </c>
      <c r="C107" s="53">
        <v>13</v>
      </c>
      <c r="D107" s="53">
        <v>293</v>
      </c>
      <c r="E107" s="54"/>
      <c r="F107" s="54"/>
      <c r="G107" s="54"/>
      <c r="H107" s="54"/>
      <c r="I107" s="56">
        <f t="shared" si="3"/>
        <v>2.4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Alisier torminal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9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1">
        <f>21+0</f>
        <v>21</v>
      </c>
      <c r="C114" s="61"/>
      <c r="D114" s="61"/>
      <c r="E114" s="54"/>
      <c r="F114" s="54"/>
      <c r="G114" s="54"/>
      <c r="H114" s="54"/>
      <c r="I114" s="56">
        <f>IFERROR(B114/A114,"")</f>
        <v>1.05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25</v>
      </c>
      <c r="B115" s="61">
        <f>36+0+0</f>
        <v>36</v>
      </c>
      <c r="C115" s="61"/>
      <c r="D115" s="61"/>
      <c r="E115" s="54"/>
      <c r="F115" s="54"/>
      <c r="G115" s="54"/>
      <c r="H115" s="54"/>
      <c r="I115" s="56">
        <f t="shared" ref="I115:I133" si="4">IF(A115&lt;&gt;0,(B115-(B114-D114))/(A115-A114),"")</f>
        <v>3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30</v>
      </c>
      <c r="B116" s="61">
        <f>45+0+0+9</f>
        <v>54</v>
      </c>
      <c r="C116" s="61"/>
      <c r="D116" s="61"/>
      <c r="E116" s="54"/>
      <c r="F116" s="54"/>
      <c r="G116" s="54"/>
      <c r="H116" s="54"/>
      <c r="I116" s="56">
        <f t="shared" si="4"/>
        <v>3.6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35</v>
      </c>
      <c r="B117" s="61">
        <f>55+9+8</f>
        <v>72</v>
      </c>
      <c r="C117" s="61">
        <v>1</v>
      </c>
      <c r="D117" s="61">
        <f>9+8</f>
        <v>17</v>
      </c>
      <c r="E117" s="54"/>
      <c r="F117" s="54"/>
      <c r="G117" s="54"/>
      <c r="H117" s="54"/>
      <c r="I117" s="56">
        <f t="shared" si="4"/>
        <v>3.6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40</v>
      </c>
      <c r="B118" s="61">
        <f>66+9</f>
        <v>75</v>
      </c>
      <c r="C118" s="61"/>
      <c r="D118" s="61"/>
      <c r="E118" s="54"/>
      <c r="F118" s="54"/>
      <c r="G118" s="54"/>
      <c r="H118" s="54"/>
      <c r="I118" s="56">
        <f t="shared" si="4"/>
        <v>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45</v>
      </c>
      <c r="B119" s="61">
        <f>76+9+9</f>
        <v>94</v>
      </c>
      <c r="C119" s="61">
        <v>2</v>
      </c>
      <c r="D119" s="61">
        <f>9+9</f>
        <v>18</v>
      </c>
      <c r="E119" s="54"/>
      <c r="F119" s="54"/>
      <c r="G119" s="54"/>
      <c r="H119" s="54"/>
      <c r="I119" s="56">
        <f t="shared" si="4"/>
        <v>3.8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50</v>
      </c>
      <c r="B120" s="61">
        <f>86+9</f>
        <v>95</v>
      </c>
      <c r="C120" s="61"/>
      <c r="D120" s="61"/>
      <c r="E120" s="54"/>
      <c r="F120" s="54"/>
      <c r="G120" s="54"/>
      <c r="H120" s="54"/>
      <c r="I120" s="56">
        <f t="shared" si="4"/>
        <v>3.8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55</v>
      </c>
      <c r="B121" s="61">
        <f>96+9+10</f>
        <v>115</v>
      </c>
      <c r="C121" s="61">
        <v>3</v>
      </c>
      <c r="D121" s="61">
        <f>9+10</f>
        <v>19</v>
      </c>
      <c r="E121" s="54"/>
      <c r="F121" s="54"/>
      <c r="G121" s="54"/>
      <c r="H121" s="54"/>
      <c r="I121" s="56">
        <f t="shared" si="4"/>
        <v>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60</v>
      </c>
      <c r="B122" s="61">
        <f>105+10</f>
        <v>115</v>
      </c>
      <c r="C122" s="61"/>
      <c r="D122" s="61"/>
      <c r="E122" s="54"/>
      <c r="F122" s="54"/>
      <c r="G122" s="54"/>
      <c r="H122" s="54"/>
      <c r="I122" s="56">
        <f t="shared" si="4"/>
        <v>3.8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65</v>
      </c>
      <c r="B123" s="61">
        <f>114+10+10</f>
        <v>134</v>
      </c>
      <c r="C123" s="61">
        <v>4</v>
      </c>
      <c r="D123" s="61">
        <f>10+10</f>
        <v>20</v>
      </c>
      <c r="E123" s="54"/>
      <c r="F123" s="54"/>
      <c r="G123" s="54"/>
      <c r="H123" s="54"/>
      <c r="I123" s="56">
        <f t="shared" si="4"/>
        <v>3.8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70</v>
      </c>
      <c r="B124" s="61">
        <f>122+10</f>
        <v>132</v>
      </c>
      <c r="C124" s="61"/>
      <c r="D124" s="61"/>
      <c r="E124" s="54"/>
      <c r="F124" s="54"/>
      <c r="G124" s="54"/>
      <c r="H124" s="54"/>
      <c r="I124" s="56">
        <f t="shared" si="4"/>
        <v>3.6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75</v>
      </c>
      <c r="B125" s="61">
        <f>129+10+10</f>
        <v>149</v>
      </c>
      <c r="C125" s="61">
        <v>5</v>
      </c>
      <c r="D125" s="61">
        <f>10+10</f>
        <v>20</v>
      </c>
      <c r="E125" s="54"/>
      <c r="F125" s="54"/>
      <c r="G125" s="54"/>
      <c r="H125" s="54"/>
      <c r="I125" s="56">
        <f t="shared" si="4"/>
        <v>3.4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80</v>
      </c>
      <c r="B126" s="61">
        <f>137+9</f>
        <v>146</v>
      </c>
      <c r="C126" s="61"/>
      <c r="D126" s="61"/>
      <c r="E126" s="54"/>
      <c r="F126" s="54"/>
      <c r="G126" s="54"/>
      <c r="H126" s="54"/>
      <c r="I126" s="56">
        <f t="shared" si="4"/>
        <v>3.4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>
        <v>85</v>
      </c>
      <c r="B127" s="61">
        <f>143+9+9</f>
        <v>161</v>
      </c>
      <c r="C127" s="61">
        <v>6</v>
      </c>
      <c r="D127" s="61">
        <f>9+9</f>
        <v>18</v>
      </c>
      <c r="E127" s="54"/>
      <c r="F127" s="54"/>
      <c r="G127" s="54"/>
      <c r="H127" s="54"/>
      <c r="I127" s="56">
        <f t="shared" si="4"/>
        <v>3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90</v>
      </c>
      <c r="B128" s="61">
        <f>150+9</f>
        <v>159</v>
      </c>
      <c r="C128" s="61"/>
      <c r="D128" s="61"/>
      <c r="E128" s="54"/>
      <c r="F128" s="54"/>
      <c r="G128" s="54"/>
      <c r="H128" s="54"/>
      <c r="I128" s="56">
        <f t="shared" si="4"/>
        <v>3.2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95</v>
      </c>
      <c r="B129" s="61">
        <f>155+9+9</f>
        <v>173</v>
      </c>
      <c r="C129" s="61">
        <v>7</v>
      </c>
      <c r="D129" s="61">
        <f>9+9</f>
        <v>18</v>
      </c>
      <c r="E129" s="54"/>
      <c r="F129" s="54"/>
      <c r="G129" s="54"/>
      <c r="H129" s="54"/>
      <c r="I129" s="56">
        <f t="shared" si="4"/>
        <v>2.8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100</v>
      </c>
      <c r="B130" s="61">
        <f>161+9</f>
        <v>170</v>
      </c>
      <c r="C130" s="61"/>
      <c r="D130" s="61"/>
      <c r="E130" s="57"/>
      <c r="F130" s="57"/>
      <c r="G130" s="57"/>
      <c r="H130" s="57"/>
      <c r="I130" s="56">
        <f t="shared" si="4"/>
        <v>3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105</v>
      </c>
      <c r="B131" s="61">
        <f>166+9+9</f>
        <v>184</v>
      </c>
      <c r="C131" s="53">
        <v>8</v>
      </c>
      <c r="D131" s="61">
        <f>9+9</f>
        <v>18</v>
      </c>
      <c r="E131" s="54"/>
      <c r="F131" s="54"/>
      <c r="G131" s="54"/>
      <c r="H131" s="54"/>
      <c r="I131" s="56">
        <f t="shared" si="4"/>
        <v>2.8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>
        <v>110</v>
      </c>
      <c r="B132" s="61">
        <f>171+10</f>
        <v>181</v>
      </c>
      <c r="C132" s="53"/>
      <c r="D132" s="61"/>
      <c r="E132" s="54"/>
      <c r="F132" s="54"/>
      <c r="G132" s="54"/>
      <c r="H132" s="54"/>
      <c r="I132" s="56">
        <f t="shared" si="4"/>
        <v>3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>
        <v>120</v>
      </c>
      <c r="B133" s="61">
        <f>181+10+10+10</f>
        <v>211</v>
      </c>
      <c r="C133" s="53">
        <v>9</v>
      </c>
      <c r="D133" s="61">
        <f>B133</f>
        <v>211</v>
      </c>
      <c r="E133" s="54"/>
      <c r="F133" s="54"/>
      <c r="G133" s="54"/>
      <c r="H133" s="54"/>
      <c r="I133" s="56">
        <f t="shared" si="4"/>
        <v>3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Cormier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9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20</v>
      </c>
      <c r="B140" s="61">
        <f>21+0</f>
        <v>21</v>
      </c>
      <c r="C140" s="61"/>
      <c r="D140" s="61"/>
      <c r="E140" s="54"/>
      <c r="F140" s="54"/>
      <c r="G140" s="54"/>
      <c r="H140" s="54"/>
      <c r="I140" s="59">
        <f>IFERROR(B140/A140,"")</f>
        <v>1.05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25</v>
      </c>
      <c r="B141" s="61">
        <f>36+0+0</f>
        <v>36</v>
      </c>
      <c r="C141" s="61"/>
      <c r="D141" s="61"/>
      <c r="E141" s="54"/>
      <c r="F141" s="54"/>
      <c r="G141" s="54"/>
      <c r="H141" s="54"/>
      <c r="I141" s="59">
        <f t="shared" ref="I141:I159" si="5">IF(A141&lt;&gt;0,(B141-(B140-D140))/(A141-A140),"")</f>
        <v>3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30</v>
      </c>
      <c r="B142" s="61">
        <f>45+0+0+9</f>
        <v>54</v>
      </c>
      <c r="C142" s="61"/>
      <c r="D142" s="61"/>
      <c r="E142" s="54"/>
      <c r="F142" s="54"/>
      <c r="G142" s="54"/>
      <c r="H142" s="54"/>
      <c r="I142" s="59">
        <f t="shared" si="5"/>
        <v>3.6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35</v>
      </c>
      <c r="B143" s="61">
        <f>55+9+8</f>
        <v>72</v>
      </c>
      <c r="C143" s="61">
        <v>1</v>
      </c>
      <c r="D143" s="61">
        <f>9+8</f>
        <v>17</v>
      </c>
      <c r="E143" s="54"/>
      <c r="F143" s="54"/>
      <c r="G143" s="54"/>
      <c r="H143" s="54"/>
      <c r="I143" s="59">
        <f t="shared" si="5"/>
        <v>3.6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40</v>
      </c>
      <c r="B144" s="61">
        <f>66+9</f>
        <v>75</v>
      </c>
      <c r="C144" s="61"/>
      <c r="D144" s="61"/>
      <c r="E144" s="54"/>
      <c r="F144" s="54"/>
      <c r="G144" s="54"/>
      <c r="H144" s="54"/>
      <c r="I144" s="59">
        <f t="shared" si="5"/>
        <v>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45</v>
      </c>
      <c r="B145" s="61">
        <f>76+9+9</f>
        <v>94</v>
      </c>
      <c r="C145" s="61">
        <v>2</v>
      </c>
      <c r="D145" s="61">
        <f>9+9</f>
        <v>18</v>
      </c>
      <c r="E145" s="54"/>
      <c r="F145" s="54"/>
      <c r="G145" s="54"/>
      <c r="H145" s="54"/>
      <c r="I145" s="59">
        <f t="shared" si="5"/>
        <v>3.8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50</v>
      </c>
      <c r="B146" s="61">
        <f>86+9</f>
        <v>95</v>
      </c>
      <c r="C146" s="61"/>
      <c r="D146" s="61"/>
      <c r="E146" s="54"/>
      <c r="F146" s="54"/>
      <c r="G146" s="54"/>
      <c r="H146" s="54"/>
      <c r="I146" s="59">
        <f t="shared" si="5"/>
        <v>3.8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55</v>
      </c>
      <c r="B147" s="61">
        <f>96+9+10</f>
        <v>115</v>
      </c>
      <c r="C147" s="61">
        <v>3</v>
      </c>
      <c r="D147" s="61">
        <f>9+10</f>
        <v>19</v>
      </c>
      <c r="E147" s="54"/>
      <c r="F147" s="54"/>
      <c r="G147" s="54"/>
      <c r="H147" s="54"/>
      <c r="I147" s="59">
        <f>IF(A147&lt;&gt;0,(B147-(B146-D146))/(A147-A146),"")</f>
        <v>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60</v>
      </c>
      <c r="B148" s="61">
        <f>105+10</f>
        <v>115</v>
      </c>
      <c r="C148" s="61"/>
      <c r="D148" s="61"/>
      <c r="E148" s="54"/>
      <c r="F148" s="54"/>
      <c r="G148" s="54"/>
      <c r="H148" s="54"/>
      <c r="I148" s="59">
        <f t="shared" si="5"/>
        <v>3.8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65</v>
      </c>
      <c r="B149" s="61">
        <f>114+10+10</f>
        <v>134</v>
      </c>
      <c r="C149" s="61">
        <v>4</v>
      </c>
      <c r="D149" s="61">
        <f>10+10</f>
        <v>20</v>
      </c>
      <c r="E149" s="54"/>
      <c r="F149" s="54"/>
      <c r="G149" s="54"/>
      <c r="H149" s="54"/>
      <c r="I149" s="59">
        <f t="shared" si="5"/>
        <v>3.8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70</v>
      </c>
      <c r="B150" s="61">
        <f>122+10</f>
        <v>132</v>
      </c>
      <c r="C150" s="61"/>
      <c r="D150" s="61"/>
      <c r="E150" s="54"/>
      <c r="F150" s="54"/>
      <c r="G150" s="54"/>
      <c r="H150" s="54"/>
      <c r="I150" s="59">
        <f t="shared" si="5"/>
        <v>3.6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75</v>
      </c>
      <c r="B151" s="61">
        <f>129+10+10</f>
        <v>149</v>
      </c>
      <c r="C151" s="61">
        <v>5</v>
      </c>
      <c r="D151" s="61">
        <f>10+10</f>
        <v>20</v>
      </c>
      <c r="E151" s="54"/>
      <c r="F151" s="54"/>
      <c r="G151" s="54"/>
      <c r="H151" s="54"/>
      <c r="I151" s="59">
        <f t="shared" si="5"/>
        <v>3.4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80</v>
      </c>
      <c r="B152" s="61">
        <f>137+9</f>
        <v>146</v>
      </c>
      <c r="C152" s="61"/>
      <c r="D152" s="61"/>
      <c r="E152" s="54"/>
      <c r="F152" s="54"/>
      <c r="G152" s="54"/>
      <c r="H152" s="54"/>
      <c r="I152" s="59">
        <f t="shared" si="5"/>
        <v>3.4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85</v>
      </c>
      <c r="B153" s="61">
        <f>143+9+9</f>
        <v>161</v>
      </c>
      <c r="C153" s="61">
        <v>6</v>
      </c>
      <c r="D153" s="61">
        <f>9+9</f>
        <v>18</v>
      </c>
      <c r="E153" s="54"/>
      <c r="F153" s="54"/>
      <c r="G153" s="54"/>
      <c r="H153" s="54"/>
      <c r="I153" s="59">
        <f t="shared" si="5"/>
        <v>3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>
        <v>90</v>
      </c>
      <c r="B154" s="61">
        <f>150+9</f>
        <v>159</v>
      </c>
      <c r="C154" s="61"/>
      <c r="D154" s="61"/>
      <c r="E154" s="54"/>
      <c r="F154" s="54"/>
      <c r="G154" s="54"/>
      <c r="H154" s="54"/>
      <c r="I154" s="59">
        <f t="shared" si="5"/>
        <v>3.2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>
        <v>95</v>
      </c>
      <c r="B155" s="61">
        <f>155+9+9</f>
        <v>173</v>
      </c>
      <c r="C155" s="61">
        <v>7</v>
      </c>
      <c r="D155" s="61">
        <f>9+9</f>
        <v>18</v>
      </c>
      <c r="E155" s="54"/>
      <c r="F155" s="54"/>
      <c r="G155" s="54"/>
      <c r="H155" s="54"/>
      <c r="I155" s="59">
        <f t="shared" si="5"/>
        <v>2.8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>
        <v>100</v>
      </c>
      <c r="B156" s="61">
        <f>161+9</f>
        <v>170</v>
      </c>
      <c r="C156" s="61"/>
      <c r="D156" s="61"/>
      <c r="E156" s="57"/>
      <c r="F156" s="57"/>
      <c r="G156" s="57"/>
      <c r="H156" s="57"/>
      <c r="I156" s="59">
        <f t="shared" si="5"/>
        <v>3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>
        <v>105</v>
      </c>
      <c r="B157" s="61">
        <f>166+9+9</f>
        <v>184</v>
      </c>
      <c r="C157" s="53">
        <v>8</v>
      </c>
      <c r="D157" s="61">
        <f>9+9</f>
        <v>18</v>
      </c>
      <c r="E157" s="54"/>
      <c r="F157" s="54"/>
      <c r="G157" s="54"/>
      <c r="H157" s="54"/>
      <c r="I157" s="59">
        <f t="shared" si="5"/>
        <v>2.8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>
        <v>110</v>
      </c>
      <c r="B158" s="61">
        <f>171+10</f>
        <v>181</v>
      </c>
      <c r="C158" s="53"/>
      <c r="D158" s="61"/>
      <c r="E158" s="54"/>
      <c r="F158" s="54"/>
      <c r="G158" s="54"/>
      <c r="H158" s="54"/>
      <c r="I158" s="59">
        <f t="shared" si="5"/>
        <v>3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3">
        <v>120</v>
      </c>
      <c r="B159" s="61">
        <f>181+10+10+10</f>
        <v>211</v>
      </c>
      <c r="C159" s="53">
        <v>9</v>
      </c>
      <c r="D159" s="61">
        <f>B159</f>
        <v>211</v>
      </c>
      <c r="E159" s="54"/>
      <c r="F159" s="54"/>
      <c r="G159" s="54"/>
      <c r="H159" s="54"/>
      <c r="I159" s="59">
        <f t="shared" si="5"/>
        <v>3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Tilleul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9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15</v>
      </c>
      <c r="B166" s="61">
        <f>(65)/1.56</f>
        <v>41.666666666666664</v>
      </c>
      <c r="C166" s="53"/>
      <c r="D166" s="61"/>
      <c r="E166" s="54"/>
      <c r="F166" s="54"/>
      <c r="G166" s="54"/>
      <c r="H166" s="54"/>
      <c r="I166" s="52">
        <f>IFERROR(B166/A166,"")</f>
        <v>2.7777777777777777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20</v>
      </c>
      <c r="B167" s="61">
        <f>(109+14)/1.56</f>
        <v>78.84615384615384</v>
      </c>
      <c r="C167" s="53"/>
      <c r="D167" s="61"/>
      <c r="E167" s="54"/>
      <c r="F167" s="54"/>
      <c r="G167" s="54"/>
      <c r="H167" s="54"/>
      <c r="I167" s="52">
        <f t="shared" ref="I167:I185" si="6">IF(A167&lt;&gt;0,(B167-(B166-D166))/(A167-A166),"")</f>
        <v>7.4358974358974352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25</v>
      </c>
      <c r="B168" s="61">
        <f>(150+14+20)/1.56</f>
        <v>117.94871794871794</v>
      </c>
      <c r="C168" s="53">
        <v>1</v>
      </c>
      <c r="D168" s="61">
        <f>(14+20+23)/1.56</f>
        <v>36.53846153846154</v>
      </c>
      <c r="E168" s="54"/>
      <c r="F168" s="54"/>
      <c r="G168" s="54"/>
      <c r="H168" s="54">
        <v>1</v>
      </c>
      <c r="I168" s="52">
        <f t="shared" si="6"/>
        <v>7.8205128205128203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30</v>
      </c>
      <c r="B169" s="61">
        <f>(187)/1.56</f>
        <v>119.87179487179486</v>
      </c>
      <c r="C169" s="53"/>
      <c r="D169" s="61"/>
      <c r="E169" s="54"/>
      <c r="F169" s="54"/>
      <c r="G169" s="54"/>
      <c r="H169" s="54"/>
      <c r="I169" s="52">
        <f t="shared" si="6"/>
        <v>7.6923076923076907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35</v>
      </c>
      <c r="B170" s="61">
        <f>(219+24)/1.56</f>
        <v>155.76923076923077</v>
      </c>
      <c r="C170" s="53">
        <v>2</v>
      </c>
      <c r="D170" s="61">
        <f>(24+25)/1.56</f>
        <v>31.410256410256409</v>
      </c>
      <c r="E170" s="54"/>
      <c r="F170" s="54"/>
      <c r="G170" s="54"/>
      <c r="H170" s="54"/>
      <c r="I170" s="52">
        <f t="shared" si="6"/>
        <v>7.1794871794871824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40</v>
      </c>
      <c r="B171" s="61">
        <f>(248)/1.56</f>
        <v>158.97435897435898</v>
      </c>
      <c r="C171" s="53"/>
      <c r="D171" s="61"/>
      <c r="E171" s="54"/>
      <c r="F171" s="54"/>
      <c r="G171" s="54"/>
      <c r="H171" s="54"/>
      <c r="I171" s="52">
        <f t="shared" si="6"/>
        <v>6.9230769230769225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45</v>
      </c>
      <c r="B172" s="61">
        <f>(272+25)/1.56</f>
        <v>190.38461538461539</v>
      </c>
      <c r="C172" s="61">
        <v>3</v>
      </c>
      <c r="D172" s="61">
        <f>(25+24)/1.56</f>
        <v>31.410256410256409</v>
      </c>
      <c r="E172" s="91"/>
      <c r="F172" s="91"/>
      <c r="G172" s="91"/>
      <c r="H172" s="91"/>
      <c r="I172" s="52">
        <f t="shared" si="6"/>
        <v>6.2820512820512819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61">
        <v>50</v>
      </c>
      <c r="B173" s="61">
        <f>(294)/1.56</f>
        <v>188.46153846153845</v>
      </c>
      <c r="C173" s="61"/>
      <c r="D173" s="61"/>
      <c r="E173" s="91"/>
      <c r="F173" s="91"/>
      <c r="G173" s="91"/>
      <c r="H173" s="91"/>
      <c r="I173" s="52">
        <f t="shared" si="6"/>
        <v>5.8974358974358951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61">
        <v>55</v>
      </c>
      <c r="B174" s="61">
        <f>(314+24)/1.56</f>
        <v>216.66666666666666</v>
      </c>
      <c r="C174" s="61">
        <v>4</v>
      </c>
      <c r="D174" s="61">
        <f>(24+23)/1.56</f>
        <v>30.128205128205128</v>
      </c>
      <c r="E174" s="91"/>
      <c r="F174" s="91"/>
      <c r="G174" s="91"/>
      <c r="H174" s="91"/>
      <c r="I174" s="52">
        <f t="shared" si="6"/>
        <v>5.6410256410256405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61">
        <v>60</v>
      </c>
      <c r="B175" s="61">
        <f>(332)/1.56</f>
        <v>212.82051282051282</v>
      </c>
      <c r="C175" s="61"/>
      <c r="D175" s="61"/>
      <c r="E175" s="91"/>
      <c r="F175" s="91"/>
      <c r="G175" s="91"/>
      <c r="H175" s="91"/>
      <c r="I175" s="52">
        <f t="shared" si="6"/>
        <v>5.2564102564102599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61">
        <v>65</v>
      </c>
      <c r="B176" s="61">
        <f>(347+22)/1.56</f>
        <v>236.53846153846152</v>
      </c>
      <c r="C176" s="61">
        <v>5</v>
      </c>
      <c r="D176" s="61">
        <f>(22+21)/1.56</f>
        <v>27.564102564102562</v>
      </c>
      <c r="E176" s="91"/>
      <c r="F176" s="91"/>
      <c r="G176" s="91"/>
      <c r="H176" s="91"/>
      <c r="I176" s="52">
        <f t="shared" si="6"/>
        <v>4.7435897435897401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61">
        <v>70</v>
      </c>
      <c r="B177" s="61">
        <f>(362)/1.56</f>
        <v>232.05128205128204</v>
      </c>
      <c r="C177" s="61"/>
      <c r="D177" s="61"/>
      <c r="E177" s="91"/>
      <c r="F177" s="91"/>
      <c r="G177" s="91"/>
      <c r="H177" s="91"/>
      <c r="I177" s="52">
        <f t="shared" si="6"/>
        <v>4.6153846153846185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61">
        <v>75</v>
      </c>
      <c r="B178" s="61">
        <f>(375+20)/1.56</f>
        <v>253.2051282051282</v>
      </c>
      <c r="C178" s="61">
        <v>6</v>
      </c>
      <c r="D178" s="61">
        <f>(20+18)/1.56</f>
        <v>24.358974358974358</v>
      </c>
      <c r="E178" s="66"/>
      <c r="F178" s="66"/>
      <c r="G178" s="66"/>
      <c r="H178" s="66"/>
      <c r="I178" s="52">
        <f t="shared" si="6"/>
        <v>4.2307692307692317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61">
        <v>80</v>
      </c>
      <c r="B179" s="61">
        <f>(390)/1.56</f>
        <v>250</v>
      </c>
      <c r="C179" s="61"/>
      <c r="D179" s="61"/>
      <c r="E179" s="66"/>
      <c r="F179" s="66"/>
      <c r="G179" s="66"/>
      <c r="H179" s="66"/>
      <c r="I179" s="52">
        <f t="shared" si="6"/>
        <v>4.2307692307692317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61">
        <v>85</v>
      </c>
      <c r="B180" s="61">
        <f>(401+19)/1.56</f>
        <v>269.23076923076923</v>
      </c>
      <c r="C180" s="53">
        <v>7</v>
      </c>
      <c r="D180" s="61">
        <f>(19+18)/1.56</f>
        <v>23.717948717948715</v>
      </c>
      <c r="E180" s="57"/>
      <c r="F180" s="57"/>
      <c r="G180" s="57"/>
      <c r="H180" s="57"/>
      <c r="I180" s="52">
        <f t="shared" si="6"/>
        <v>3.8461538461538454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61">
        <v>90</v>
      </c>
      <c r="B181" s="61">
        <f>(411)/1.56</f>
        <v>263.46153846153845</v>
      </c>
      <c r="C181" s="53"/>
      <c r="D181" s="61"/>
      <c r="E181" s="57"/>
      <c r="F181" s="57"/>
      <c r="G181" s="57"/>
      <c r="H181" s="57"/>
      <c r="I181" s="52">
        <f t="shared" si="6"/>
        <v>3.5897435897435912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61">
        <v>95</v>
      </c>
      <c r="B182" s="61">
        <f>(421+18)/1.56</f>
        <v>281.41025641025641</v>
      </c>
      <c r="C182" s="53">
        <v>8</v>
      </c>
      <c r="D182" s="61">
        <f>(18+17)/1.56</f>
        <v>22.435897435897434</v>
      </c>
      <c r="E182" s="57"/>
      <c r="F182" s="57"/>
      <c r="G182" s="57"/>
      <c r="H182" s="57"/>
      <c r="I182" s="52">
        <f t="shared" si="6"/>
        <v>3.5897435897435912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100</v>
      </c>
      <c r="B183" s="61">
        <f>(430)/1.56</f>
        <v>275.64102564102564</v>
      </c>
      <c r="C183" s="53"/>
      <c r="D183" s="61"/>
      <c r="E183" s="57"/>
      <c r="F183" s="57"/>
      <c r="G183" s="57"/>
      <c r="H183" s="57"/>
      <c r="I183" s="52">
        <f t="shared" si="6"/>
        <v>3.333333333333337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>
        <v>105</v>
      </c>
      <c r="B184" s="61">
        <f>(438+16)/1.56</f>
        <v>291.02564102564099</v>
      </c>
      <c r="C184" s="53">
        <v>9</v>
      </c>
      <c r="D184" s="61">
        <f>(16+16)/1.56</f>
        <v>20.512820512820511</v>
      </c>
      <c r="E184" s="57"/>
      <c r="F184" s="57"/>
      <c r="G184" s="57"/>
      <c r="H184" s="57"/>
      <c r="I184" s="52">
        <f t="shared" si="6"/>
        <v>3.0769230769230718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>
        <v>110</v>
      </c>
      <c r="B185" s="61">
        <f>(446)/1.56</f>
        <v>285.89743589743591</v>
      </c>
      <c r="C185" s="53">
        <v>10</v>
      </c>
      <c r="D185" s="61">
        <f>B185</f>
        <v>285.89743589743591</v>
      </c>
      <c r="E185" s="57"/>
      <c r="F185" s="57"/>
      <c r="G185" s="57"/>
      <c r="H185" s="57"/>
      <c r="I185" s="52">
        <f t="shared" si="6"/>
        <v>3.0769230769230829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Bouleau verruqueux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9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15</v>
      </c>
      <c r="B192" s="61">
        <f>32+0</f>
        <v>32</v>
      </c>
      <c r="C192" s="61"/>
      <c r="D192" s="61"/>
      <c r="E192" s="54"/>
      <c r="F192" s="54"/>
      <c r="G192" s="54"/>
      <c r="H192" s="54"/>
      <c r="I192" s="52">
        <f>IFERROR(B192/A192,"")</f>
        <v>2.1333333333333333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20</v>
      </c>
      <c r="B193" s="61">
        <f>45+0+9</f>
        <v>54</v>
      </c>
      <c r="C193" s="61"/>
      <c r="D193" s="61"/>
      <c r="E193" s="54"/>
      <c r="F193" s="54"/>
      <c r="G193" s="54"/>
      <c r="H193" s="54"/>
      <c r="I193" s="52">
        <f t="shared" ref="I193:I211" si="7">IF(A193&lt;&gt;0,(B193-(B192-D192))/(A193-A192),"")</f>
        <v>4.4000000000000004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25</v>
      </c>
      <c r="B194" s="61">
        <f>60+0+9+8</f>
        <v>77</v>
      </c>
      <c r="C194" s="61">
        <v>1</v>
      </c>
      <c r="D194" s="61">
        <f>9+3+1</f>
        <v>13</v>
      </c>
      <c r="E194" s="54"/>
      <c r="F194" s="54"/>
      <c r="G194" s="54"/>
      <c r="H194" s="54">
        <v>1</v>
      </c>
      <c r="I194" s="52">
        <f t="shared" si="7"/>
        <v>4.5999999999999996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30</v>
      </c>
      <c r="B195" s="61">
        <f>75+9</f>
        <v>84</v>
      </c>
      <c r="C195" s="61"/>
      <c r="D195" s="61"/>
      <c r="E195" s="54"/>
      <c r="F195" s="54"/>
      <c r="G195" s="54"/>
      <c r="H195" s="54"/>
      <c r="I195" s="52">
        <f t="shared" si="7"/>
        <v>4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35</v>
      </c>
      <c r="B196" s="61">
        <f>89+9+10</f>
        <v>108</v>
      </c>
      <c r="C196" s="61">
        <v>2</v>
      </c>
      <c r="D196" s="61">
        <f>9+10</f>
        <v>19</v>
      </c>
      <c r="E196" s="54"/>
      <c r="F196" s="54"/>
      <c r="G196" s="54"/>
      <c r="H196" s="54"/>
      <c r="I196" s="52">
        <f t="shared" si="7"/>
        <v>4.8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40</v>
      </c>
      <c r="B197" s="61">
        <f>103+10</f>
        <v>113</v>
      </c>
      <c r="C197" s="61"/>
      <c r="D197" s="61"/>
      <c r="E197" s="54"/>
      <c r="F197" s="54"/>
      <c r="G197" s="54"/>
      <c r="H197" s="54"/>
      <c r="I197" s="52">
        <f t="shared" si="7"/>
        <v>4.8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61">
        <v>45</v>
      </c>
      <c r="B198" s="61">
        <f>116+10+11</f>
        <v>137</v>
      </c>
      <c r="C198" s="61">
        <v>3</v>
      </c>
      <c r="D198" s="61">
        <f>10+11</f>
        <v>21</v>
      </c>
      <c r="E198" s="91"/>
      <c r="F198" s="91"/>
      <c r="G198" s="91"/>
      <c r="H198" s="91"/>
      <c r="I198" s="52">
        <f t="shared" si="7"/>
        <v>4.8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61">
        <v>50</v>
      </c>
      <c r="B199" s="61">
        <f>128+11</f>
        <v>139</v>
      </c>
      <c r="C199" s="61"/>
      <c r="D199" s="61"/>
      <c r="E199" s="91"/>
      <c r="F199" s="91"/>
      <c r="G199" s="91"/>
      <c r="H199" s="91"/>
      <c r="I199" s="52">
        <f t="shared" si="7"/>
        <v>4.5999999999999996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61">
        <v>55</v>
      </c>
      <c r="B200" s="61">
        <f>139+11+11</f>
        <v>161</v>
      </c>
      <c r="C200" s="61">
        <v>4</v>
      </c>
      <c r="D200" s="61">
        <f>11+11</f>
        <v>22</v>
      </c>
      <c r="E200" s="91"/>
      <c r="F200" s="91"/>
      <c r="G200" s="91"/>
      <c r="H200" s="91"/>
      <c r="I200" s="52">
        <f t="shared" si="7"/>
        <v>4.4000000000000004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61">
        <v>60</v>
      </c>
      <c r="B201" s="61">
        <f>149+11</f>
        <v>160</v>
      </c>
      <c r="C201" s="61"/>
      <c r="D201" s="61"/>
      <c r="E201" s="91"/>
      <c r="F201" s="91"/>
      <c r="G201" s="91"/>
      <c r="H201" s="91"/>
      <c r="I201" s="52">
        <f t="shared" si="7"/>
        <v>4.2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61">
        <v>65</v>
      </c>
      <c r="B202" s="61">
        <f>158+11+11</f>
        <v>180</v>
      </c>
      <c r="C202" s="61">
        <v>5</v>
      </c>
      <c r="D202" s="61">
        <f>11+11</f>
        <v>22</v>
      </c>
      <c r="E202" s="91"/>
      <c r="F202" s="91"/>
      <c r="G202" s="91"/>
      <c r="H202" s="91"/>
      <c r="I202" s="52">
        <f t="shared" si="7"/>
        <v>4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61">
        <v>70</v>
      </c>
      <c r="B203" s="61">
        <f>167+11</f>
        <v>178</v>
      </c>
      <c r="C203" s="61"/>
      <c r="D203" s="61"/>
      <c r="E203" s="91"/>
      <c r="F203" s="91"/>
      <c r="G203" s="91"/>
      <c r="H203" s="91"/>
      <c r="I203" s="52">
        <f t="shared" si="7"/>
        <v>4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61">
        <v>75</v>
      </c>
      <c r="B204" s="61">
        <f>174+11+11</f>
        <v>196</v>
      </c>
      <c r="C204" s="61">
        <v>6</v>
      </c>
      <c r="D204" s="61">
        <f>11+11</f>
        <v>22</v>
      </c>
      <c r="E204" s="66"/>
      <c r="F204" s="66"/>
      <c r="G204" s="66"/>
      <c r="H204" s="66"/>
      <c r="I204" s="52">
        <f t="shared" si="7"/>
        <v>3.6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61">
        <v>80</v>
      </c>
      <c r="B205" s="61">
        <f>181+11</f>
        <v>192</v>
      </c>
      <c r="C205" s="61"/>
      <c r="D205" s="61"/>
      <c r="E205" s="66"/>
      <c r="F205" s="66"/>
      <c r="G205" s="66"/>
      <c r="H205" s="66"/>
      <c r="I205" s="52">
        <f t="shared" si="7"/>
        <v>3.6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>
        <v>85</v>
      </c>
      <c r="B206" s="61">
        <f>187+11+10</f>
        <v>208</v>
      </c>
      <c r="C206" s="61">
        <v>7</v>
      </c>
      <c r="D206" s="61">
        <f>11+10</f>
        <v>21</v>
      </c>
      <c r="E206" s="57"/>
      <c r="F206" s="57"/>
      <c r="G206" s="57"/>
      <c r="H206" s="57"/>
      <c r="I206" s="52">
        <f t="shared" si="7"/>
        <v>3.2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>
        <v>90</v>
      </c>
      <c r="B207" s="61">
        <f>192+10</f>
        <v>202</v>
      </c>
      <c r="C207" s="61">
        <v>8</v>
      </c>
      <c r="D207" s="61">
        <f>B207</f>
        <v>202</v>
      </c>
      <c r="E207" s="57"/>
      <c r="F207" s="57"/>
      <c r="G207" s="57"/>
      <c r="H207" s="57"/>
      <c r="I207" s="52">
        <f t="shared" si="7"/>
        <v>3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9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1"/>
      <c r="C218" s="53"/>
      <c r="D218" s="61"/>
      <c r="E218" s="64"/>
      <c r="F218" s="64"/>
      <c r="G218" s="64"/>
      <c r="H218" s="6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1"/>
      <c r="C219" s="53"/>
      <c r="D219" s="61"/>
      <c r="E219" s="64"/>
      <c r="F219" s="64"/>
      <c r="G219" s="64"/>
      <c r="H219" s="6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1"/>
      <c r="C220" s="53"/>
      <c r="D220" s="61"/>
      <c r="E220" s="64"/>
      <c r="F220" s="64"/>
      <c r="G220" s="64"/>
      <c r="H220" s="6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4"/>
      <c r="F221" s="64"/>
      <c r="G221" s="64"/>
      <c r="H221" s="6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4"/>
      <c r="F222" s="64"/>
      <c r="G222" s="64"/>
      <c r="H222" s="6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4"/>
      <c r="F223" s="64"/>
      <c r="G223" s="64"/>
      <c r="H223" s="6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4"/>
      <c r="F224" s="64"/>
      <c r="G224" s="64"/>
      <c r="H224" s="6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4"/>
      <c r="F225" s="64"/>
      <c r="G225" s="64"/>
      <c r="H225" s="6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4"/>
      <c r="F226" s="64"/>
      <c r="G226" s="64"/>
      <c r="H226" s="6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4"/>
      <c r="F227" s="64"/>
      <c r="G227" s="64"/>
      <c r="H227" s="6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4"/>
      <c r="F228" s="64"/>
      <c r="G228" s="64"/>
      <c r="H228" s="6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4"/>
      <c r="F229" s="64"/>
      <c r="G229" s="64"/>
      <c r="H229" s="6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5"/>
      <c r="F230" s="65"/>
      <c r="G230" s="65"/>
      <c r="H230" s="65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2"/>
      <c r="B231" s="61"/>
      <c r="C231" s="92"/>
      <c r="D231" s="61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9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2"/>
      <c r="B257" s="61"/>
      <c r="C257" s="92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9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32" sqref="C32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9" bestFit="1" customWidth="1"/>
    <col min="2" max="4" width="11.44140625" style="69"/>
    <col min="5" max="5" width="9.5546875" style="69" customWidth="1"/>
    <col min="6" max="7" width="11.44140625" style="69"/>
    <col min="8" max="8" width="10.6640625" style="69" customWidth="1"/>
    <col min="9" max="9" width="9.44140625" style="69" customWidth="1"/>
    <col min="10" max="11" width="10.5546875" style="69" bestFit="1" customWidth="1"/>
    <col min="12" max="12" width="14" style="69" bestFit="1" customWidth="1"/>
    <col min="13" max="13" width="14" style="69" customWidth="1"/>
    <col min="14" max="23" width="11.44140625" style="69"/>
    <col min="24" max="24" width="11.6640625" style="69" bestFit="1" customWidth="1"/>
    <col min="25" max="25" width="14.5546875" style="69" bestFit="1" customWidth="1"/>
    <col min="26" max="26" width="12.44140625" style="69" bestFit="1" customWidth="1"/>
    <col min="27" max="27" width="9.6640625" style="69" bestFit="1" customWidth="1"/>
    <col min="28" max="28" width="11" style="69" bestFit="1" customWidth="1"/>
    <col min="29" max="29" width="9.44140625" style="69" bestFit="1" customWidth="1"/>
    <col min="30" max="31" width="9.44140625" style="69" customWidth="1"/>
    <col min="32" max="32" width="11.44140625" style="69"/>
    <col min="33" max="34" width="14" style="69" bestFit="1" customWidth="1"/>
    <col min="35" max="35" width="10.5546875" style="69" bestFit="1" customWidth="1"/>
    <col min="36" max="36" width="9.44140625" style="69" bestFit="1" customWidth="1"/>
    <col min="37" max="38" width="10.5546875" style="69" bestFit="1" customWidth="1"/>
    <col min="39" max="41" width="10.5546875" style="69" customWidth="1"/>
    <col min="42" max="42" width="9" style="69" bestFit="1" customWidth="1"/>
    <col min="43" max="43" width="10.5546875" style="69" bestFit="1" customWidth="1"/>
    <col min="44" max="44" width="9.33203125" style="69" bestFit="1" customWidth="1"/>
    <col min="45" max="45" width="11.6640625" style="69" bestFit="1" customWidth="1"/>
    <col min="46" max="46" width="8.44140625" style="69" bestFit="1" customWidth="1"/>
    <col min="47" max="47" width="9.44140625" style="69" bestFit="1" customWidth="1"/>
    <col min="48" max="48" width="9.6640625" style="69" bestFit="1" customWidth="1"/>
    <col min="49" max="49" width="11" style="69" bestFit="1" customWidth="1"/>
    <col min="50" max="50" width="9.44140625" style="69" bestFit="1" customWidth="1"/>
    <col min="51" max="52" width="9.44140625" style="69" customWidth="1"/>
    <col min="53" max="53" width="10.5546875" style="69" bestFit="1" customWidth="1"/>
    <col min="54" max="54" width="14.33203125" style="69" customWidth="1"/>
    <col min="55" max="55" width="14" style="69" customWidth="1"/>
    <col min="56" max="56" width="10.5546875" style="69" bestFit="1" customWidth="1"/>
    <col min="57" max="57" width="9.44140625" style="69" bestFit="1" customWidth="1"/>
    <col min="58" max="59" width="10.5546875" style="69" bestFit="1" customWidth="1"/>
    <col min="60" max="62" width="10.5546875" style="69" customWidth="1"/>
    <col min="63" max="63" width="9" style="69" bestFit="1" customWidth="1"/>
    <col min="64" max="64" width="10.5546875" style="69" bestFit="1" customWidth="1"/>
    <col min="65" max="65" width="9.33203125" style="69" bestFit="1" customWidth="1"/>
    <col min="66" max="66" width="11.6640625" style="69" bestFit="1" customWidth="1"/>
    <col min="67" max="67" width="8.44140625" style="69" bestFit="1" customWidth="1"/>
    <col min="68" max="68" width="9.44140625" style="69" bestFit="1" customWidth="1"/>
    <col min="69" max="69" width="9.6640625" style="69" bestFit="1" customWidth="1"/>
    <col min="70" max="70" width="11" style="69" bestFit="1" customWidth="1"/>
    <col min="71" max="71" width="9.44140625" style="69" bestFit="1" customWidth="1"/>
    <col min="72" max="73" width="9.44140625" style="69" customWidth="1"/>
    <col min="74" max="74" width="10.5546875" style="69" bestFit="1" customWidth="1"/>
    <col min="75" max="75" width="14" style="69" bestFit="1" customWidth="1"/>
    <col min="76" max="76" width="13.88671875" style="69" customWidth="1"/>
    <col min="77" max="77" width="10.5546875" style="69" bestFit="1" customWidth="1"/>
    <col min="78" max="78" width="9.44140625" style="69" bestFit="1" customWidth="1"/>
    <col min="79" max="80" width="10.5546875" style="69" bestFit="1" customWidth="1"/>
    <col min="81" max="83" width="10.5546875" style="69" customWidth="1"/>
    <col min="84" max="84" width="11.44140625" style="69"/>
    <col min="85" max="85" width="10.5546875" style="69" bestFit="1" customWidth="1"/>
    <col min="86" max="86" width="9.33203125" style="69" bestFit="1" customWidth="1"/>
    <col min="87" max="87" width="11.6640625" style="69" bestFit="1" customWidth="1"/>
    <col min="88" max="88" width="8.44140625" style="69" bestFit="1" customWidth="1"/>
    <col min="89" max="89" width="9.44140625" style="69" bestFit="1" customWidth="1"/>
    <col min="90" max="90" width="9.6640625" style="69" bestFit="1" customWidth="1"/>
    <col min="91" max="91" width="11" style="69" bestFit="1" customWidth="1"/>
    <col min="92" max="92" width="9.44140625" style="69" bestFit="1" customWidth="1"/>
    <col min="93" max="94" width="9.44140625" style="69" customWidth="1"/>
    <col min="95" max="95" width="11.44140625" style="69"/>
    <col min="96" max="97" width="14" style="69" customWidth="1"/>
    <col min="98" max="98" width="10.5546875" style="69" bestFit="1" customWidth="1"/>
    <col min="99" max="99" width="9.44140625" style="69" bestFit="1" customWidth="1"/>
    <col min="100" max="101" width="10.5546875" style="69" bestFit="1" customWidth="1"/>
    <col min="102" max="104" width="10.5546875" style="69" customWidth="1"/>
    <col min="105" max="105" width="9" style="69" bestFit="1" customWidth="1"/>
    <col min="106" max="106" width="10.5546875" style="69" bestFit="1" customWidth="1"/>
    <col min="107" max="107" width="9.33203125" style="69" bestFit="1" customWidth="1"/>
    <col min="108" max="108" width="11.6640625" style="69" bestFit="1" customWidth="1"/>
    <col min="109" max="109" width="8.44140625" style="69" bestFit="1" customWidth="1"/>
    <col min="110" max="110" width="9.44140625" style="69" bestFit="1" customWidth="1"/>
    <col min="111" max="111" width="9.6640625" style="69" bestFit="1" customWidth="1"/>
    <col min="112" max="112" width="11" style="69" bestFit="1" customWidth="1"/>
    <col min="113" max="113" width="9.44140625" style="69" bestFit="1" customWidth="1"/>
    <col min="114" max="115" width="9.44140625" style="69" customWidth="1"/>
    <col min="116" max="116" width="10.5546875" style="69" bestFit="1" customWidth="1"/>
    <col min="117" max="117" width="14.33203125" style="69" customWidth="1"/>
    <col min="118" max="118" width="14" style="69" bestFit="1" customWidth="1"/>
    <col min="119" max="119" width="10.5546875" style="69" bestFit="1" customWidth="1"/>
    <col min="120" max="120" width="9.44140625" style="69" bestFit="1" customWidth="1"/>
    <col min="121" max="122" width="10.5546875" style="69" bestFit="1" customWidth="1"/>
    <col min="123" max="125" width="10.5546875" style="69" customWidth="1"/>
    <col min="126" max="126" width="9" style="69" bestFit="1" customWidth="1"/>
    <col min="127" max="127" width="10.5546875" style="69" bestFit="1" customWidth="1"/>
    <col min="128" max="128" width="9.33203125" style="69" bestFit="1" customWidth="1"/>
    <col min="129" max="129" width="11.6640625" style="69" bestFit="1" customWidth="1"/>
    <col min="130" max="130" width="8.44140625" style="69" bestFit="1" customWidth="1"/>
    <col min="131" max="131" width="9.44140625" style="69" bestFit="1" customWidth="1"/>
    <col min="132" max="132" width="9.6640625" style="69" bestFit="1" customWidth="1"/>
    <col min="133" max="133" width="11" style="69" bestFit="1" customWidth="1"/>
    <col min="134" max="134" width="9.44140625" style="69" bestFit="1" customWidth="1"/>
    <col min="135" max="136" width="9.44140625" style="69" customWidth="1"/>
    <col min="137" max="137" width="10.5546875" style="69" bestFit="1" customWidth="1"/>
    <col min="138" max="139" width="14" style="69" customWidth="1"/>
    <col min="140" max="140" width="10.5546875" style="69" bestFit="1" customWidth="1"/>
    <col min="141" max="141" width="9.44140625" style="69" bestFit="1" customWidth="1"/>
    <col min="142" max="143" width="10.5546875" style="69" bestFit="1" customWidth="1"/>
    <col min="144" max="146" width="10.5546875" style="69" customWidth="1"/>
    <col min="147" max="147" width="9" style="69" bestFit="1" customWidth="1"/>
    <col min="148" max="148" width="10.5546875" style="69" bestFit="1" customWidth="1"/>
    <col min="149" max="149" width="9.33203125" style="69" bestFit="1" customWidth="1"/>
    <col min="150" max="150" width="11.6640625" style="69" bestFit="1" customWidth="1"/>
    <col min="151" max="151" width="8.44140625" style="69" bestFit="1" customWidth="1"/>
    <col min="152" max="152" width="9.44140625" style="69" bestFit="1" customWidth="1"/>
    <col min="153" max="153" width="9.6640625" style="69" bestFit="1" customWidth="1"/>
    <col min="154" max="154" width="11" style="69" bestFit="1" customWidth="1"/>
    <col min="155" max="155" width="9.44140625" style="69" bestFit="1" customWidth="1"/>
    <col min="156" max="157" width="9.44140625" style="69" customWidth="1"/>
    <col min="158" max="158" width="11.44140625" style="69"/>
    <col min="159" max="160" width="14" style="69" bestFit="1" customWidth="1"/>
    <col min="161" max="161" width="10.5546875" style="69" bestFit="1" customWidth="1"/>
    <col min="162" max="162" width="9.44140625" style="69" bestFit="1" customWidth="1"/>
    <col min="163" max="164" width="10.5546875" style="69" bestFit="1" customWidth="1"/>
    <col min="165" max="167" width="10.5546875" style="69" customWidth="1"/>
    <col min="168" max="168" width="9" style="69" bestFit="1" customWidth="1"/>
    <col min="169" max="169" width="10.5546875" style="69" bestFit="1" customWidth="1"/>
    <col min="170" max="170" width="9.33203125" style="69" bestFit="1" customWidth="1"/>
    <col min="171" max="171" width="11.6640625" style="69" bestFit="1" customWidth="1"/>
    <col min="172" max="172" width="8.109375" style="69" bestFit="1" customWidth="1"/>
    <col min="173" max="173" width="9.44140625" style="69" bestFit="1" customWidth="1"/>
    <col min="174" max="174" width="9.6640625" style="69" bestFit="1" customWidth="1"/>
    <col min="175" max="175" width="11" style="69" bestFit="1" customWidth="1"/>
    <col min="176" max="176" width="9.44140625" style="69" bestFit="1" customWidth="1"/>
    <col min="177" max="178" width="9.44140625" style="69" customWidth="1"/>
    <col min="179" max="179" width="10.5546875" style="69" bestFit="1" customWidth="1"/>
    <col min="180" max="181" width="14" style="69" bestFit="1" customWidth="1"/>
    <col min="182" max="182" width="10.5546875" style="69" bestFit="1" customWidth="1"/>
    <col min="183" max="183" width="9.44140625" style="69" bestFit="1" customWidth="1"/>
    <col min="184" max="185" width="10.5546875" style="69" bestFit="1" customWidth="1"/>
    <col min="186" max="188" width="10.5546875" style="69" customWidth="1"/>
    <col min="189" max="189" width="9" style="69" bestFit="1" customWidth="1"/>
    <col min="190" max="190" width="10.5546875" style="69" bestFit="1" customWidth="1"/>
    <col min="191" max="191" width="9.33203125" style="69" bestFit="1" customWidth="1"/>
    <col min="192" max="192" width="11.44140625" style="69"/>
    <col min="193" max="193" width="8.44140625" style="69" bestFit="1" customWidth="1"/>
    <col min="194" max="194" width="9.44140625" style="69" bestFit="1" customWidth="1"/>
    <col min="195" max="195" width="9.6640625" style="69" bestFit="1" customWidth="1"/>
    <col min="196" max="196" width="11" style="69" bestFit="1" customWidth="1"/>
    <col min="197" max="197" width="9.44140625" style="69" bestFit="1" customWidth="1"/>
    <col min="198" max="199" width="9.44140625" style="69" customWidth="1"/>
    <col min="200" max="200" width="10.5546875" style="69" bestFit="1" customWidth="1"/>
    <col min="201" max="201" width="14" style="69" customWidth="1"/>
    <col min="202" max="202" width="14.33203125" style="69" customWidth="1"/>
    <col min="203" max="203" width="10.5546875" style="69" bestFit="1" customWidth="1"/>
    <col min="204" max="204" width="9.44140625" style="69" bestFit="1" customWidth="1"/>
    <col min="205" max="206" width="10.5546875" style="69" bestFit="1" customWidth="1"/>
    <col min="207" max="209" width="10.5546875" style="69" customWidth="1"/>
    <col min="210" max="210" width="9" style="69" bestFit="1" customWidth="1"/>
    <col min="211" max="211" width="10.5546875" style="69" bestFit="1" customWidth="1"/>
    <col min="212" max="212" width="9.33203125" style="69" bestFit="1" customWidth="1"/>
    <col min="213" max="213" width="11.6640625" style="69" bestFit="1" customWidth="1"/>
    <col min="214" max="214" width="8.44140625" style="69" bestFit="1" customWidth="1"/>
    <col min="215" max="215" width="9.44140625" style="69" bestFit="1" customWidth="1"/>
    <col min="216" max="216" width="9.6640625" style="69" bestFit="1" customWidth="1"/>
    <col min="217" max="217" width="11" style="69" bestFit="1" customWidth="1"/>
    <col min="218" max="218" width="9.44140625" style="69" bestFit="1" customWidth="1"/>
    <col min="219" max="16384" width="11.44140625" style="69"/>
  </cols>
  <sheetData>
    <row r="1" spans="1:218" s="5" customFormat="1" ht="26.4" thickBot="1" x14ac:dyDescent="0.55000000000000004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Peuplier Koster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Chêne sessile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Chêne pubescent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Alisier torminal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Cormier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>Tilleul</v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>Bouleau verruqueux</v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/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/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/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58.2" thickBot="1" x14ac:dyDescent="0.35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256.66666666666669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256.66666666666669</v>
      </c>
      <c r="S3" s="60">
        <f ca="1">AVERAGE(OFFSET($R$3,0,0,'Données projet'!$E$9+1,1))-AVERAGE(OFFSET($H$3,0,0,'Données projet'!$E$9+1,1))</f>
        <v>144.55635559713392</v>
      </c>
      <c r="T3" s="60">
        <f>IF('Données projet'!E9&gt;30,$R$33-$H$33,LOOKUP('Données projet'!$E$9,$A$3:$A$203,R3:R203)-LOOKUP('Données projet'!$E$9,$A$3:$A$203,$H$3:$H$203))</f>
        <v>349.14692715126904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428.8489304403459</v>
      </c>
      <c r="AO3" s="60">
        <f>IF('Données projet'!E10&gt;30,$AM$33-$H$33,LOOKUP('Données projet'!$E$10,$A$3:$A$203,AM3:AM203)-LOOKUP('Données projet'!$E$10,$A$3:$A$203,$H$3:$H$203))</f>
        <v>247.01165577562966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256.66666666666669</v>
      </c>
      <c r="BI3" s="60">
        <f ca="1">AVERAGE(OFFSET($BH$3,0,0,'Données projet'!$E$11+1,1))-AVERAGE(OFFSET($H$3,0,0,'Données projet'!$E$11+1,1))</f>
        <v>475.47920969424894</v>
      </c>
      <c r="BJ3" s="60">
        <f>IF('Données projet'!E11&gt;30,$BH$33-$H$33,LOOKUP('Données projet'!$E$11,$A$3:$A$203,BH3:BH203)-LOOKUP('Données projet'!$E$11,$A$3:$A$203,$H$3:$H$203))</f>
        <v>271.73544012419364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256.66666666666669</v>
      </c>
      <c r="CD3" s="60">
        <f ca="1">AVERAGE(OFFSET($CC$3,0,0,'Données projet'!$E$12+1,1))-AVERAGE(OFFSET($H$3,0,0,'Données projet'!$E$12+1,1))</f>
        <v>255.59755832175625</v>
      </c>
      <c r="CE3" s="60">
        <f>IF('Données projet'!E12&gt;30,$CC$33-$H$33,LOOKUP('Données projet'!$E$12,$A$3:$A$203,CC3:CC203)-LOOKUP('Données projet'!$E$12,$A$3:$A$203,$H$3:$H$203))</f>
        <v>154.0840647586964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280.20599015000306</v>
      </c>
      <c r="CZ3" s="60">
        <f>IF('Données projet'!E13&gt;30,$CX$33-$H$33,LOOKUP('Données projet'!$E$13,$A$3:$A$203,CX3:CX203)-LOOKUP('Données projet'!$E$13,$A$3:$A$203,$H$3:$H$203))</f>
        <v>166.97658184507787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256.66666666666669</v>
      </c>
      <c r="DT3" s="60">
        <f ca="1">AVERAGE(OFFSET($DS$3,0,0,'Données projet'!$E$14+1,1))-AVERAGE(OFFSET($H$3,0,0,'Données projet'!$E$14+1,1))</f>
        <v>291.18686311753402</v>
      </c>
      <c r="DU3" s="60">
        <f>IF('Données projet'!E14&gt;30,$DS$33-$H$33,LOOKUP('Données projet'!$E$14,$A$3:$A$203,DS3:DS203)-LOOKUP('Données projet'!$E$14,$A$3:$A$203,$H$3:$H$203))</f>
        <v>215.44422413249839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256.66666666666669</v>
      </c>
      <c r="EO3" s="60">
        <f ca="1">AVERAGE(OFFSET($EN$3,0,0,'Données projet'!$E$15+1,1))-AVERAGE(OFFSET($H$3,0,0,'Données projet'!$E$15+1,1))</f>
        <v>236.22643401787644</v>
      </c>
      <c r="EP3" s="60">
        <f>IF('Données projet'!E15&gt;30,$EN$33-$H$33,LOOKUP('Données projet'!$E$15,$A$3:$A$203,EN3:EN203)-LOOKUP('Données projet'!$E$15,$A$3:$A$203,$H$3:$H$203))</f>
        <v>188.80444043778022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8">
        <f t="shared" ref="H4:H67" si="1">(B4+E4+F4)*44/12+(C4+D4)*0.475*44/12</f>
        <v>256.66666666666669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2.72</v>
      </c>
      <c r="N4" s="14">
        <f>IF('Données projet'!$A$36&gt;35,N3+M4-V3,IF(A4&lt;'Données projet'!$A$36,$K$205^A4,IF(A4='Données projet'!$A$36,'Données projet'!$B$36,N3+M4-V3)))</f>
        <v>1.59264882574722</v>
      </c>
      <c r="O4" s="14">
        <f>N4*VLOOKUP('Données projet'!$B$9,Paramètres!$A$1:$I$89,3,0)*VLOOKUP('Données projet'!$B$9,Paramètres!$A$1:$I$89,5,0)</f>
        <v>0.80995748682200619</v>
      </c>
      <c r="P4" s="14">
        <f>EXP(-1.0587+0.8836*LN(O4)+0.284)</f>
        <v>0.38253333446243892</v>
      </c>
      <c r="Q4" s="22">
        <f t="shared" ref="Q4:Q34" si="2">(O4+P4)*0.475*44/12</f>
        <v>2.0769215137370751</v>
      </c>
      <c r="R4" s="60">
        <f t="shared" si="0"/>
        <v>259.96581040262595</v>
      </c>
      <c r="S4" s="60">
        <f ca="1">AVERAGE(OFFSET($R$3,0,0,'Données projet'!$E$9+1,1))-AVERAGE(OFFSET($H$3,0,0,'Données projet'!$E$9+1,1))</f>
        <v>144.55635559713392</v>
      </c>
      <c r="T4" s="60">
        <f>$T$3</f>
        <v>349.14692715126904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1.0907244698905405</v>
      </c>
      <c r="AK4" s="14">
        <f>EXP(-1.0587+0.8836*LN(AJ4)+0.284)</f>
        <v>0.49759623852608204</v>
      </c>
      <c r="AL4" s="22">
        <f t="shared" ref="AL4:AL67" si="4">(AJ4+AK4)*0.475*44/12</f>
        <v>2.7663252338256172</v>
      </c>
      <c r="AM4" s="60">
        <f t="shared" ref="AM4:AM67" si="5">AL4+(AD4+AE4)*44/12</f>
        <v>260.65521412271448</v>
      </c>
      <c r="AN4" s="60">
        <f ca="1">AVERAGE(OFFSET($AM$3,0,0,'Données projet'!$E$10+1,1))-AVERAGE(OFFSET($H$3,0,0,'Données projet'!$E$10+1,1))</f>
        <v>428.8489304403459</v>
      </c>
      <c r="AO4" s="60">
        <f>$AO$3</f>
        <v>247.01165577562966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1.2223636300497438</v>
      </c>
      <c r="BF4" s="14">
        <f>EXP(-1.0587+0.8836*LN(BE4)+0.284)</f>
        <v>0.55030360208821416</v>
      </c>
      <c r="BG4" s="22">
        <f t="shared" ref="BG4:BG67" si="7">(BE4+BF4)*0.475*44/12</f>
        <v>3.0873954293069432</v>
      </c>
      <c r="BH4" s="60">
        <f t="shared" ref="BH4:BH67" si="8">BG4+(AY4+AZ4)*44/12</f>
        <v>260.97628431819578</v>
      </c>
      <c r="BI4" s="60">
        <f ca="1">AVERAGE(OFFSET($BH$3,0,0,'Données projet'!$E$11+1,1))-AVERAGE(OFFSET($H$3,0,0,'Données projet'!$E$11+1,1))</f>
        <v>475.47920969424894</v>
      </c>
      <c r="BJ4" s="60">
        <f>$BJ$3</f>
        <v>271.73544012419364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1.05</v>
      </c>
      <c r="BY4" s="13">
        <f>IF('Données projet'!$A$114&gt;35,BY3+BX4-CG3,IF(A4&lt;'Données projet'!$A$114,$BV$205^A4,IF(A4='Données projet'!$A$114,'Données projet'!$B$114,BY3+BX4-CG3)))</f>
        <v>1.1644235083052243</v>
      </c>
      <c r="BZ4" s="14">
        <f>BY4*VLOOKUP('Données projet'!$B$12,Paramètres!$A$1:$I$89,3,0)*VLOOKUP('Données projet'!$B$12,Paramètres!$A$1:$I$89,5,0)</f>
        <v>1.126230417232813</v>
      </c>
      <c r="CA4" s="14">
        <f>EXP(-1.0587+0.8836*LN(BZ4)+0.284)</f>
        <v>0.51188205554259503</v>
      </c>
      <c r="CB4" s="22">
        <f t="shared" ref="CB4:CB67" si="10">(BZ4+CA4)*0.475*44/12</f>
        <v>2.8530458900838358</v>
      </c>
      <c r="CC4" s="60">
        <f t="shared" ref="CC4:CC67" si="11">CB4+(BT4+BU4)*44/12</f>
        <v>260.74193477897268</v>
      </c>
      <c r="CD4" s="60">
        <f ca="1">AVERAGE(OFFSET($CC$3,0,0,'Données projet'!$E$12+1,1))-AVERAGE(OFFSET($H$3,0,0,'Données projet'!$E$12+1,1))</f>
        <v>255.59755832175625</v>
      </c>
      <c r="CE4" s="60">
        <f>$CE$3</f>
        <v>154.0840647586964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1.05</v>
      </c>
      <c r="CT4" s="13">
        <f>IF('Données projet'!$A$140&gt;35,CT3+CS4-DB3,IF(A4&lt;'Données projet'!$A$140,$CQ$205^A4,IF(A4='Données projet'!$A$140,'Données projet'!$B$140,CT3+CS4-DB3)))</f>
        <v>1.1644235083052243</v>
      </c>
      <c r="CU4" s="18">
        <f>CT4*VLOOKUP('Données projet'!$B$13,Paramètres!$A$1:$I$89,3,0)*VLOOKUP('Données projet'!$B$13,Paramètres!$A$1:$I$89,5,0)</f>
        <v>1.2533854643397435</v>
      </c>
      <c r="CV4" s="14">
        <f>EXP(-1.0587+0.8836*LN(CU4)+0.284)</f>
        <v>0.56262582787929238</v>
      </c>
      <c r="CW4" s="22">
        <f t="shared" ref="CW4:CW67" si="13">(CU4+CV4)*0.475*44/12</f>
        <v>3.1628863339481534</v>
      </c>
      <c r="CX4" s="60">
        <f t="shared" ref="CX4:CX67" si="14">CW4+(CO4+CP4)*44/12</f>
        <v>261.05177522283702</v>
      </c>
      <c r="CY4" s="60">
        <f ca="1">AVERAGE(OFFSET($CX$3,0,0,'Données projet'!$E$13+1,1))-AVERAGE(OFFSET($H$3,0,0,'Données projet'!$E$13+1,1))</f>
        <v>280.20599015000306</v>
      </c>
      <c r="CZ4" s="60">
        <f>$CZ$3</f>
        <v>166.97658184507787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2.7777777777777777</v>
      </c>
      <c r="DO4" s="13">
        <f>IF('Données projet'!$A$166&gt;35,DO3+DN4-DW3,IF(A4&lt;'Données projet'!$A$166,$DL$205^A4,IF(A4='Données projet'!$A$166,'Données projet'!$B$166,DO3+DN4-DW3)))</f>
        <v>1.2822890014514785</v>
      </c>
      <c r="DP4" s="18">
        <f>DO4*VLOOKUP('Données projet'!$B$14,Paramètres!$A$1:$I$89,3,0)*VLOOKUP('Données projet'!$B$14,Paramètres!$A$1:$I$89,5,0)</f>
        <v>0.8601594621736518</v>
      </c>
      <c r="DQ4" s="14">
        <f>EXP(-1.0587+0.8836*LN(DP4)+0.284)</f>
        <v>0.40340942797853763</v>
      </c>
      <c r="DR4" s="22">
        <f t="shared" ref="DR4:DR67" si="16">(DP4+DQ4)*0.475*44/12</f>
        <v>2.2007158170150634</v>
      </c>
      <c r="DS4" s="60">
        <f t="shared" ref="DS4:DS67" si="17">DR4+(DJ4+DK4)*44/12</f>
        <v>260.08960470590392</v>
      </c>
      <c r="DT4" s="60">
        <f ca="1">AVERAGE(OFFSET($DS$3,0,0,'Données projet'!$E$14+1,1))-AVERAGE(OFFSET($H$3,0,0,'Données projet'!$E$14+1,1))</f>
        <v>291.18686311753402</v>
      </c>
      <c r="DU4" s="60">
        <f>$DU$3</f>
        <v>215.44422413249839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2.1333333333333333</v>
      </c>
      <c r="EJ4" s="13">
        <f>IF('Données projet'!$A$192&gt;35,EJ3+EI4-ER3,IF(A4&lt;'Données projet'!$A$192,$EG$205^A4,IF(A4='Données projet'!$A$192,'Données projet'!$B$192,EJ3+EI4-ER3)))</f>
        <v>1.2599210498948732</v>
      </c>
      <c r="EK4" s="18">
        <f>EJ4*VLOOKUP('Données projet'!$B$15,Paramètres!$A$1:$I$89,3,0)*VLOOKUP('Données projet'!$B$15,Paramètres!$A$1:$I$89,5,0)</f>
        <v>1.0220479556747213</v>
      </c>
      <c r="EL4" s="14">
        <f>EXP(-1.0587+0.8836*LN(EK4)+0.284)</f>
        <v>0.4698085135128936</v>
      </c>
      <c r="EM4" s="22">
        <f t="shared" ref="EM4:EM67" si="19">(EK4+EL4)*0.475*44/12</f>
        <v>2.5983166838350953</v>
      </c>
      <c r="EN4" s="60">
        <f t="shared" ref="EN4:EN67" si="20">EM4+(EE4+EF4)*44/12</f>
        <v>260.48720557272395</v>
      </c>
      <c r="EO4" s="60">
        <f ca="1">AVERAGE(OFFSET($EN$3,0,0,'Données projet'!$E$15+1,1))-AVERAGE(OFFSET($H$3,0,0,'Données projet'!$E$15+1,1))</f>
        <v>236.22643401787644</v>
      </c>
      <c r="EP4" s="60">
        <f>$EP$3</f>
        <v>188.80444043778022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8">
        <f t="shared" si="1"/>
        <v>256.66666666666669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2.72</v>
      </c>
      <c r="N5" s="14">
        <f>IF('Données projet'!$A$36&gt;35,N4+M5-V4,IF(A5&lt;'Données projet'!$A$36,$K$205^A5,IF(A5='Données projet'!$A$36,'Données projet'!$B$36,N4+M5-V4)))</f>
        <v>2.5365302821539988</v>
      </c>
      <c r="O5" s="14">
        <f>N5*VLOOKUP('Données projet'!$B$9,Paramètres!$A$1:$I$89,3,0)*VLOOKUP('Données projet'!$B$9,Paramètres!$A$1:$I$89,5,0)</f>
        <v>1.2899778402922377</v>
      </c>
      <c r="P5" s="14">
        <f t="shared" ref="P5:P68" si="33">EXP(-1.0587+0.8836*LN(O5)+0.284)</f>
        <v>0.57711523722750002</v>
      </c>
      <c r="Q5" s="22">
        <f t="shared" si="2"/>
        <v>3.25185377668021</v>
      </c>
      <c r="R5" s="60">
        <f t="shared" si="0"/>
        <v>262.36296488779135</v>
      </c>
      <c r="S5" s="60">
        <f ca="1">AVERAGE(OFFSET($R$3,0,0,'Données projet'!$E$9+1,1))-AVERAGE(OFFSET($H$3,0,0,'Données projet'!$E$9+1,1))</f>
        <v>144.55635559713392</v>
      </c>
      <c r="T5" s="60">
        <f t="shared" ref="T5:T68" si="34">$T$3</f>
        <v>349.14692715126904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1.3148539668633961</v>
      </c>
      <c r="AK5" s="14">
        <f t="shared" ref="AK5:AK68" si="35">EXP(-1.0587+0.8836*LN(AJ5)+0.284)</f>
        <v>0.58693801963664449</v>
      </c>
      <c r="AL5" s="22">
        <f t="shared" si="4"/>
        <v>3.3122877098209038</v>
      </c>
      <c r="AM5" s="60">
        <f t="shared" si="5"/>
        <v>262.42339882093205</v>
      </c>
      <c r="AN5" s="60">
        <f ca="1">AVERAGE(OFFSET($AM$3,0,0,'Données projet'!$E$10+1,1))-AVERAGE(OFFSET($H$3,0,0,'Données projet'!$E$10+1,1))</f>
        <v>428.8489304403459</v>
      </c>
      <c r="AO5" s="60">
        <f t="shared" ref="AO5:AO68" si="36">$AO$3</f>
        <v>247.01165577562966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1.47354323872622</v>
      </c>
      <c r="BF5" s="14">
        <f t="shared" ref="BF5:BF68" si="37">EXP(-1.0587+0.8836*LN(BE5)+0.284)</f>
        <v>0.64910881835703094</v>
      </c>
      <c r="BG5" s="22">
        <f t="shared" si="7"/>
        <v>3.6969523327533285</v>
      </c>
      <c r="BH5" s="60">
        <f t="shared" si="8"/>
        <v>262.80806344386446</v>
      </c>
      <c r="BI5" s="60">
        <f ca="1">AVERAGE(OFFSET($BH$3,0,0,'Données projet'!$E$11+1,1))-AVERAGE(OFFSET($H$3,0,0,'Données projet'!$E$11+1,1))</f>
        <v>475.47920969424894</v>
      </c>
      <c r="BJ5" s="60">
        <f t="shared" ref="BJ5:BJ68" si="38">$BJ$3</f>
        <v>271.73544012419364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1.05</v>
      </c>
      <c r="BY5" s="13">
        <f>IF('Données projet'!$A$114&gt;35,BY4+BX5-CG4,IF(A5&lt;'Données projet'!$A$114,$BV$205^A5,IF(A5='Données projet'!$A$114,'Données projet'!$B$114,BY4+BX5-CG4)))</f>
        <v>1.3558821066938469</v>
      </c>
      <c r="BZ5" s="14">
        <f>BY5*VLOOKUP('Données projet'!$B$12,Paramètres!$A$1:$I$89,3,0)*VLOOKUP('Données projet'!$B$12,Paramètres!$A$1:$I$89,5,0)</f>
        <v>1.3114091735942888</v>
      </c>
      <c r="CA5" s="14">
        <f t="shared" ref="CA5:CA68" si="39">EXP(-1.0587+0.8836*LN(BZ5)+0.284)</f>
        <v>0.58557908091788968</v>
      </c>
      <c r="CB5" s="22">
        <f t="shared" si="10"/>
        <v>3.3039212099420436</v>
      </c>
      <c r="CC5" s="60">
        <f t="shared" si="11"/>
        <v>262.41503232105316</v>
      </c>
      <c r="CD5" s="60">
        <f ca="1">AVERAGE(OFFSET($CC$3,0,0,'Données projet'!$E$12+1,1))-AVERAGE(OFFSET($H$3,0,0,'Données projet'!$E$12+1,1))</f>
        <v>255.59755832175625</v>
      </c>
      <c r="CE5" s="60">
        <f t="shared" ref="CE5:CE68" si="40">$CE$3</f>
        <v>154.0840647586964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1.05</v>
      </c>
      <c r="CT5" s="13">
        <f>IF('Données projet'!$A$140&gt;35,CT4+CS5-DB4,IF(A5&lt;'Données projet'!$A$140,$CQ$205^A5,IF(A5='Données projet'!$A$140,'Données projet'!$B$140,CT4+CS5-DB4)))</f>
        <v>1.3558821066938469</v>
      </c>
      <c r="CU5" s="18">
        <f>CT5*VLOOKUP('Données projet'!$B$13,Paramètres!$A$1:$I$89,3,0)*VLOOKUP('Données projet'!$B$13,Paramètres!$A$1:$I$89,5,0)</f>
        <v>1.4594714996452569</v>
      </c>
      <c r="CV5" s="14">
        <f t="shared" ref="CV5:CV68" si="41">EXP(-1.0587+0.8836*LN(CU5)+0.284)</f>
        <v>0.64362856955591685</v>
      </c>
      <c r="CW5" s="22">
        <f t="shared" si="13"/>
        <v>3.6628992871920438</v>
      </c>
      <c r="CX5" s="60">
        <f t="shared" si="14"/>
        <v>262.77401039830318</v>
      </c>
      <c r="CY5" s="60">
        <f ca="1">AVERAGE(OFFSET($CX$3,0,0,'Données projet'!$E$13+1,1))-AVERAGE(OFFSET($H$3,0,0,'Données projet'!$E$13+1,1))</f>
        <v>280.20599015000306</v>
      </c>
      <c r="CZ5" s="60">
        <f t="shared" ref="CZ5:CZ68" si="42">$CZ$3</f>
        <v>166.97658184507787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2.7777777777777777</v>
      </c>
      <c r="DO5" s="13">
        <f>IF('Données projet'!$A$166&gt;35,DO4+DN5-DW4,IF(A5&lt;'Données projet'!$A$166,$DL$205^A5,IF(A5='Données projet'!$A$166,'Données projet'!$B$166,DO4+DN5-DW4)))</f>
        <v>1.6442650832434298</v>
      </c>
      <c r="DP5" s="18">
        <f>DO5*VLOOKUP('Données projet'!$B$14,Paramètres!$A$1:$I$89,3,0)*VLOOKUP('Données projet'!$B$14,Paramètres!$A$1:$I$89,5,0)</f>
        <v>1.1029730178396928</v>
      </c>
      <c r="DQ5" s="14">
        <f t="shared" ref="DQ5:DQ68" si="43">EXP(-1.0587+0.8836*LN(DP5)+0.284)</f>
        <v>0.50253047081784186</v>
      </c>
      <c r="DR5" s="22">
        <f t="shared" si="16"/>
        <v>2.7962519094118723</v>
      </c>
      <c r="DS5" s="60">
        <f t="shared" si="17"/>
        <v>261.90736302052301</v>
      </c>
      <c r="DT5" s="60">
        <f ca="1">AVERAGE(OFFSET($DS$3,0,0,'Données projet'!$E$14+1,1))-AVERAGE(OFFSET($H$3,0,0,'Données projet'!$E$14+1,1))</f>
        <v>291.18686311753402</v>
      </c>
      <c r="DU5" s="60">
        <f t="shared" ref="DU5:DU68" si="44">$DU$3</f>
        <v>215.44422413249839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2.1333333333333333</v>
      </c>
      <c r="EJ5" s="13">
        <f>IF('Données projet'!$A$192&gt;35,EJ4+EI5-ER4,IF(A5&lt;'Données projet'!$A$192,$EG$205^A5,IF(A5='Données projet'!$A$192,'Données projet'!$B$192,EJ4+EI5-ER4)))</f>
        <v>1.5874010519681996</v>
      </c>
      <c r="EK5" s="18">
        <f>EJ5*VLOOKUP('Données projet'!$B$15,Paramètres!$A$1:$I$89,3,0)*VLOOKUP('Données projet'!$B$15,Paramètres!$A$1:$I$89,5,0)</f>
        <v>1.2876997333566036</v>
      </c>
      <c r="EL5" s="14">
        <f t="shared" ref="EL5:EL68" si="45">EXP(-1.0587+0.8836*LN(EK5)+0.284)</f>
        <v>0.57621458989117558</v>
      </c>
      <c r="EM5" s="22">
        <f t="shared" si="19"/>
        <v>3.2463174463232147</v>
      </c>
      <c r="EN5" s="60">
        <f t="shared" si="20"/>
        <v>262.35742855743433</v>
      </c>
      <c r="EO5" s="60">
        <f ca="1">AVERAGE(OFFSET($EN$3,0,0,'Données projet'!$E$15+1,1))-AVERAGE(OFFSET($H$3,0,0,'Données projet'!$E$15+1,1))</f>
        <v>236.22643401787644</v>
      </c>
      <c r="EP5" s="60">
        <f t="shared" ref="EP5:EP68" si="46">$EP$3</f>
        <v>188.80444043778022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8">
        <f t="shared" si="1"/>
        <v>256.66666666666669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2.72</v>
      </c>
      <c r="N6" s="14">
        <f>IF('Données projet'!$A$36&gt;35,N5+M6-V5,IF(A6&lt;'Données projet'!$A$36,$K$205^A6,IF(A6='Données projet'!$A$36,'Données projet'!$B$36,N5+M6-V5)))</f>
        <v>4.0398019753448304</v>
      </c>
      <c r="O6" s="14">
        <f>N6*VLOOKUP('Données projet'!$B$9,Paramètres!$A$1:$I$89,3,0)*VLOOKUP('Données projet'!$B$9,Paramètres!$A$1:$I$89,5,0)</f>
        <v>2.0544816925813674</v>
      </c>
      <c r="P6" s="14">
        <f t="shared" si="33"/>
        <v>0.87067444072081823</v>
      </c>
      <c r="Q6" s="22">
        <f t="shared" si="2"/>
        <v>5.094646932167973</v>
      </c>
      <c r="R6" s="60">
        <f t="shared" si="0"/>
        <v>265.42798026550128</v>
      </c>
      <c r="S6" s="60">
        <f ca="1">AVERAGE(OFFSET($R$3,0,0,'Données projet'!$E$9+1,1))-AVERAGE(OFFSET($H$3,0,0,'Données projet'!$E$9+1,1))</f>
        <v>144.55635559713392</v>
      </c>
      <c r="T6" s="60">
        <f t="shared" si="34"/>
        <v>349.14692715126904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1.5850391202371266</v>
      </c>
      <c r="AK6" s="14">
        <f t="shared" si="35"/>
        <v>0.69232082604846479</v>
      </c>
      <c r="AL6" s="22">
        <f t="shared" si="4"/>
        <v>3.966401906447405</v>
      </c>
      <c r="AM6" s="60">
        <f t="shared" si="5"/>
        <v>264.29973523978072</v>
      </c>
      <c r="AN6" s="60">
        <f ca="1">AVERAGE(OFFSET($AM$3,0,0,'Données projet'!$E$10+1,1))-AVERAGE(OFFSET($H$3,0,0,'Données projet'!$E$10+1,1))</f>
        <v>428.8489304403459</v>
      </c>
      <c r="AO6" s="60">
        <f t="shared" si="36"/>
        <v>247.01165577562966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1.7763369450933317</v>
      </c>
      <c r="BF6" s="14">
        <f t="shared" si="37"/>
        <v>0.76565418883323866</v>
      </c>
      <c r="BG6" s="22">
        <f t="shared" si="7"/>
        <v>4.4273012249221102</v>
      </c>
      <c r="BH6" s="60">
        <f t="shared" si="8"/>
        <v>264.76063455825545</v>
      </c>
      <c r="BI6" s="60">
        <f ca="1">AVERAGE(OFFSET($BH$3,0,0,'Données projet'!$E$11+1,1))-AVERAGE(OFFSET($H$3,0,0,'Données projet'!$E$11+1,1))</f>
        <v>475.47920969424894</v>
      </c>
      <c r="BJ6" s="60">
        <f t="shared" si="38"/>
        <v>271.73544012419364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1.05</v>
      </c>
      <c r="BY6" s="13">
        <f>IF('Données projet'!$A$114&gt;35,BY5+BX6-CG5,IF(A6&lt;'Données projet'!$A$114,$BV$205^A6,IF(A6='Données projet'!$A$114,'Données projet'!$B$114,BY5+BX6-CG5)))</f>
        <v>1.5788209995247278</v>
      </c>
      <c r="BZ6" s="14">
        <f>BY6*VLOOKUP('Données projet'!$B$12,Paramètres!$A$1:$I$89,3,0)*VLOOKUP('Données projet'!$B$12,Paramètres!$A$1:$I$89,5,0)</f>
        <v>1.5270356707403168</v>
      </c>
      <c r="CA6" s="14">
        <f t="shared" si="39"/>
        <v>0.66988646367992577</v>
      </c>
      <c r="CB6" s="22">
        <f t="shared" si="10"/>
        <v>3.8263060507819229</v>
      </c>
      <c r="CC6" s="60">
        <f t="shared" si="11"/>
        <v>264.15963938411522</v>
      </c>
      <c r="CD6" s="60">
        <f ca="1">AVERAGE(OFFSET($CC$3,0,0,'Données projet'!$E$12+1,1))-AVERAGE(OFFSET($H$3,0,0,'Données projet'!$E$12+1,1))</f>
        <v>255.59755832175625</v>
      </c>
      <c r="CE6" s="60">
        <f t="shared" si="40"/>
        <v>154.0840647586964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1.05</v>
      </c>
      <c r="CT6" s="13">
        <f>IF('Données projet'!$A$140&gt;35,CT5+CS6-DB5,IF(A6&lt;'Données projet'!$A$140,$CQ$205^A6,IF(A6='Données projet'!$A$140,'Données projet'!$B$140,CT5+CS6-DB5)))</f>
        <v>1.5788209995247278</v>
      </c>
      <c r="CU6" s="18">
        <f>CT6*VLOOKUP('Données projet'!$B$13,Paramètres!$A$1:$I$89,3,0)*VLOOKUP('Données projet'!$B$13,Paramètres!$A$1:$I$89,5,0)</f>
        <v>1.6994429238884168</v>
      </c>
      <c r="CV6" s="14">
        <f t="shared" si="41"/>
        <v>0.73629349208879868</v>
      </c>
      <c r="CW6" s="22">
        <f t="shared" si="13"/>
        <v>4.2422409244936503</v>
      </c>
      <c r="CX6" s="60">
        <f t="shared" si="14"/>
        <v>264.57557425782699</v>
      </c>
      <c r="CY6" s="60">
        <f ca="1">AVERAGE(OFFSET($CX$3,0,0,'Données projet'!$E$13+1,1))-AVERAGE(OFFSET($H$3,0,0,'Données projet'!$E$13+1,1))</f>
        <v>280.20599015000306</v>
      </c>
      <c r="CZ6" s="60">
        <f t="shared" si="42"/>
        <v>166.97658184507787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2.7777777777777777</v>
      </c>
      <c r="DO6" s="13">
        <f>IF('Données projet'!$A$166&gt;35,DO5+DN6-DW5,IF(A6&lt;'Données projet'!$A$166,$DL$205^A6,IF(A6='Données projet'!$A$166,'Données projet'!$B$166,DO5+DN6-DW5)))</f>
        <v>2.1084230317137496</v>
      </c>
      <c r="DP6" s="18">
        <f>DO6*VLOOKUP('Données projet'!$B$14,Paramètres!$A$1:$I$89,3,0)*VLOOKUP('Données projet'!$B$14,Paramètres!$A$1:$I$89,5,0)</f>
        <v>1.4143301696735833</v>
      </c>
      <c r="DQ6" s="14">
        <f t="shared" si="43"/>
        <v>0.62600637611731103</v>
      </c>
      <c r="DR6" s="22">
        <f t="shared" si="16"/>
        <v>3.5535861505858075</v>
      </c>
      <c r="DS6" s="60">
        <f t="shared" si="17"/>
        <v>263.88691948391914</v>
      </c>
      <c r="DT6" s="60">
        <f ca="1">AVERAGE(OFFSET($DS$3,0,0,'Données projet'!$E$14+1,1))-AVERAGE(OFFSET($H$3,0,0,'Données projet'!$E$14+1,1))</f>
        <v>291.18686311753402</v>
      </c>
      <c r="DU6" s="60">
        <f t="shared" si="44"/>
        <v>215.44422413249839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2.1333333333333333</v>
      </c>
      <c r="EJ6" s="13">
        <f>IF('Données projet'!$A$192&gt;35,EJ5+EI6-ER5,IF(A6&lt;'Données projet'!$A$192,$EG$205^A6,IF(A6='Données projet'!$A$192,'Données projet'!$B$192,EJ5+EI6-ER5)))</f>
        <v>2</v>
      </c>
      <c r="EK6" s="18">
        <f>EJ6*VLOOKUP('Données projet'!$B$15,Paramètres!$A$1:$I$89,3,0)*VLOOKUP('Données projet'!$B$15,Paramètres!$A$1:$I$89,5,0)</f>
        <v>1.6224000000000001</v>
      </c>
      <c r="EL6" s="14">
        <f t="shared" si="45"/>
        <v>0.70672038512206192</v>
      </c>
      <c r="EM6" s="22">
        <f t="shared" si="19"/>
        <v>4.0565513374209239</v>
      </c>
      <c r="EN6" s="60">
        <f t="shared" si="20"/>
        <v>264.38988467075421</v>
      </c>
      <c r="EO6" s="60">
        <f ca="1">AVERAGE(OFFSET($EN$3,0,0,'Données projet'!$E$15+1,1))-AVERAGE(OFFSET($H$3,0,0,'Données projet'!$E$15+1,1))</f>
        <v>236.22643401787644</v>
      </c>
      <c r="EP6" s="60">
        <f t="shared" si="46"/>
        <v>188.80444043778022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8">
        <f t="shared" si="1"/>
        <v>256.66666666666669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2.72</v>
      </c>
      <c r="N7" s="14">
        <f>IF('Données projet'!$A$36&gt;35,N6+M7-V6,IF(A7&lt;'Données projet'!$A$36,$K$205^A7,IF(A7='Données projet'!$A$36,'Données projet'!$B$36,N6+M7-V6)))</f>
        <v>6.4339858722842447</v>
      </c>
      <c r="O7" s="14">
        <f>N7*VLOOKUP('Données projet'!$B$9,Paramètres!$A$1:$I$89,3,0)*VLOOKUP('Données projet'!$B$9,Paramètres!$A$1:$I$89,5,0)</f>
        <v>3.272067855208876</v>
      </c>
      <c r="P7" s="14">
        <f t="shared" si="33"/>
        <v>1.3135573847717958</v>
      </c>
      <c r="Q7" s="22">
        <f t="shared" si="2"/>
        <v>7.9866306262996707</v>
      </c>
      <c r="R7" s="60">
        <f t="shared" si="0"/>
        <v>269.54218618185519</v>
      </c>
      <c r="S7" s="60">
        <f ca="1">AVERAGE(OFFSET($R$3,0,0,'Données projet'!$E$9+1,1))-AVERAGE(OFFSET($H$3,0,0,'Données projet'!$E$9+1,1))</f>
        <v>144.55635559713392</v>
      </c>
      <c r="T7" s="60">
        <f t="shared" si="34"/>
        <v>349.14692715126904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1.9107437601419195</v>
      </c>
      <c r="AK7" s="14">
        <f t="shared" si="35"/>
        <v>0.81662477151702284</v>
      </c>
      <c r="AL7" s="22">
        <f t="shared" si="4"/>
        <v>4.7501668593059909</v>
      </c>
      <c r="AM7" s="60">
        <f t="shared" si="5"/>
        <v>266.30572241486152</v>
      </c>
      <c r="AN7" s="60">
        <f ca="1">AVERAGE(OFFSET($AM$3,0,0,'Données projet'!$E$10+1,1))-AVERAGE(OFFSET($H$3,0,0,'Données projet'!$E$10+1,1))</f>
        <v>428.8489304403459</v>
      </c>
      <c r="AO7" s="60">
        <f t="shared" si="36"/>
        <v>247.01165577562966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2.1413507656762891</v>
      </c>
      <c r="BF7" s="14">
        <f t="shared" si="37"/>
        <v>0.9031249003236328</v>
      </c>
      <c r="BG7" s="22">
        <f t="shared" si="7"/>
        <v>5.3024617849498643</v>
      </c>
      <c r="BH7" s="60">
        <f t="shared" si="8"/>
        <v>266.8580173405054</v>
      </c>
      <c r="BI7" s="60">
        <f ca="1">AVERAGE(OFFSET($BH$3,0,0,'Données projet'!$E$11+1,1))-AVERAGE(OFFSET($H$3,0,0,'Données projet'!$E$11+1,1))</f>
        <v>475.47920969424894</v>
      </c>
      <c r="BJ7" s="60">
        <f t="shared" si="38"/>
        <v>271.73544012419364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1.05</v>
      </c>
      <c r="BY7" s="13">
        <f>IF('Données projet'!$A$114&gt;35,BY6+BX7-CG6,IF(A7&lt;'Données projet'!$A$114,$BV$205^A7,IF(A7='Données projet'!$A$114,'Données projet'!$B$114,BY6+BX7-CG6)))</f>
        <v>1.8384162872525445</v>
      </c>
      <c r="BZ7" s="14">
        <f>BY7*VLOOKUP('Données projet'!$B$12,Paramètres!$A$1:$I$89,3,0)*VLOOKUP('Données projet'!$B$12,Paramètres!$A$1:$I$89,5,0)</f>
        <v>1.778116233030661</v>
      </c>
      <c r="CA7" s="14">
        <f t="shared" si="39"/>
        <v>0.76633180529295619</v>
      </c>
      <c r="CB7" s="22">
        <f t="shared" si="10"/>
        <v>4.431580333413633</v>
      </c>
      <c r="CC7" s="60">
        <f t="shared" si="11"/>
        <v>265.98713588896919</v>
      </c>
      <c r="CD7" s="60">
        <f ca="1">AVERAGE(OFFSET($CC$3,0,0,'Données projet'!$E$12+1,1))-AVERAGE(OFFSET($H$3,0,0,'Données projet'!$E$12+1,1))</f>
        <v>255.59755832175625</v>
      </c>
      <c r="CE7" s="60">
        <f t="shared" si="40"/>
        <v>154.0840647586964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1.05</v>
      </c>
      <c r="CT7" s="13">
        <f>IF('Données projet'!$A$140&gt;35,CT6+CS7-DB6,IF(A7&lt;'Données projet'!$A$140,$CQ$205^A7,IF(A7='Données projet'!$A$140,'Données projet'!$B$140,CT6+CS7-DB6)))</f>
        <v>1.8384162872525445</v>
      </c>
      <c r="CU7" s="18">
        <f>CT7*VLOOKUP('Données projet'!$B$13,Paramètres!$A$1:$I$89,3,0)*VLOOKUP('Données projet'!$B$13,Paramètres!$A$1:$I$89,5,0)</f>
        <v>1.9788712915986386</v>
      </c>
      <c r="CV7" s="14">
        <f t="shared" si="41"/>
        <v>0.84229963077364478</v>
      </c>
      <c r="CW7" s="22">
        <f t="shared" si="13"/>
        <v>4.9135393564650593</v>
      </c>
      <c r="CX7" s="60">
        <f t="shared" si="14"/>
        <v>266.46909491202058</v>
      </c>
      <c r="CY7" s="60">
        <f ca="1">AVERAGE(OFFSET($CX$3,0,0,'Données projet'!$E$13+1,1))-AVERAGE(OFFSET($H$3,0,0,'Données projet'!$E$13+1,1))</f>
        <v>280.20599015000306</v>
      </c>
      <c r="CZ7" s="60">
        <f t="shared" si="42"/>
        <v>166.97658184507787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2.7777777777777777</v>
      </c>
      <c r="DO7" s="13">
        <f>IF('Données projet'!$A$166&gt;35,DO6+DN7-DW6,IF(A7&lt;'Données projet'!$A$166,$DL$205^A7,IF(A7='Données projet'!$A$166,'Données projet'!$B$166,DO6+DN7-DW6)))</f>
        <v>2.7036076639735231</v>
      </c>
      <c r="DP7" s="18">
        <f>DO7*VLOOKUP('Données projet'!$B$14,Paramètres!$A$1:$I$89,3,0)*VLOOKUP('Données projet'!$B$14,Paramètres!$A$1:$I$89,5,0)</f>
        <v>1.8135800209934394</v>
      </c>
      <c r="DQ7" s="14">
        <f t="shared" si="43"/>
        <v>0.77982133561325717</v>
      </c>
      <c r="DR7" s="22">
        <f t="shared" si="16"/>
        <v>4.5168406960899965</v>
      </c>
      <c r="DS7" s="60">
        <f t="shared" si="17"/>
        <v>266.07239625164556</v>
      </c>
      <c r="DT7" s="60">
        <f ca="1">AVERAGE(OFFSET($DS$3,0,0,'Données projet'!$E$14+1,1))-AVERAGE(OFFSET($H$3,0,0,'Données projet'!$E$14+1,1))</f>
        <v>291.18686311753402</v>
      </c>
      <c r="DU7" s="60">
        <f t="shared" si="44"/>
        <v>215.44422413249839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2.1333333333333333</v>
      </c>
      <c r="EJ7" s="13">
        <f>IF('Données projet'!$A$192&gt;35,EJ6+EI7-ER6,IF(A7&lt;'Données projet'!$A$192,$EG$205^A7,IF(A7='Données projet'!$A$192,'Données projet'!$B$192,EJ6+EI7-ER6)))</f>
        <v>2.5198420997897468</v>
      </c>
      <c r="EK7" s="18">
        <f>EJ7*VLOOKUP('Données projet'!$B$15,Paramètres!$A$1:$I$89,3,0)*VLOOKUP('Données projet'!$B$15,Paramètres!$A$1:$I$89,5,0)</f>
        <v>2.0440959113494426</v>
      </c>
      <c r="EL7" s="14">
        <f t="shared" si="45"/>
        <v>0.86678420072876483</v>
      </c>
      <c r="EM7" s="22">
        <f t="shared" si="19"/>
        <v>5.0697828618695446</v>
      </c>
      <c r="EN7" s="60">
        <f t="shared" si="20"/>
        <v>266.6253384174251</v>
      </c>
      <c r="EO7" s="60">
        <f ca="1">AVERAGE(OFFSET($EN$3,0,0,'Données projet'!$E$15+1,1))-AVERAGE(OFFSET($H$3,0,0,'Données projet'!$E$15+1,1))</f>
        <v>236.22643401787644</v>
      </c>
      <c r="EP7" s="60">
        <f t="shared" si="46"/>
        <v>188.80444043778022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8">
        <f t="shared" si="1"/>
        <v>256.66666666666669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2.72</v>
      </c>
      <c r="N8" s="14">
        <f>IF('Données projet'!$A$36&gt;35,N7+M8-V7,IF(A8&lt;'Données projet'!$A$36,$K$205^A8,IF(A8='Données projet'!$A$36,'Données projet'!$B$36,N7+M8-V7)))</f>
        <v>10.247080044367705</v>
      </c>
      <c r="O8" s="14">
        <f>N8*VLOOKUP('Données projet'!$B$9,Paramètres!$A$1:$I$89,3,0)*VLOOKUP('Données projet'!$B$9,Paramètres!$A$1:$I$89,5,0)</f>
        <v>5.2112550273636407</v>
      </c>
      <c r="P8" s="14">
        <f t="shared" si="33"/>
        <v>1.9817200579128751</v>
      </c>
      <c r="Q8" s="22">
        <f t="shared" si="2"/>
        <v>12.527764940189931</v>
      </c>
      <c r="R8" s="60">
        <f t="shared" si="0"/>
        <v>275.30554271796768</v>
      </c>
      <c r="S8" s="60">
        <f ca="1">AVERAGE(OFFSET($R$3,0,0,'Données projet'!$E$9+1,1))-AVERAGE(OFFSET($H$3,0,0,'Données projet'!$E$9+1,1))</f>
        <v>144.55635559713392</v>
      </c>
      <c r="T8" s="60">
        <f t="shared" si="34"/>
        <v>349.14692715126904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2.3033764090157529</v>
      </c>
      <c r="AK8" s="14">
        <f t="shared" si="35"/>
        <v>0.96324708482559218</v>
      </c>
      <c r="AL8" s="22">
        <f t="shared" si="4"/>
        <v>5.6893692517736758</v>
      </c>
      <c r="AM8" s="60">
        <f t="shared" si="5"/>
        <v>268.46714702955143</v>
      </c>
      <c r="AN8" s="60">
        <f ca="1">AVERAGE(OFFSET($AM$3,0,0,'Données projet'!$E$10+1,1))-AVERAGE(OFFSET($H$3,0,0,'Données projet'!$E$10+1,1))</f>
        <v>428.8489304403459</v>
      </c>
      <c r="AO8" s="60">
        <f t="shared" si="36"/>
        <v>247.01165577562966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2.5813701135521372</v>
      </c>
      <c r="BF8" s="14">
        <f t="shared" si="37"/>
        <v>1.0652780295337991</v>
      </c>
      <c r="BG8" s="22">
        <f t="shared" si="7"/>
        <v>6.3512455158746723</v>
      </c>
      <c r="BH8" s="60">
        <f t="shared" si="8"/>
        <v>269.12902329365244</v>
      </c>
      <c r="BI8" s="60">
        <f ca="1">AVERAGE(OFFSET($BH$3,0,0,'Données projet'!$E$11+1,1))-AVERAGE(OFFSET($H$3,0,0,'Données projet'!$E$11+1,1))</f>
        <v>475.47920969424894</v>
      </c>
      <c r="BJ8" s="60">
        <f t="shared" si="38"/>
        <v>271.73544012419364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1.05</v>
      </c>
      <c r="BY8" s="13">
        <f>IF('Données projet'!$A$114&gt;35,BY7+BX8-CG7,IF(A8&lt;'Données projet'!$A$114,$BV$205^A8,IF(A8='Données projet'!$A$114,'Données projet'!$B$114,BY7+BX8-CG7)))</f>
        <v>2.1406951429280729</v>
      </c>
      <c r="BZ8" s="14">
        <f>BY8*VLOOKUP('Données projet'!$B$12,Paramètres!$A$1:$I$89,3,0)*VLOOKUP('Données projet'!$B$12,Paramètres!$A$1:$I$89,5,0)</f>
        <v>2.0704803422400322</v>
      </c>
      <c r="CA8" s="14">
        <f t="shared" si="39"/>
        <v>0.87666264008009354</v>
      </c>
      <c r="CB8" s="22">
        <f t="shared" si="10"/>
        <v>5.1329406942075515</v>
      </c>
      <c r="CC8" s="60">
        <f t="shared" si="11"/>
        <v>267.91071847198532</v>
      </c>
      <c r="CD8" s="60">
        <f ca="1">AVERAGE(OFFSET($CC$3,0,0,'Données projet'!$E$12+1,1))-AVERAGE(OFFSET($H$3,0,0,'Données projet'!$E$12+1,1))</f>
        <v>255.59755832175625</v>
      </c>
      <c r="CE8" s="60">
        <f t="shared" si="40"/>
        <v>154.0840647586964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1.05</v>
      </c>
      <c r="CT8" s="13">
        <f>IF('Données projet'!$A$140&gt;35,CT7+CS8-DB7,IF(A8&lt;'Données projet'!$A$140,$CQ$205^A8,IF(A8='Données projet'!$A$140,'Données projet'!$B$140,CT7+CS8-DB7)))</f>
        <v>2.1406951429280729</v>
      </c>
      <c r="CU8" s="18">
        <f>CT8*VLOOKUP('Données projet'!$B$13,Paramètres!$A$1:$I$89,3,0)*VLOOKUP('Données projet'!$B$13,Paramètres!$A$1:$I$89,5,0)</f>
        <v>2.3042442518477775</v>
      </c>
      <c r="CV8" s="14">
        <f t="shared" si="41"/>
        <v>0.96356775609780188</v>
      </c>
      <c r="CW8" s="22">
        <f t="shared" si="13"/>
        <v>5.6914392471718847</v>
      </c>
      <c r="CX8" s="60">
        <f t="shared" si="14"/>
        <v>268.46921702494967</v>
      </c>
      <c r="CY8" s="60">
        <f ca="1">AVERAGE(OFFSET($CX$3,0,0,'Données projet'!$E$13+1,1))-AVERAGE(OFFSET($H$3,0,0,'Données projet'!$E$13+1,1))</f>
        <v>280.20599015000306</v>
      </c>
      <c r="CZ8" s="60">
        <f t="shared" si="42"/>
        <v>166.97658184507787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2.7777777777777777</v>
      </c>
      <c r="DO8" s="13">
        <f>IF('Données projet'!$A$166&gt;35,DO7+DN8-DW7,IF(A8&lt;'Données projet'!$A$166,$DL$205^A8,IF(A8='Données projet'!$A$166,'Données projet'!$B$166,DO7+DN8-DW7)))</f>
        <v>3.4668063717531736</v>
      </c>
      <c r="DP8" s="18">
        <f>DO8*VLOOKUP('Données projet'!$B$14,Paramètres!$A$1:$I$89,3,0)*VLOOKUP('Données projet'!$B$14,Paramètres!$A$1:$I$89,5,0)</f>
        <v>2.3255337141720287</v>
      </c>
      <c r="DQ8" s="14">
        <f t="shared" si="43"/>
        <v>0.97142990659201334</v>
      </c>
      <c r="DR8" s="22">
        <f t="shared" si="16"/>
        <v>5.7422116394973726</v>
      </c>
      <c r="DS8" s="60">
        <f t="shared" si="17"/>
        <v>268.51998941727516</v>
      </c>
      <c r="DT8" s="60">
        <f ca="1">AVERAGE(OFFSET($DS$3,0,0,'Données projet'!$E$14+1,1))-AVERAGE(OFFSET($H$3,0,0,'Données projet'!$E$14+1,1))</f>
        <v>291.18686311753402</v>
      </c>
      <c r="DU8" s="60">
        <f t="shared" si="44"/>
        <v>215.44422413249839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2.1333333333333333</v>
      </c>
      <c r="EJ8" s="13">
        <f>IF('Données projet'!$A$192&gt;35,EJ7+EI8-ER7,IF(A8&lt;'Données projet'!$A$192,$EG$205^A8,IF(A8='Données projet'!$A$192,'Données projet'!$B$192,EJ7+EI8-ER7)))</f>
        <v>3.1748021039363996</v>
      </c>
      <c r="EK8" s="18">
        <f>EJ8*VLOOKUP('Données projet'!$B$15,Paramètres!$A$1:$I$89,3,0)*VLOOKUP('Données projet'!$B$15,Paramètres!$A$1:$I$89,5,0)</f>
        <v>2.5753994667132076</v>
      </c>
      <c r="EL8" s="14">
        <f t="shared" si="45"/>
        <v>1.0631005790263708</v>
      </c>
      <c r="EM8" s="22">
        <f t="shared" si="19"/>
        <v>6.3370542463297648</v>
      </c>
      <c r="EN8" s="60">
        <f t="shared" si="20"/>
        <v>269.11483202410756</v>
      </c>
      <c r="EO8" s="60">
        <f ca="1">AVERAGE(OFFSET($EN$3,0,0,'Données projet'!$E$15+1,1))-AVERAGE(OFFSET($H$3,0,0,'Données projet'!$E$15+1,1))</f>
        <v>236.22643401787644</v>
      </c>
      <c r="EP8" s="60">
        <f t="shared" si="46"/>
        <v>188.80444043778022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8">
        <f t="shared" si="1"/>
        <v>256.66666666666669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>
        <f>VLOOKUP(A9,'Données projet'!$A$35:$I$55,2,0)</f>
        <v>16.32</v>
      </c>
      <c r="L9" s="13">
        <f>VLOOKUP(A9,'Données projet'!$A$35:$I$55,9,0)</f>
        <v>2.72</v>
      </c>
      <c r="M9" s="13">
        <f t="array" ref="M9">INDEX(L:L,MIN(IF(ISNUMBER(L9:L205),ROW(L9:L205),"")))</f>
        <v>2.72</v>
      </c>
      <c r="N9" s="14">
        <f>IF('Données projet'!$A$36&gt;35,N8+M9-V8,IF(A9&lt;'Données projet'!$A$36,$K$205^A9,IF(A9='Données projet'!$A$36,'Données projet'!$B$36,N8+M9-V8)))</f>
        <v>16.32</v>
      </c>
      <c r="O9" s="14">
        <f>N9*VLOOKUP('Données projet'!$B$9,Paramètres!$A$1:$I$89,3,0)*VLOOKUP('Données projet'!$B$9,Paramètres!$A$1:$I$89,5,0)</f>
        <v>8.2996992000000009</v>
      </c>
      <c r="P9" s="14">
        <f t="shared" si="33"/>
        <v>2.9897547175805217</v>
      </c>
      <c r="Q9" s="22">
        <f t="shared" si="2"/>
        <v>19.662465573119412</v>
      </c>
      <c r="R9" s="60">
        <f t="shared" si="0"/>
        <v>283.66246557311939</v>
      </c>
      <c r="S9" s="60">
        <f ca="1">AVERAGE(OFFSET($R$3,0,0,'Données projet'!$E$9+1,1))-AVERAGE(OFFSET($H$3,0,0,'Données projet'!$E$9+1,1))</f>
        <v>144.55635559713392</v>
      </c>
      <c r="T9" s="60">
        <f t="shared" si="34"/>
        <v>349.14692715126904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2.7766898902321886</v>
      </c>
      <c r="AK9" s="14">
        <f t="shared" si="35"/>
        <v>1.1361949561012803</v>
      </c>
      <c r="AL9" s="22">
        <f t="shared" si="4"/>
        <v>6.8149411073641248</v>
      </c>
      <c r="AM9" s="60">
        <f t="shared" si="5"/>
        <v>270.81494110736412</v>
      </c>
      <c r="AN9" s="60">
        <f ca="1">AVERAGE(OFFSET($AM$3,0,0,'Données projet'!$E$10+1,1))-AVERAGE(OFFSET($H$3,0,0,'Données projet'!$E$10+1,1))</f>
        <v>428.8489304403459</v>
      </c>
      <c r="AO9" s="60">
        <f t="shared" si="36"/>
        <v>247.01165577562966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3.111807635605039</v>
      </c>
      <c r="BF9" s="14">
        <f t="shared" si="37"/>
        <v>1.2565452240335246</v>
      </c>
      <c r="BG9" s="22">
        <f t="shared" si="7"/>
        <v>7.6082145638704972</v>
      </c>
      <c r="BH9" s="60">
        <f t="shared" si="8"/>
        <v>271.60821456387049</v>
      </c>
      <c r="BI9" s="60">
        <f ca="1">AVERAGE(OFFSET($BH$3,0,0,'Données projet'!$E$11+1,1))-AVERAGE(OFFSET($H$3,0,0,'Données projet'!$E$11+1,1))</f>
        <v>475.47920969424894</v>
      </c>
      <c r="BJ9" s="60">
        <f t="shared" si="38"/>
        <v>271.73544012419364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1.05</v>
      </c>
      <c r="BY9" s="13">
        <f>IF('Données projet'!$A$114&gt;35,BY8+BX9-CG8,IF(A9&lt;'Données projet'!$A$114,$BV$205^A9,IF(A9='Données projet'!$A$114,'Données projet'!$B$114,BY8+BX9-CG8)))</f>
        <v>2.4926757485402602</v>
      </c>
      <c r="BZ9" s="14">
        <f>BY9*VLOOKUP('Données projet'!$B$12,Paramètres!$A$1:$I$89,3,0)*VLOOKUP('Données projet'!$B$12,Paramètres!$A$1:$I$89,5,0)</f>
        <v>2.41091598398814</v>
      </c>
      <c r="CA9" s="14">
        <f t="shared" si="39"/>
        <v>1.0028780995438396</v>
      </c>
      <c r="CB9" s="22">
        <f t="shared" si="10"/>
        <v>5.945691362151531</v>
      </c>
      <c r="CC9" s="60">
        <f t="shared" si="11"/>
        <v>269.94569136215154</v>
      </c>
      <c r="CD9" s="60">
        <f ca="1">AVERAGE(OFFSET($CC$3,0,0,'Données projet'!$E$12+1,1))-AVERAGE(OFFSET($H$3,0,0,'Données projet'!$E$12+1,1))</f>
        <v>255.59755832175625</v>
      </c>
      <c r="CE9" s="60">
        <f t="shared" si="40"/>
        <v>154.0840647586964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1.05</v>
      </c>
      <c r="CT9" s="13">
        <f>IF('Données projet'!$A$140&gt;35,CT8+CS9-DB8,IF(A9&lt;'Données projet'!$A$140,$CQ$205^A9,IF(A9='Données projet'!$A$140,'Données projet'!$B$140,CT8+CS9-DB8)))</f>
        <v>2.4926757485402602</v>
      </c>
      <c r="CU9" s="18">
        <f>CT9*VLOOKUP('Données projet'!$B$13,Paramètres!$A$1:$I$89,3,0)*VLOOKUP('Données projet'!$B$13,Paramètres!$A$1:$I$89,5,0)</f>
        <v>2.6831161757287361</v>
      </c>
      <c r="CV9" s="14">
        <f t="shared" si="41"/>
        <v>1.1022951770008116</v>
      </c>
      <c r="CW9" s="22">
        <f t="shared" si="13"/>
        <v>6.5929247726706288</v>
      </c>
      <c r="CX9" s="60">
        <f t="shared" si="14"/>
        <v>270.59292477267064</v>
      </c>
      <c r="CY9" s="60">
        <f ca="1">AVERAGE(OFFSET($CX$3,0,0,'Données projet'!$E$13+1,1))-AVERAGE(OFFSET($H$3,0,0,'Données projet'!$E$13+1,1))</f>
        <v>280.20599015000306</v>
      </c>
      <c r="CZ9" s="60">
        <f t="shared" si="42"/>
        <v>166.97658184507787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2.7777777777777777</v>
      </c>
      <c r="DO9" s="13">
        <f>IF('Données projet'!$A$166&gt;35,DO8+DN9-DW8,IF(A9&lt;'Données projet'!$A$166,$DL$205^A9,IF(A9='Données projet'!$A$166,'Données projet'!$B$166,DO8+DN9-DW8)))</f>
        <v>4.4454476806610002</v>
      </c>
      <c r="DP9" s="18">
        <f>DO9*VLOOKUP('Données projet'!$B$14,Paramètres!$A$1:$I$89,3,0)*VLOOKUP('Données projet'!$B$14,Paramètres!$A$1:$I$89,5,0)</f>
        <v>2.982006304187399</v>
      </c>
      <c r="DQ9" s="14">
        <f t="shared" si="43"/>
        <v>1.2101182929026357</v>
      </c>
      <c r="DR9" s="22">
        <f t="shared" si="16"/>
        <v>7.3012836732651438</v>
      </c>
      <c r="DS9" s="60">
        <f t="shared" si="17"/>
        <v>271.30128367326512</v>
      </c>
      <c r="DT9" s="60">
        <f ca="1">AVERAGE(OFFSET($DS$3,0,0,'Données projet'!$E$14+1,1))-AVERAGE(OFFSET($H$3,0,0,'Données projet'!$E$14+1,1))</f>
        <v>291.18686311753402</v>
      </c>
      <c r="DU9" s="60">
        <f t="shared" si="44"/>
        <v>215.44422413249839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2.1333333333333333</v>
      </c>
      <c r="EJ9" s="13">
        <f>IF('Données projet'!$A$192&gt;35,EJ8+EI9-ER8,IF(A9&lt;'Données projet'!$A$192,$EG$205^A9,IF(A9='Données projet'!$A$192,'Données projet'!$B$192,EJ8+EI9-ER8)))</f>
        <v>4.0000000000000009</v>
      </c>
      <c r="EK9" s="18">
        <f>EJ9*VLOOKUP('Données projet'!$B$15,Paramètres!$A$1:$I$89,3,0)*VLOOKUP('Données projet'!$B$15,Paramètres!$A$1:$I$89,5,0)</f>
        <v>3.244800000000001</v>
      </c>
      <c r="EL9" s="14">
        <f t="shared" si="45"/>
        <v>1.3038802970520027</v>
      </c>
      <c r="EM9" s="22">
        <f t="shared" si="19"/>
        <v>7.9222848506989054</v>
      </c>
      <c r="EN9" s="60">
        <f t="shared" si="20"/>
        <v>271.92228485069893</v>
      </c>
      <c r="EO9" s="60">
        <f ca="1">AVERAGE(OFFSET($EN$3,0,0,'Données projet'!$E$15+1,1))-AVERAGE(OFFSET($H$3,0,0,'Données projet'!$E$15+1,1))</f>
        <v>236.22643401787644</v>
      </c>
      <c r="EP9" s="60">
        <f t="shared" si="46"/>
        <v>188.80444043778022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8">
        <f t="shared" si="1"/>
        <v>256.66666666666669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>
        <f>VLOOKUP(A10,'Données projet'!$A$35:$I$55,2,0)</f>
        <v>42.84</v>
      </c>
      <c r="L10" s="13">
        <f>VLOOKUP(A10,'Données projet'!$A$35:$I$55,9,0)</f>
        <v>26.520000000000003</v>
      </c>
      <c r="M10" s="13">
        <f t="array" ref="M10">INDEX(L:L,MIN(IF(ISNUMBER(L10:L206),ROW(L10:L206),"")))</f>
        <v>26.520000000000003</v>
      </c>
      <c r="N10" s="14">
        <f>IF('Données projet'!$A$36&gt;35,N9+M10-V9,IF(A10&lt;'Données projet'!$A$36,$K$205^A10,IF(A10='Données projet'!$A$36,'Données projet'!$B$36,N9+M10-V9)))</f>
        <v>42.84</v>
      </c>
      <c r="O10" s="14">
        <f>N10*VLOOKUP('Données projet'!$B$9,Paramètres!$A$1:$I$89,3,0)*VLOOKUP('Données projet'!$B$9,Paramètres!$A$1:$I$89,5,0)</f>
        <v>21.786710400000004</v>
      </c>
      <c r="P10" s="14">
        <f t="shared" si="33"/>
        <v>7.0142011490416367</v>
      </c>
      <c r="Q10" s="22">
        <f t="shared" si="2"/>
        <v>50.16158761458086</v>
      </c>
      <c r="R10" s="60">
        <f t="shared" si="0"/>
        <v>315.3838098368031</v>
      </c>
      <c r="S10" s="60">
        <f ca="1">AVERAGE(OFFSET($R$3,0,0,'Données projet'!$E$9+1,1))-AVERAGE(OFFSET($H$3,0,0,'Données projet'!$E$9+1,1))</f>
        <v>144.55635559713392</v>
      </c>
      <c r="T10" s="60">
        <f t="shared" si="34"/>
        <v>349.14692715126904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3.3472630510321921</v>
      </c>
      <c r="AK10" s="14">
        <f t="shared" si="35"/>
        <v>1.34019505338418</v>
      </c>
      <c r="AL10" s="22">
        <f t="shared" si="4"/>
        <v>8.1639895318585136</v>
      </c>
      <c r="AM10" s="60">
        <f t="shared" si="5"/>
        <v>273.38621175408076</v>
      </c>
      <c r="AN10" s="60">
        <f ca="1">AVERAGE(OFFSET($AM$3,0,0,'Données projet'!$E$10+1,1))-AVERAGE(OFFSET($H$3,0,0,'Données projet'!$E$10+1,1))</f>
        <v>428.8489304403459</v>
      </c>
      <c r="AO10" s="60">
        <f t="shared" si="36"/>
        <v>247.01165577562966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3.7512430744326299</v>
      </c>
      <c r="BF10" s="14">
        <f t="shared" si="37"/>
        <v>1.4821538192545303</v>
      </c>
      <c r="BG10" s="22">
        <f t="shared" si="7"/>
        <v>9.1148329231718037</v>
      </c>
      <c r="BH10" s="60">
        <f t="shared" si="8"/>
        <v>274.33705514539406</v>
      </c>
      <c r="BI10" s="60">
        <f ca="1">AVERAGE(OFFSET($BH$3,0,0,'Données projet'!$E$11+1,1))-AVERAGE(OFFSET($H$3,0,0,'Données projet'!$E$11+1,1))</f>
        <v>475.47920969424894</v>
      </c>
      <c r="BJ10" s="60">
        <f t="shared" si="38"/>
        <v>271.73544012419364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1.05</v>
      </c>
      <c r="BY10" s="13">
        <f>IF('Données projet'!$A$114&gt;35,BY9+BX10-CG9,IF(A10&lt;'Données projet'!$A$114,$BV$205^A10,IF(A10='Données projet'!$A$114,'Données projet'!$B$114,BY9+BX10-CG9)))</f>
        <v>2.9025302401826014</v>
      </c>
      <c r="BZ10" s="14">
        <f>BY10*VLOOKUP('Données projet'!$B$12,Paramètres!$A$1:$I$89,3,0)*VLOOKUP('Données projet'!$B$12,Paramètres!$A$1:$I$89,5,0)</f>
        <v>2.8073272483046123</v>
      </c>
      <c r="CA10" s="14">
        <f t="shared" si="39"/>
        <v>1.1472651354833312</v>
      </c>
      <c r="CB10" s="22">
        <f t="shared" si="10"/>
        <v>6.887581735097335</v>
      </c>
      <c r="CC10" s="60">
        <f t="shared" si="11"/>
        <v>272.10980395731957</v>
      </c>
      <c r="CD10" s="60">
        <f ca="1">AVERAGE(OFFSET($CC$3,0,0,'Données projet'!$E$12+1,1))-AVERAGE(OFFSET($H$3,0,0,'Données projet'!$E$12+1,1))</f>
        <v>255.59755832175625</v>
      </c>
      <c r="CE10" s="60">
        <f t="shared" si="40"/>
        <v>154.0840647586964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1.05</v>
      </c>
      <c r="CT10" s="13">
        <f>IF('Données projet'!$A$140&gt;35,CT9+CS10-DB9,IF(A10&lt;'Données projet'!$A$140,$CQ$205^A10,IF(A10='Données projet'!$A$140,'Données projet'!$B$140,CT9+CS10-DB9)))</f>
        <v>2.9025302401826014</v>
      </c>
      <c r="CU10" s="18">
        <f>CT10*VLOOKUP('Données projet'!$B$13,Paramètres!$A$1:$I$89,3,0)*VLOOKUP('Données projet'!$B$13,Paramètres!$A$1:$I$89,5,0)</f>
        <v>3.1242835505325521</v>
      </c>
      <c r="CV10" s="14">
        <f t="shared" si="41"/>
        <v>1.2609955548532519</v>
      </c>
      <c r="CW10" s="22">
        <f t="shared" si="13"/>
        <v>7.6376944418802752</v>
      </c>
      <c r="CX10" s="60">
        <f t="shared" si="14"/>
        <v>272.85991666410251</v>
      </c>
      <c r="CY10" s="60">
        <f ca="1">AVERAGE(OFFSET($CX$3,0,0,'Données projet'!$E$13+1,1))-AVERAGE(OFFSET($H$3,0,0,'Données projet'!$E$13+1,1))</f>
        <v>280.20599015000306</v>
      </c>
      <c r="CZ10" s="60">
        <f t="shared" si="42"/>
        <v>166.97658184507787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2.7777777777777777</v>
      </c>
      <c r="DO10" s="13">
        <f>IF('Données projet'!$A$166&gt;35,DO9+DN10-DW9,IF(A10&lt;'Données projet'!$A$166,$DL$205^A10,IF(A10='Données projet'!$A$166,'Données projet'!$B$166,DO9+DN10-DW9)))</f>
        <v>5.7003486674395836</v>
      </c>
      <c r="DP10" s="18">
        <f>DO10*VLOOKUP('Données projet'!$B$14,Paramètres!$A$1:$I$89,3,0)*VLOOKUP('Données projet'!$B$14,Paramètres!$A$1:$I$89,5,0)</f>
        <v>3.8237938861184726</v>
      </c>
      <c r="DQ10" s="14">
        <f t="shared" si="43"/>
        <v>1.5074543957113413</v>
      </c>
      <c r="DR10" s="22">
        <f t="shared" si="16"/>
        <v>9.2852574241869252</v>
      </c>
      <c r="DS10" s="60">
        <f t="shared" si="17"/>
        <v>274.50747964640914</v>
      </c>
      <c r="DT10" s="60">
        <f ca="1">AVERAGE(OFFSET($DS$3,0,0,'Données projet'!$E$14+1,1))-AVERAGE(OFFSET($H$3,0,0,'Données projet'!$E$14+1,1))</f>
        <v>291.18686311753402</v>
      </c>
      <c r="DU10" s="60">
        <f t="shared" si="44"/>
        <v>215.44422413249839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2.1333333333333333</v>
      </c>
      <c r="EJ10" s="13">
        <f>IF('Données projet'!$A$192&gt;35,EJ9+EI10-ER9,IF(A10&lt;'Données projet'!$A$192,$EG$205^A10,IF(A10='Données projet'!$A$192,'Données projet'!$B$192,EJ9+EI10-ER9)))</f>
        <v>5.0396841995794937</v>
      </c>
      <c r="EK10" s="18">
        <f>EJ10*VLOOKUP('Données projet'!$B$15,Paramètres!$A$1:$I$89,3,0)*VLOOKUP('Données projet'!$B$15,Paramètres!$A$1:$I$89,5,0)</f>
        <v>4.0881918226988851</v>
      </c>
      <c r="EL10" s="14">
        <f t="shared" si="45"/>
        <v>1.5991937758113535</v>
      </c>
      <c r="EM10" s="22">
        <f t="shared" si="19"/>
        <v>9.9055299174053317</v>
      </c>
      <c r="EN10" s="60">
        <f t="shared" si="20"/>
        <v>275.12775213962755</v>
      </c>
      <c r="EO10" s="60">
        <f ca="1">AVERAGE(OFFSET($EN$3,0,0,'Données projet'!$E$15+1,1))-AVERAGE(OFFSET($H$3,0,0,'Données projet'!$E$15+1,1))</f>
        <v>236.22643401787644</v>
      </c>
      <c r="EP10" s="60">
        <f t="shared" si="46"/>
        <v>188.80444043778022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8">
        <f t="shared" si="1"/>
        <v>256.66666666666669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>
        <f>VLOOKUP(A11,'Données projet'!$A$35:$I$55,2,0)</f>
        <v>71.400000000000006</v>
      </c>
      <c r="L11" s="13">
        <f>VLOOKUP(A11,'Données projet'!$A$35:$I$55,9,0)</f>
        <v>28.560000000000002</v>
      </c>
      <c r="M11" s="13">
        <f t="array" ref="M11">INDEX(L:L,MIN(IF(ISNUMBER(L11:L207),ROW(L11:L207),"")))</f>
        <v>28.560000000000002</v>
      </c>
      <c r="N11" s="14">
        <f>IF('Données projet'!$A$36&gt;35,N10+M11-V10,IF(A11&lt;'Données projet'!$A$36,$K$205^A11,IF(A11='Données projet'!$A$36,'Données projet'!$B$36,N10+M11-V10)))</f>
        <v>71.400000000000006</v>
      </c>
      <c r="O11" s="14">
        <f>N11*VLOOKUP('Données projet'!$B$9,Paramètres!$A$1:$I$89,3,0)*VLOOKUP('Données projet'!$B$9,Paramètres!$A$1:$I$89,5,0)</f>
        <v>36.311184000000004</v>
      </c>
      <c r="P11" s="14">
        <f t="shared" si="33"/>
        <v>11.015488751162811</v>
      </c>
      <c r="Q11" s="22">
        <f t="shared" si="2"/>
        <v>82.427288374941909</v>
      </c>
      <c r="R11" s="60">
        <f t="shared" si="0"/>
        <v>348.87173281938635</v>
      </c>
      <c r="S11" s="60">
        <f ca="1">AVERAGE(OFFSET($R$3,0,0,'Données projet'!$E$9+1,1))-AVERAGE(OFFSET($H$3,0,0,'Données projet'!$E$9+1,1))</f>
        <v>144.55635559713392</v>
      </c>
      <c r="T11" s="60">
        <f t="shared" si="34"/>
        <v>349.14692715126904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4.0350814731667564</v>
      </c>
      <c r="AK11" s="14">
        <f t="shared" si="35"/>
        <v>1.5808227025391921</v>
      </c>
      <c r="AL11" s="22">
        <f t="shared" si="4"/>
        <v>9.7810331060211926</v>
      </c>
      <c r="AM11" s="60">
        <f t="shared" si="5"/>
        <v>276.22547755046565</v>
      </c>
      <c r="AN11" s="60">
        <f ca="1">AVERAGE(OFFSET($AM$3,0,0,'Données projet'!$E$10+1,1))-AVERAGE(OFFSET($H$3,0,0,'Données projet'!$E$10+1,1))</f>
        <v>428.8489304403459</v>
      </c>
      <c r="AO11" s="60">
        <f t="shared" si="36"/>
        <v>247.01165577562966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4.5220740647558486</v>
      </c>
      <c r="BF11" s="14">
        <f t="shared" si="37"/>
        <v>1.7482697016499746</v>
      </c>
      <c r="BG11" s="22">
        <f t="shared" si="7"/>
        <v>10.92084872649014</v>
      </c>
      <c r="BH11" s="60">
        <f t="shared" si="8"/>
        <v>277.36529317093459</v>
      </c>
      <c r="BI11" s="60">
        <f ca="1">AVERAGE(OFFSET($BH$3,0,0,'Données projet'!$E$11+1,1))-AVERAGE(OFFSET($H$3,0,0,'Données projet'!$E$11+1,1))</f>
        <v>475.47920969424894</v>
      </c>
      <c r="BJ11" s="60">
        <f t="shared" si="38"/>
        <v>271.73544012419364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1.05</v>
      </c>
      <c r="BY11" s="13">
        <f>IF('Données projet'!$A$114&gt;35,BY10+BX11-CG10,IF(A11&lt;'Données projet'!$A$114,$BV$205^A11,IF(A11='Données projet'!$A$114,'Données projet'!$B$114,BY10+BX11-CG10)))</f>
        <v>3.3797744452354301</v>
      </c>
      <c r="BZ11" s="14">
        <f>BY11*VLOOKUP('Données projet'!$B$12,Paramètres!$A$1:$I$89,3,0)*VLOOKUP('Données projet'!$B$12,Paramètres!$A$1:$I$89,5,0)</f>
        <v>3.2689178434317077</v>
      </c>
      <c r="CA11" s="14">
        <f t="shared" si="39"/>
        <v>1.3124399582504287</v>
      </c>
      <c r="CB11" s="22">
        <f t="shared" si="10"/>
        <v>7.9791981712630529</v>
      </c>
      <c r="CC11" s="60">
        <f t="shared" si="11"/>
        <v>274.42364261570754</v>
      </c>
      <c r="CD11" s="60">
        <f ca="1">AVERAGE(OFFSET($CC$3,0,0,'Données projet'!$E$12+1,1))-AVERAGE(OFFSET($H$3,0,0,'Données projet'!$E$12+1,1))</f>
        <v>255.59755832175625</v>
      </c>
      <c r="CE11" s="60">
        <f t="shared" si="40"/>
        <v>154.0840647586964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1.05</v>
      </c>
      <c r="CT11" s="13">
        <f>IF('Données projet'!$A$140&gt;35,CT10+CS11-DB10,IF(A11&lt;'Données projet'!$A$140,$CQ$205^A11,IF(A11='Données projet'!$A$140,'Données projet'!$B$140,CT10+CS11-DB10)))</f>
        <v>3.3797744452354301</v>
      </c>
      <c r="CU11" s="18">
        <f>CT11*VLOOKUP('Données projet'!$B$13,Paramètres!$A$1:$I$89,3,0)*VLOOKUP('Données projet'!$B$13,Paramètres!$A$1:$I$89,5,0)</f>
        <v>3.6379892128514166</v>
      </c>
      <c r="CV11" s="14">
        <f t="shared" si="41"/>
        <v>1.4425444495603463</v>
      </c>
      <c r="CW11" s="22">
        <f t="shared" si="13"/>
        <v>8.8485961287004873</v>
      </c>
      <c r="CX11" s="60">
        <f t="shared" si="14"/>
        <v>275.29304057314494</v>
      </c>
      <c r="CY11" s="60">
        <f ca="1">AVERAGE(OFFSET($CX$3,0,0,'Données projet'!$E$13+1,1))-AVERAGE(OFFSET($H$3,0,0,'Données projet'!$E$13+1,1))</f>
        <v>280.20599015000306</v>
      </c>
      <c r="CZ11" s="60">
        <f t="shared" si="42"/>
        <v>166.97658184507787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2.7777777777777777</v>
      </c>
      <c r="DO11" s="13">
        <f>IF('Données projet'!$A$166&gt;35,DO10+DN11-DW10,IF(A11&lt;'Données projet'!$A$166,$DL$205^A11,IF(A11='Données projet'!$A$166,'Données projet'!$B$166,DO10+DN11-DW10)))</f>
        <v>7.3094944006963711</v>
      </c>
      <c r="DP11" s="18">
        <f>DO11*VLOOKUP('Données projet'!$B$14,Paramètres!$A$1:$I$89,3,0)*VLOOKUP('Données projet'!$B$14,Paramètres!$A$1:$I$89,5,0)</f>
        <v>4.9032088439871258</v>
      </c>
      <c r="DQ11" s="14">
        <f t="shared" si="43"/>
        <v>1.8778484454596058</v>
      </c>
      <c r="DR11" s="22">
        <f t="shared" si="16"/>
        <v>11.810341445786392</v>
      </c>
      <c r="DS11" s="60">
        <f t="shared" si="17"/>
        <v>278.25478589023083</v>
      </c>
      <c r="DT11" s="60">
        <f ca="1">AVERAGE(OFFSET($DS$3,0,0,'Données projet'!$E$14+1,1))-AVERAGE(OFFSET($H$3,0,0,'Données projet'!$E$14+1,1))</f>
        <v>291.18686311753402</v>
      </c>
      <c r="DU11" s="60">
        <f t="shared" si="44"/>
        <v>215.44422413249839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2.1333333333333333</v>
      </c>
      <c r="EJ11" s="13">
        <f>IF('Données projet'!$A$192&gt;35,EJ10+EI11-ER10,IF(A11&lt;'Données projet'!$A$192,$EG$205^A11,IF(A11='Données projet'!$A$192,'Données projet'!$B$192,EJ10+EI11-ER10)))</f>
        <v>6.3496042078728001</v>
      </c>
      <c r="EK11" s="18">
        <f>EJ11*VLOOKUP('Données projet'!$B$15,Paramètres!$A$1:$I$89,3,0)*VLOOKUP('Données projet'!$B$15,Paramètres!$A$1:$I$89,5,0)</f>
        <v>5.1507989334264161</v>
      </c>
      <c r="EL11" s="14">
        <f t="shared" si="45"/>
        <v>1.9613922676613451</v>
      </c>
      <c r="EM11" s="22">
        <f t="shared" si="19"/>
        <v>12.387066341894517</v>
      </c>
      <c r="EN11" s="60">
        <f t="shared" si="20"/>
        <v>278.83151078633898</v>
      </c>
      <c r="EO11" s="60">
        <f ca="1">AVERAGE(OFFSET($EN$3,0,0,'Données projet'!$E$15+1,1))-AVERAGE(OFFSET($H$3,0,0,'Données projet'!$E$15+1,1))</f>
        <v>236.22643401787644</v>
      </c>
      <c r="EP11" s="60">
        <f t="shared" si="46"/>
        <v>188.80444043778022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8">
        <f t="shared" si="1"/>
        <v>256.66666666666669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>
        <f>VLOOKUP(A12,'Données projet'!$A$35:$I$55,2,0)</f>
        <v>99.96</v>
      </c>
      <c r="L12" s="13">
        <f>VLOOKUP(A12,'Données projet'!$A$35:$I$55,9,0)</f>
        <v>28.559999999999988</v>
      </c>
      <c r="M12" s="13">
        <f t="array" ref="M12">INDEX(L:L,MIN(IF(ISNUMBER(L12:L208),ROW(L12:L208),"")))</f>
        <v>28.559999999999988</v>
      </c>
      <c r="N12" s="14">
        <f>IF('Données projet'!$A$36&gt;35,N11+M12-V11,IF(A12&lt;'Données projet'!$A$36,$K$205^A12,IF(A12='Données projet'!$A$36,'Données projet'!$B$36,N11+M12-V11)))</f>
        <v>99.96</v>
      </c>
      <c r="O12" s="14">
        <f>N12*VLOOKUP('Données projet'!$B$9,Paramètres!$A$1:$I$89,3,0)*VLOOKUP('Données projet'!$B$9,Paramètres!$A$1:$I$89,5,0)</f>
        <v>50.835657599999998</v>
      </c>
      <c r="P12" s="14">
        <f t="shared" si="33"/>
        <v>14.829363255231403</v>
      </c>
      <c r="Q12" s="22">
        <f t="shared" si="2"/>
        <v>114.36657798952803</v>
      </c>
      <c r="R12" s="60">
        <f t="shared" si="0"/>
        <v>382.03324465619471</v>
      </c>
      <c r="S12" s="60">
        <f ca="1">AVERAGE(OFFSET($R$3,0,0,'Données projet'!$E$9+1,1))-AVERAGE(OFFSET($H$3,0,0,'Données projet'!$E$9+1,1))</f>
        <v>144.55635559713392</v>
      </c>
      <c r="T12" s="60">
        <f t="shared" si="34"/>
        <v>349.14692715126904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4.8642375119197085</v>
      </c>
      <c r="AK12" s="14">
        <f t="shared" si="35"/>
        <v>1.8646542609995393</v>
      </c>
      <c r="AL12" s="22">
        <f t="shared" si="4"/>
        <v>11.719486504501022</v>
      </c>
      <c r="AM12" s="60">
        <f t="shared" si="5"/>
        <v>279.38615317116773</v>
      </c>
      <c r="AN12" s="60">
        <f ca="1">AVERAGE(OFFSET($AM$3,0,0,'Données projet'!$E$10+1,1))-AVERAGE(OFFSET($H$3,0,0,'Données projet'!$E$10+1,1))</f>
        <v>428.8489304403459</v>
      </c>
      <c r="AO12" s="60">
        <f t="shared" si="36"/>
        <v>247.01165577562966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5.4513006599100189</v>
      </c>
      <c r="BF12" s="14">
        <f t="shared" si="37"/>
        <v>2.062165822468125</v>
      </c>
      <c r="BG12" s="22">
        <f t="shared" si="7"/>
        <v>13.085954123475267</v>
      </c>
      <c r="BH12" s="60">
        <f t="shared" si="8"/>
        <v>280.75262079014198</v>
      </c>
      <c r="BI12" s="60">
        <f ca="1">AVERAGE(OFFSET($BH$3,0,0,'Données projet'!$E$11+1,1))-AVERAGE(OFFSET($H$3,0,0,'Données projet'!$E$11+1,1))</f>
        <v>475.47920969424894</v>
      </c>
      <c r="BJ12" s="60">
        <f t="shared" si="38"/>
        <v>271.73544012419364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1.05</v>
      </c>
      <c r="BY12" s="13">
        <f>IF('Données projet'!$A$114&gt;35,BY11+BX12-CG11,IF(A12&lt;'Données projet'!$A$114,$BV$205^A12,IF(A12='Données projet'!$A$114,'Données projet'!$B$114,BY11+BX12-CG11)))</f>
        <v>3.9354888168013828</v>
      </c>
      <c r="BZ12" s="14">
        <f>BY12*VLOOKUP('Données projet'!$B$12,Paramètres!$A$1:$I$89,3,0)*VLOOKUP('Données projet'!$B$12,Paramètres!$A$1:$I$89,5,0)</f>
        <v>3.8064047836102977</v>
      </c>
      <c r="CA12" s="14">
        <f t="shared" si="39"/>
        <v>1.5013954409821026</v>
      </c>
      <c r="CB12" s="22">
        <f t="shared" si="10"/>
        <v>9.2444187244984306</v>
      </c>
      <c r="CC12" s="60">
        <f t="shared" si="11"/>
        <v>276.9110853911651</v>
      </c>
      <c r="CD12" s="60">
        <f ca="1">AVERAGE(OFFSET($CC$3,0,0,'Données projet'!$E$12+1,1))-AVERAGE(OFFSET($H$3,0,0,'Données projet'!$E$12+1,1))</f>
        <v>255.59755832175625</v>
      </c>
      <c r="CE12" s="60">
        <f t="shared" si="40"/>
        <v>154.0840647586964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1.05</v>
      </c>
      <c r="CT12" s="13">
        <f>IF('Données projet'!$A$140&gt;35,CT11+CS12-DB11,IF(A12&lt;'Données projet'!$A$140,$CQ$205^A12,IF(A12='Données projet'!$A$140,'Données projet'!$B$140,CT11+CS12-DB11)))</f>
        <v>3.9354888168013828</v>
      </c>
      <c r="CU12" s="18">
        <f>CT12*VLOOKUP('Données projet'!$B$13,Paramètres!$A$1:$I$89,3,0)*VLOOKUP('Données projet'!$B$13,Paramètres!$A$1:$I$89,5,0)</f>
        <v>4.2361601624050085</v>
      </c>
      <c r="CV12" s="14">
        <f t="shared" si="41"/>
        <v>1.6502314230596411</v>
      </c>
      <c r="CW12" s="22">
        <f t="shared" si="13"/>
        <v>10.252132011350932</v>
      </c>
      <c r="CX12" s="60">
        <f t="shared" si="14"/>
        <v>277.91879867801759</v>
      </c>
      <c r="CY12" s="60">
        <f ca="1">AVERAGE(OFFSET($CX$3,0,0,'Données projet'!$E$13+1,1))-AVERAGE(OFFSET($H$3,0,0,'Données projet'!$E$13+1,1))</f>
        <v>280.20599015000306</v>
      </c>
      <c r="CZ12" s="60">
        <f t="shared" si="42"/>
        <v>166.97658184507787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2.7777777777777777</v>
      </c>
      <c r="DO12" s="13">
        <f>IF('Données projet'!$A$166&gt;35,DO11+DN12-DW11,IF(A12&lt;'Données projet'!$A$166,$DL$205^A12,IF(A12='Données projet'!$A$166,'Données projet'!$B$166,DO11+DN12-DW11)))</f>
        <v>9.3728842761841236</v>
      </c>
      <c r="DP12" s="18">
        <f>DO12*VLOOKUP('Données projet'!$B$14,Paramètres!$A$1:$I$89,3,0)*VLOOKUP('Données projet'!$B$14,Paramètres!$A$1:$I$89,5,0)</f>
        <v>6.2873307724643102</v>
      </c>
      <c r="DQ12" s="14">
        <f t="shared" si="43"/>
        <v>2.3392513857449408</v>
      </c>
      <c r="DR12" s="22">
        <f t="shared" si="16"/>
        <v>15.024630592214445</v>
      </c>
      <c r="DS12" s="60">
        <f t="shared" si="17"/>
        <v>282.69129725888115</v>
      </c>
      <c r="DT12" s="60">
        <f ca="1">AVERAGE(OFFSET($DS$3,0,0,'Données projet'!$E$14+1,1))-AVERAGE(OFFSET($H$3,0,0,'Données projet'!$E$14+1,1))</f>
        <v>291.18686311753402</v>
      </c>
      <c r="DU12" s="60">
        <f t="shared" si="44"/>
        <v>215.44422413249839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2.1333333333333333</v>
      </c>
      <c r="EJ12" s="13">
        <f>IF('Données projet'!$A$192&gt;35,EJ11+EI12-ER11,IF(A12&lt;'Données projet'!$A$192,$EG$205^A12,IF(A12='Données projet'!$A$192,'Données projet'!$B$192,EJ11+EI12-ER11)))</f>
        <v>8.0000000000000036</v>
      </c>
      <c r="EK12" s="18">
        <f>EJ12*VLOOKUP('Données projet'!$B$15,Paramètres!$A$1:$I$89,3,0)*VLOOKUP('Données projet'!$B$15,Paramètres!$A$1:$I$89,5,0)</f>
        <v>6.4896000000000029</v>
      </c>
      <c r="EL12" s="14">
        <f t="shared" si="45"/>
        <v>2.4056244376575937</v>
      </c>
      <c r="EM12" s="22">
        <f t="shared" si="19"/>
        <v>15.492515895586982</v>
      </c>
      <c r="EN12" s="60">
        <f t="shared" si="20"/>
        <v>283.15918256225365</v>
      </c>
      <c r="EO12" s="60">
        <f ca="1">AVERAGE(OFFSET($EN$3,0,0,'Données projet'!$E$15+1,1))-AVERAGE(OFFSET($H$3,0,0,'Données projet'!$E$15+1,1))</f>
        <v>236.22643401787644</v>
      </c>
      <c r="EP12" s="60">
        <f t="shared" si="46"/>
        <v>188.80444043778022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8">
        <f t="shared" si="1"/>
        <v>256.66666666666669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130.56</v>
      </c>
      <c r="L13" s="13">
        <f>VLOOKUP(A13,'Données projet'!$A$35:$I$55,9,0)</f>
        <v>30.600000000000009</v>
      </c>
      <c r="M13" s="13">
        <f t="array" ref="M13">INDEX(L:L,MIN(IF(ISNUMBER(L13:L209),ROW(L13:L209),"")))</f>
        <v>30.600000000000009</v>
      </c>
      <c r="N13" s="14">
        <f>IF('Données projet'!$A$36&gt;35,N12+M13-V12,IF(A13&lt;'Données projet'!$A$36,$K$205^A13,IF(A13='Données projet'!$A$36,'Données projet'!$B$36,N12+M13-V12)))</f>
        <v>130.56</v>
      </c>
      <c r="O13" s="14">
        <f>N13*VLOOKUP('Données projet'!$B$9,Paramètres!$A$1:$I$89,3,0)*VLOOKUP('Données projet'!$B$9,Paramètres!$A$1:$I$89,5,0)</f>
        <v>66.397593600000008</v>
      </c>
      <c r="P13" s="14">
        <f t="shared" si="33"/>
        <v>18.776120870197634</v>
      </c>
      <c r="Q13" s="22">
        <f t="shared" si="2"/>
        <v>148.34421936892755</v>
      </c>
      <c r="R13" s="60">
        <f t="shared" si="0"/>
        <v>417.23310825781641</v>
      </c>
      <c r="S13" s="60">
        <f ca="1">AVERAGE(OFFSET($R$3,0,0,'Données projet'!$E$9+1,1))-AVERAGE(OFFSET($H$3,0,0,'Données projet'!$E$9+1,1))</f>
        <v>144.55635559713392</v>
      </c>
      <c r="T13" s="60">
        <f t="shared" si="34"/>
        <v>349.14692715126904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5.8637741839194364</v>
      </c>
      <c r="AK13" s="14">
        <f t="shared" si="35"/>
        <v>2.1994468497187687</v>
      </c>
      <c r="AL13" s="22">
        <f t="shared" si="4"/>
        <v>14.043443300253207</v>
      </c>
      <c r="AM13" s="60">
        <f t="shared" si="5"/>
        <v>282.93233218914207</v>
      </c>
      <c r="AN13" s="60">
        <f ca="1">AVERAGE(OFFSET($AM$3,0,0,'Données projet'!$E$10+1,1))-AVERAGE(OFFSET($H$3,0,0,'Données projet'!$E$10+1,1))</f>
        <v>428.8489304403459</v>
      </c>
      <c r="AO13" s="60">
        <f t="shared" si="36"/>
        <v>247.01165577562966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6.5714710681855761</v>
      </c>
      <c r="BF13" s="14">
        <f t="shared" si="37"/>
        <v>2.4324209676242781</v>
      </c>
      <c r="BG13" s="22">
        <f t="shared" si="7"/>
        <v>15.681778629035497</v>
      </c>
      <c r="BH13" s="60">
        <f t="shared" si="8"/>
        <v>284.57066751792433</v>
      </c>
      <c r="BI13" s="60">
        <f ca="1">AVERAGE(OFFSET($BH$3,0,0,'Données projet'!$E$11+1,1))-AVERAGE(OFFSET($H$3,0,0,'Données projet'!$E$11+1,1))</f>
        <v>475.47920969424894</v>
      </c>
      <c r="BJ13" s="60">
        <f t="shared" si="38"/>
        <v>271.73544012419364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1.05</v>
      </c>
      <c r="BY13" s="13">
        <f>IF('Données projet'!$A$114&gt;35,BY12+BX13-CG12,IF(A13&lt;'Données projet'!$A$114,$BV$205^A13,IF(A13='Données projet'!$A$114,'Données projet'!$B$114,BY12+BX13-CG12)))</f>
        <v>4.5825756949558425</v>
      </c>
      <c r="BZ13" s="14">
        <f>BY13*VLOOKUP('Données projet'!$B$12,Paramètres!$A$1:$I$89,3,0)*VLOOKUP('Données projet'!$B$12,Paramètres!$A$1:$I$89,5,0)</f>
        <v>4.4322672121612907</v>
      </c>
      <c r="CA13" s="14">
        <f t="shared" si="39"/>
        <v>1.7175553487466402</v>
      </c>
      <c r="CB13" s="22">
        <f t="shared" si="10"/>
        <v>10.71094096024798</v>
      </c>
      <c r="CC13" s="60">
        <f t="shared" si="11"/>
        <v>279.59982984913682</v>
      </c>
      <c r="CD13" s="60">
        <f ca="1">AVERAGE(OFFSET($CC$3,0,0,'Données projet'!$E$12+1,1))-AVERAGE(OFFSET($H$3,0,0,'Données projet'!$E$12+1,1))</f>
        <v>255.59755832175625</v>
      </c>
      <c r="CE13" s="60">
        <f t="shared" si="40"/>
        <v>154.0840647586964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1.05</v>
      </c>
      <c r="CT13" s="13">
        <f>IF('Données projet'!$A$140&gt;35,CT12+CS13-DB12,IF(A13&lt;'Données projet'!$A$140,$CQ$205^A13,IF(A13='Données projet'!$A$140,'Données projet'!$B$140,CT12+CS13-DB12)))</f>
        <v>4.5825756949558425</v>
      </c>
      <c r="CU13" s="18">
        <f>CT13*VLOOKUP('Données projet'!$B$13,Paramètres!$A$1:$I$89,3,0)*VLOOKUP('Données projet'!$B$13,Paramètres!$A$1:$I$89,5,0)</f>
        <v>4.9326844780504686</v>
      </c>
      <c r="CV13" s="14">
        <f t="shared" si="41"/>
        <v>1.8878196442982629</v>
      </c>
      <c r="CW13" s="22">
        <f t="shared" si="13"/>
        <v>11.879044679757373</v>
      </c>
      <c r="CX13" s="60">
        <f t="shared" si="14"/>
        <v>280.76793356864624</v>
      </c>
      <c r="CY13" s="60">
        <f ca="1">AVERAGE(OFFSET($CX$3,0,0,'Données projet'!$E$13+1,1))-AVERAGE(OFFSET($H$3,0,0,'Données projet'!$E$13+1,1))</f>
        <v>280.20599015000306</v>
      </c>
      <c r="CZ13" s="60">
        <f t="shared" si="42"/>
        <v>166.97658184507787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2.7777777777777777</v>
      </c>
      <c r="DO13" s="13">
        <f>IF('Données projet'!$A$166&gt;35,DO12+DN13-DW12,IF(A13&lt;'Données projet'!$A$166,$DL$205^A13,IF(A13='Données projet'!$A$166,'Données projet'!$B$166,DO12+DN13-DW12)))</f>
        <v>12.018746419228403</v>
      </c>
      <c r="DP13" s="18">
        <f>DO13*VLOOKUP('Données projet'!$B$14,Paramètres!$A$1:$I$89,3,0)*VLOOKUP('Données projet'!$B$14,Paramètres!$A$1:$I$89,5,0)</f>
        <v>8.0621750980184128</v>
      </c>
      <c r="DQ13" s="14">
        <f t="shared" si="43"/>
        <v>2.9140248559144633</v>
      </c>
      <c r="DR13" s="22">
        <f t="shared" si="16"/>
        <v>19.116881586433095</v>
      </c>
      <c r="DS13" s="60">
        <f t="shared" si="17"/>
        <v>288.00577047532192</v>
      </c>
      <c r="DT13" s="60">
        <f ca="1">AVERAGE(OFFSET($DS$3,0,0,'Données projet'!$E$14+1,1))-AVERAGE(OFFSET($H$3,0,0,'Données projet'!$E$14+1,1))</f>
        <v>291.18686311753402</v>
      </c>
      <c r="DU13" s="60">
        <f t="shared" si="44"/>
        <v>215.44422413249839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2.1333333333333333</v>
      </c>
      <c r="EJ13" s="13">
        <f>IF('Données projet'!$A$192&gt;35,EJ12+EI13-ER12,IF(A13&lt;'Données projet'!$A$192,$EG$205^A13,IF(A13='Données projet'!$A$192,'Données projet'!$B$192,EJ12+EI13-ER12)))</f>
        <v>10.079368399158989</v>
      </c>
      <c r="EK13" s="18">
        <f>EJ13*VLOOKUP('Données projet'!$B$15,Paramètres!$A$1:$I$89,3,0)*VLOOKUP('Données projet'!$B$15,Paramètres!$A$1:$I$89,5,0)</f>
        <v>8.1763836453977721</v>
      </c>
      <c r="EL13" s="14">
        <f t="shared" si="45"/>
        <v>2.9504699444724252</v>
      </c>
      <c r="EM13" s="22">
        <f t="shared" si="19"/>
        <v>19.379270002357259</v>
      </c>
      <c r="EN13" s="60">
        <f t="shared" si="20"/>
        <v>288.26815889124612</v>
      </c>
      <c r="EO13" s="60">
        <f ca="1">AVERAGE(OFFSET($EN$3,0,0,'Données projet'!$E$15+1,1))-AVERAGE(OFFSET($H$3,0,0,'Données projet'!$E$15+1,1))</f>
        <v>236.22643401787644</v>
      </c>
      <c r="EP13" s="60">
        <f t="shared" si="46"/>
        <v>188.80444043778022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8">
        <f t="shared" si="1"/>
        <v>256.66666666666669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>
        <f>VLOOKUP(A14,'Données projet'!$A$35:$I$55,2,0)</f>
        <v>157.08000000000001</v>
      </c>
      <c r="L14" s="13">
        <f>VLOOKUP(A14,'Données projet'!$A$35:$I$55,9,0)</f>
        <v>26.52000000000001</v>
      </c>
      <c r="M14" s="13">
        <f t="array" ref="M14">INDEX(L:L,MIN(IF(ISNUMBER(L14:L210),ROW(L14:L210),"")))</f>
        <v>26.52000000000001</v>
      </c>
      <c r="N14" s="14">
        <f>IF('Données projet'!$A$36&gt;35,N13+M14-V13,IF(A14&lt;'Données projet'!$A$36,$K$205^A14,IF(A14='Données projet'!$A$36,'Données projet'!$B$36,N13+M14-V13)))</f>
        <v>157.08000000000001</v>
      </c>
      <c r="O14" s="14">
        <f>N14*VLOOKUP('Données projet'!$B$9,Paramètres!$A$1:$I$89,3,0)*VLOOKUP('Données projet'!$B$9,Paramètres!$A$1:$I$89,5,0)</f>
        <v>79.884604800000005</v>
      </c>
      <c r="P14" s="14">
        <f t="shared" si="33"/>
        <v>22.108967032457297</v>
      </c>
      <c r="Q14" s="22">
        <f t="shared" si="2"/>
        <v>177.63880427486311</v>
      </c>
      <c r="R14" s="60">
        <f t="shared" si="0"/>
        <v>447.74991538597425</v>
      </c>
      <c r="S14" s="60">
        <f ca="1">AVERAGE(OFFSET($R$3,0,0,'Données projet'!$E$9+1,1))-AVERAGE(OFFSET($H$3,0,0,'Données projet'!$E$9+1,1))</f>
        <v>144.55635559713392</v>
      </c>
      <c r="T14" s="60">
        <f t="shared" si="34"/>
        <v>349.14692715126904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7.0687024627689707</v>
      </c>
      <c r="AK14" s="14">
        <f t="shared" si="35"/>
        <v>2.5943503554083325</v>
      </c>
      <c r="AL14" s="22">
        <f t="shared" si="4"/>
        <v>16.829816991658799</v>
      </c>
      <c r="AM14" s="60">
        <f t="shared" si="5"/>
        <v>286.94092810276993</v>
      </c>
      <c r="AN14" s="60">
        <f ca="1">AVERAGE(OFFSET($AM$3,0,0,'Données projet'!$E$10+1,1))-AVERAGE(OFFSET($H$3,0,0,'Données projet'!$E$10+1,1))</f>
        <v>428.8489304403459</v>
      </c>
      <c r="AO14" s="60">
        <f t="shared" si="36"/>
        <v>247.01165577562966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7.921821725516951</v>
      </c>
      <c r="BF14" s="14">
        <f t="shared" si="37"/>
        <v>2.869154216054651</v>
      </c>
      <c r="BG14" s="22">
        <f t="shared" si="7"/>
        <v>18.794283098237205</v>
      </c>
      <c r="BH14" s="60">
        <f t="shared" si="8"/>
        <v>288.90539420934834</v>
      </c>
      <c r="BI14" s="60">
        <f ca="1">AVERAGE(OFFSET($BH$3,0,0,'Données projet'!$E$11+1,1))-AVERAGE(OFFSET($H$3,0,0,'Données projet'!$E$11+1,1))</f>
        <v>475.47920969424894</v>
      </c>
      <c r="BJ14" s="60">
        <f t="shared" si="38"/>
        <v>271.73544012419364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1.05</v>
      </c>
      <c r="BY14" s="13">
        <f>IF('Données projet'!$A$114&gt;35,BY13+BX14-CG13,IF(A14&lt;'Données projet'!$A$114,$BV$205^A14,IF(A14='Données projet'!$A$114,'Données projet'!$B$114,BY13+BX14-CG13)))</f>
        <v>5.3360588677947343</v>
      </c>
      <c r="BZ14" s="14">
        <f>BY14*VLOOKUP('Données projet'!$B$12,Paramètres!$A$1:$I$89,3,0)*VLOOKUP('Données projet'!$B$12,Paramètres!$A$1:$I$89,5,0)</f>
        <v>5.1610361369310676</v>
      </c>
      <c r="CA14" s="14">
        <f t="shared" si="39"/>
        <v>1.9648363752047393</v>
      </c>
      <c r="CB14" s="22">
        <f t="shared" si="10"/>
        <v>12.410894625303198</v>
      </c>
      <c r="CC14" s="60">
        <f t="shared" si="11"/>
        <v>282.52200573641431</v>
      </c>
      <c r="CD14" s="60">
        <f ca="1">AVERAGE(OFFSET($CC$3,0,0,'Données projet'!$E$12+1,1))-AVERAGE(OFFSET($H$3,0,0,'Données projet'!$E$12+1,1))</f>
        <v>255.59755832175625</v>
      </c>
      <c r="CE14" s="60">
        <f t="shared" si="40"/>
        <v>154.0840647586964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1.05</v>
      </c>
      <c r="CT14" s="13">
        <f>IF('Données projet'!$A$140&gt;35,CT13+CS14-DB13,IF(A14&lt;'Données projet'!$A$140,$CQ$205^A14,IF(A14='Données projet'!$A$140,'Données projet'!$B$140,CT13+CS14-DB13)))</f>
        <v>5.3360588677947343</v>
      </c>
      <c r="CU14" s="18">
        <f>CT14*VLOOKUP('Données projet'!$B$13,Paramètres!$A$1:$I$89,3,0)*VLOOKUP('Données projet'!$B$13,Paramètres!$A$1:$I$89,5,0)</f>
        <v>5.7437337652942517</v>
      </c>
      <c r="CV14" s="14">
        <f t="shared" si="41"/>
        <v>2.1596140756978057</v>
      </c>
      <c r="CW14" s="22">
        <f t="shared" si="13"/>
        <v>13.764997489727833</v>
      </c>
      <c r="CX14" s="60">
        <f t="shared" si="14"/>
        <v>283.87610860083896</v>
      </c>
      <c r="CY14" s="60">
        <f ca="1">AVERAGE(OFFSET($CX$3,0,0,'Données projet'!$E$13+1,1))-AVERAGE(OFFSET($H$3,0,0,'Données projet'!$E$13+1,1))</f>
        <v>280.20599015000306</v>
      </c>
      <c r="CZ14" s="60">
        <f t="shared" si="42"/>
        <v>166.97658184507787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2.7777777777777777</v>
      </c>
      <c r="DO14" s="13">
        <f>IF('Données projet'!$A$166&gt;35,DO13+DN14-DW13,IF(A14&lt;'Données projet'!$A$166,$DL$205^A14,IF(A14='Données projet'!$A$166,'Données projet'!$B$166,DO13+DN14-DW13)))</f>
        <v>15.41150634461092</v>
      </c>
      <c r="DP14" s="18">
        <f>DO14*VLOOKUP('Données projet'!$B$14,Paramètres!$A$1:$I$89,3,0)*VLOOKUP('Données projet'!$B$14,Paramètres!$A$1:$I$89,5,0)</f>
        <v>10.338038455965005</v>
      </c>
      <c r="DQ14" s="14">
        <f t="shared" si="43"/>
        <v>3.6300249355984251</v>
      </c>
      <c r="DR14" s="22">
        <f t="shared" si="16"/>
        <v>24.327710406972969</v>
      </c>
      <c r="DS14" s="60">
        <f t="shared" si="17"/>
        <v>294.43882151808413</v>
      </c>
      <c r="DT14" s="60">
        <f ca="1">AVERAGE(OFFSET($DS$3,0,0,'Données projet'!$E$14+1,1))-AVERAGE(OFFSET($H$3,0,0,'Données projet'!$E$14+1,1))</f>
        <v>291.18686311753402</v>
      </c>
      <c r="DU14" s="60">
        <f t="shared" si="44"/>
        <v>215.44422413249839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2.1333333333333333</v>
      </c>
      <c r="EJ14" s="13">
        <f>IF('Données projet'!$A$192&gt;35,EJ13+EI14-ER13,IF(A14&lt;'Données projet'!$A$192,$EG$205^A14,IF(A14='Données projet'!$A$192,'Données projet'!$B$192,EJ13+EI14-ER13)))</f>
        <v>12.6992084157456</v>
      </c>
      <c r="EK14" s="18">
        <f>EJ14*VLOOKUP('Données projet'!$B$15,Paramètres!$A$1:$I$89,3,0)*VLOOKUP('Données projet'!$B$15,Paramètres!$A$1:$I$89,5,0)</f>
        <v>10.301597866852832</v>
      </c>
      <c r="EL14" s="14">
        <f t="shared" si="45"/>
        <v>3.6187165199035083</v>
      </c>
      <c r="EM14" s="22">
        <f t="shared" si="19"/>
        <v>24.244547556933963</v>
      </c>
      <c r="EN14" s="60">
        <f t="shared" si="20"/>
        <v>294.35565866804512</v>
      </c>
      <c r="EO14" s="60">
        <f ca="1">AVERAGE(OFFSET($EN$3,0,0,'Données projet'!$E$15+1,1))-AVERAGE(OFFSET($H$3,0,0,'Données projet'!$E$15+1,1))</f>
        <v>236.22643401787644</v>
      </c>
      <c r="EP14" s="60">
        <f t="shared" si="46"/>
        <v>188.80444043778022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8">
        <f t="shared" si="1"/>
        <v>256.66666666666669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183.6</v>
      </c>
      <c r="L15" s="13">
        <f>VLOOKUP(A15,'Données projet'!$A$35:$I$55,9,0)</f>
        <v>26.519999999999982</v>
      </c>
      <c r="M15" s="13">
        <f t="array" ref="M15">INDEX(L:L,MIN(IF(ISNUMBER(L15:L211),ROW(L15:L211),"")))</f>
        <v>26.519999999999982</v>
      </c>
      <c r="N15" s="14">
        <f>IF('Données projet'!$A$36&gt;35,N14+M15-V14,IF(A15&lt;'Données projet'!$A$36,$K$205^A15,IF(A15='Données projet'!$A$36,'Données projet'!$B$36,N14+M15-V14)))</f>
        <v>183.6</v>
      </c>
      <c r="O15" s="14">
        <f>N15*VLOOKUP('Données projet'!$B$9,Paramètres!$A$1:$I$89,3,0)*VLOOKUP('Données projet'!$B$9,Paramètres!$A$1:$I$89,5,0)</f>
        <v>93.371616000000003</v>
      </c>
      <c r="P15" s="14">
        <f t="shared" si="33"/>
        <v>25.376628896295099</v>
      </c>
      <c r="Q15" s="22">
        <f t="shared" si="2"/>
        <v>206.81985986104726</v>
      </c>
      <c r="R15" s="60">
        <f t="shared" si="0"/>
        <v>478.15319319438061</v>
      </c>
      <c r="S15" s="60">
        <f ca="1">AVERAGE(OFFSET($R$3,0,0,'Données projet'!$E$9+1,1))-AVERAGE(OFFSET($H$3,0,0,'Données projet'!$E$9+1,1))</f>
        <v>144.55635559713392</v>
      </c>
      <c r="T15" s="60">
        <f t="shared" si="34"/>
        <v>349.14692715126904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8.521227615514638</v>
      </c>
      <c r="AK15" s="14">
        <f t="shared" si="35"/>
        <v>3.0601574970852128</v>
      </c>
      <c r="AL15" s="22">
        <f t="shared" si="4"/>
        <v>20.170912404444739</v>
      </c>
      <c r="AM15" s="60">
        <f t="shared" si="5"/>
        <v>291.50424573777804</v>
      </c>
      <c r="AN15" s="60">
        <f ca="1">AVERAGE(OFFSET($AM$3,0,0,'Données projet'!$E$10+1,1))-AVERAGE(OFFSET($H$3,0,0,'Données projet'!$E$10+1,1))</f>
        <v>428.8489304403459</v>
      </c>
      <c r="AO15" s="60">
        <f t="shared" si="36"/>
        <v>247.01165577562966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9.5496516380767513</v>
      </c>
      <c r="BF15" s="14">
        <f t="shared" si="37"/>
        <v>3.3843014943027487</v>
      </c>
      <c r="BG15" s="22">
        <f t="shared" si="7"/>
        <v>22.526635038894295</v>
      </c>
      <c r="BH15" s="60">
        <f t="shared" si="8"/>
        <v>293.85996837222763</v>
      </c>
      <c r="BI15" s="60">
        <f ca="1">AVERAGE(OFFSET($BH$3,0,0,'Données projet'!$E$11+1,1))-AVERAGE(OFFSET($H$3,0,0,'Données projet'!$E$11+1,1))</f>
        <v>475.47920969424894</v>
      </c>
      <c r="BJ15" s="60">
        <f t="shared" si="38"/>
        <v>271.73544012419364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1.05</v>
      </c>
      <c r="BY15" s="13">
        <f>IF('Données projet'!$A$114&gt;35,BY14+BX15-CG14,IF(A15&lt;'Données projet'!$A$114,$BV$205^A15,IF(A15='Données projet'!$A$114,'Données projet'!$B$114,BY14+BX15-CG14)))</f>
        <v>6.213432387360748</v>
      </c>
      <c r="BZ15" s="14">
        <f>BY15*VLOOKUP('Données projet'!$B$12,Paramètres!$A$1:$I$89,3,0)*VLOOKUP('Données projet'!$B$12,Paramètres!$A$1:$I$89,5,0)</f>
        <v>6.0096318050553155</v>
      </c>
      <c r="CA15" s="14">
        <f t="shared" si="39"/>
        <v>2.2477191108542129</v>
      </c>
      <c r="CB15" s="22">
        <f t="shared" si="10"/>
        <v>14.381552845209095</v>
      </c>
      <c r="CC15" s="60">
        <f t="shared" si="11"/>
        <v>285.71488617854243</v>
      </c>
      <c r="CD15" s="60">
        <f ca="1">AVERAGE(OFFSET($CC$3,0,0,'Données projet'!$E$12+1,1))-AVERAGE(OFFSET($H$3,0,0,'Données projet'!$E$12+1,1))</f>
        <v>255.59755832175625</v>
      </c>
      <c r="CE15" s="60">
        <f t="shared" si="40"/>
        <v>154.0840647586964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1.05</v>
      </c>
      <c r="CT15" s="13">
        <f>IF('Données projet'!$A$140&gt;35,CT14+CS15-DB14,IF(A15&lt;'Données projet'!$A$140,$CQ$205^A15,IF(A15='Données projet'!$A$140,'Données projet'!$B$140,CT14+CS15-DB14)))</f>
        <v>6.213432387360748</v>
      </c>
      <c r="CU15" s="18">
        <f>CT15*VLOOKUP('Données projet'!$B$13,Paramètres!$A$1:$I$89,3,0)*VLOOKUP('Données projet'!$B$13,Paramètres!$A$1:$I$89,5,0)</f>
        <v>6.6881386217551091</v>
      </c>
      <c r="CV15" s="14">
        <f t="shared" si="41"/>
        <v>2.4705394766064934</v>
      </c>
      <c r="CW15" s="22">
        <f t="shared" si="13"/>
        <v>15.951364354646456</v>
      </c>
      <c r="CX15" s="60">
        <f t="shared" si="14"/>
        <v>287.28469768797976</v>
      </c>
      <c r="CY15" s="60">
        <f ca="1">AVERAGE(OFFSET($CX$3,0,0,'Données projet'!$E$13+1,1))-AVERAGE(OFFSET($H$3,0,0,'Données projet'!$E$13+1,1))</f>
        <v>280.20599015000306</v>
      </c>
      <c r="CZ15" s="60">
        <f t="shared" si="42"/>
        <v>166.97658184507787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2.7777777777777777</v>
      </c>
      <c r="DO15" s="13">
        <f>IF('Données projet'!$A$166&gt;35,DO14+DN15-DW14,IF(A15&lt;'Données projet'!$A$166,$DL$205^A15,IF(A15='Données projet'!$A$166,'Données projet'!$B$166,DO14+DN15-DW14)))</f>
        <v>19.762005081494262</v>
      </c>
      <c r="DP15" s="18">
        <f>DO15*VLOOKUP('Données projet'!$B$14,Paramètres!$A$1:$I$89,3,0)*VLOOKUP('Données projet'!$B$14,Paramètres!$A$1:$I$89,5,0)</f>
        <v>13.256353008666352</v>
      </c>
      <c r="DQ15" s="14">
        <f t="shared" si="43"/>
        <v>4.5219521742655813</v>
      </c>
      <c r="DR15" s="22">
        <f t="shared" si="16"/>
        <v>30.963881526939787</v>
      </c>
      <c r="DS15" s="60">
        <f t="shared" si="17"/>
        <v>302.29721486027313</v>
      </c>
      <c r="DT15" s="60">
        <f ca="1">AVERAGE(OFFSET($DS$3,0,0,'Données projet'!$E$14+1,1))-AVERAGE(OFFSET($H$3,0,0,'Données projet'!$E$14+1,1))</f>
        <v>291.18686311753402</v>
      </c>
      <c r="DU15" s="60">
        <f t="shared" si="44"/>
        <v>215.44422413249839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2.1333333333333333</v>
      </c>
      <c r="EJ15" s="13">
        <f>IF('Données projet'!$A$192&gt;35,EJ14+EI15-ER14,IF(A15&lt;'Données projet'!$A$192,$EG$205^A15,IF(A15='Données projet'!$A$192,'Données projet'!$B$192,EJ14+EI15-ER14)))</f>
        <v>16.000000000000007</v>
      </c>
      <c r="EK15" s="18">
        <f>EJ15*VLOOKUP('Données projet'!$B$15,Paramètres!$A$1:$I$89,3,0)*VLOOKUP('Données projet'!$B$15,Paramètres!$A$1:$I$89,5,0)</f>
        <v>12.979200000000006</v>
      </c>
      <c r="EL15" s="14">
        <f t="shared" si="45"/>
        <v>4.4383130477080988</v>
      </c>
      <c r="EM15" s="22">
        <f t="shared" si="19"/>
        <v>30.335501891424943</v>
      </c>
      <c r="EN15" s="60">
        <f t="shared" si="20"/>
        <v>301.66883522475825</v>
      </c>
      <c r="EO15" s="60">
        <f ca="1">AVERAGE(OFFSET($EN$3,0,0,'Données projet'!$E$15+1,1))-AVERAGE(OFFSET($H$3,0,0,'Données projet'!$E$15+1,1))</f>
        <v>236.22643401787644</v>
      </c>
      <c r="EP15" s="60">
        <f t="shared" si="46"/>
        <v>188.80444043778022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8">
        <f t="shared" si="1"/>
        <v>256.66666666666669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208.08</v>
      </c>
      <c r="L16" s="13">
        <f>VLOOKUP(A16,'Données projet'!$A$35:$I$55,9,0)</f>
        <v>24.480000000000018</v>
      </c>
      <c r="M16" s="13">
        <f t="array" ref="M16">INDEX(L:L,MIN(IF(ISNUMBER(L16:L212),ROW(L16:L212),"")))</f>
        <v>24.480000000000018</v>
      </c>
      <c r="N16" s="14">
        <f>IF('Données projet'!$A$36&gt;35,N15+M16-V15,IF(A16&lt;'Données projet'!$A$36,$K$205^A16,IF(A16='Données projet'!$A$36,'Données projet'!$B$36,N15+M16-V15)))</f>
        <v>208.08</v>
      </c>
      <c r="O16" s="14">
        <f>N16*VLOOKUP('Données projet'!$B$9,Paramètres!$A$1:$I$89,3,0)*VLOOKUP('Données projet'!$B$9,Paramètres!$A$1:$I$89,5,0)</f>
        <v>105.82116480000001</v>
      </c>
      <c r="P16" s="14">
        <f t="shared" si="33"/>
        <v>28.344210137812507</v>
      </c>
      <c r="Q16" s="22">
        <f t="shared" si="2"/>
        <v>233.67136135002343</v>
      </c>
      <c r="R16" s="60">
        <f t="shared" si="0"/>
        <v>506.22691690557895</v>
      </c>
      <c r="S16" s="60">
        <f ca="1">AVERAGE(OFFSET($R$3,0,0,'Données projet'!$E$9+1,1))-AVERAGE(OFFSET($H$3,0,0,'Données projet'!$E$9+1,1))</f>
        <v>144.55635559713392</v>
      </c>
      <c r="T16" s="60">
        <f t="shared" si="34"/>
        <v>349.14692715126904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10.272227535089344</v>
      </c>
      <c r="AK16" s="14">
        <f t="shared" si="35"/>
        <v>3.6095987912522753</v>
      </c>
      <c r="AL16" s="22">
        <f t="shared" si="4"/>
        <v>24.177514185044988</v>
      </c>
      <c r="AM16" s="60">
        <f t="shared" si="5"/>
        <v>296.73306974060051</v>
      </c>
      <c r="AN16" s="60">
        <f ca="1">AVERAGE(OFFSET($AM$3,0,0,'Données projet'!$E$10+1,1))-AVERAGE(OFFSET($H$3,0,0,'Données projet'!$E$10+1,1))</f>
        <v>428.8489304403459</v>
      </c>
      <c r="AO16" s="60">
        <f t="shared" si="36"/>
        <v>247.01165577562966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11.511979134151852</v>
      </c>
      <c r="BF16" s="14">
        <f t="shared" si="37"/>
        <v>3.9919417855793822</v>
      </c>
      <c r="BG16" s="22">
        <f t="shared" si="7"/>
        <v>27.002662268531896</v>
      </c>
      <c r="BH16" s="60">
        <f t="shared" si="8"/>
        <v>299.55821782408742</v>
      </c>
      <c r="BI16" s="60">
        <f ca="1">AVERAGE(OFFSET($BH$3,0,0,'Données projet'!$E$11+1,1))-AVERAGE(OFFSET($H$3,0,0,'Données projet'!$E$11+1,1))</f>
        <v>475.47920969424894</v>
      </c>
      <c r="BJ16" s="60">
        <f t="shared" si="38"/>
        <v>271.73544012419364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1.05</v>
      </c>
      <c r="BY16" s="13">
        <f>IF('Données projet'!$A$114&gt;35,BY15+BX16-CG15,IF(A16&lt;'Données projet'!$A$114,$BV$205^A16,IF(A16='Données projet'!$A$114,'Données projet'!$B$114,BY15+BX16-CG15)))</f>
        <v>7.235066739107908</v>
      </c>
      <c r="BZ16" s="14">
        <f>BY16*VLOOKUP('Données projet'!$B$12,Paramètres!$A$1:$I$89,3,0)*VLOOKUP('Données projet'!$B$12,Paramètres!$A$1:$I$89,5,0)</f>
        <v>6.9977565500651693</v>
      </c>
      <c r="CA16" s="14">
        <f t="shared" si="39"/>
        <v>2.5713292287622704</v>
      </c>
      <c r="CB16" s="22">
        <f t="shared" si="10"/>
        <v>16.666157731457787</v>
      </c>
      <c r="CC16" s="60">
        <f t="shared" si="11"/>
        <v>289.22171328701336</v>
      </c>
      <c r="CD16" s="60">
        <f ca="1">AVERAGE(OFFSET($CC$3,0,0,'Données projet'!$E$12+1,1))-AVERAGE(OFFSET($H$3,0,0,'Données projet'!$E$12+1,1))</f>
        <v>255.59755832175625</v>
      </c>
      <c r="CE16" s="60">
        <f t="shared" si="40"/>
        <v>154.0840647586964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1.05</v>
      </c>
      <c r="CT16" s="13">
        <f>IF('Données projet'!$A$140&gt;35,CT15+CS16-DB15,IF(A16&lt;'Données projet'!$A$140,$CQ$205^A16,IF(A16='Données projet'!$A$140,'Données projet'!$B$140,CT15+CS16-DB15)))</f>
        <v>7.235066739107908</v>
      </c>
      <c r="CU16" s="18">
        <f>CT16*VLOOKUP('Données projet'!$B$13,Paramètres!$A$1:$I$89,3,0)*VLOOKUP('Données projet'!$B$13,Paramètres!$A$1:$I$89,5,0)</f>
        <v>7.7878258379757526</v>
      </c>
      <c r="CV16" s="14">
        <f t="shared" si="41"/>
        <v>2.8262296371164966</v>
      </c>
      <c r="CW16" s="22">
        <f t="shared" si="13"/>
        <v>18.486146619119001</v>
      </c>
      <c r="CX16" s="60">
        <f t="shared" si="14"/>
        <v>291.04170217467453</v>
      </c>
      <c r="CY16" s="60">
        <f ca="1">AVERAGE(OFFSET($CX$3,0,0,'Données projet'!$E$13+1,1))-AVERAGE(OFFSET($H$3,0,0,'Données projet'!$E$13+1,1))</f>
        <v>280.20599015000306</v>
      </c>
      <c r="CZ16" s="60">
        <f t="shared" si="42"/>
        <v>166.97658184507787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2.7777777777777777</v>
      </c>
      <c r="DO16" s="13">
        <f>IF('Données projet'!$A$166&gt;35,DO15+DN16-DW15,IF(A16&lt;'Données projet'!$A$166,$DL$205^A16,IF(A16='Données projet'!$A$166,'Données projet'!$B$166,DO15+DN16-DW15)))</f>
        <v>25.340601762628324</v>
      </c>
      <c r="DP16" s="18">
        <f>DO16*VLOOKUP('Données projet'!$B$14,Paramètres!$A$1:$I$89,3,0)*VLOOKUP('Données projet'!$B$14,Paramètres!$A$1:$I$89,5,0)</f>
        <v>16.998475662371082</v>
      </c>
      <c r="DQ16" s="14">
        <f t="shared" si="43"/>
        <v>5.6330333342391405</v>
      </c>
      <c r="DR16" s="22">
        <f t="shared" si="16"/>
        <v>39.416544835762807</v>
      </c>
      <c r="DS16" s="60">
        <f t="shared" si="17"/>
        <v>311.97210039131835</v>
      </c>
      <c r="DT16" s="60">
        <f ca="1">AVERAGE(OFFSET($DS$3,0,0,'Données projet'!$E$14+1,1))-AVERAGE(OFFSET($H$3,0,0,'Données projet'!$E$14+1,1))</f>
        <v>291.18686311753402</v>
      </c>
      <c r="DU16" s="60">
        <f t="shared" si="44"/>
        <v>215.44422413249839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2.1333333333333333</v>
      </c>
      <c r="EJ16" s="13">
        <f>IF('Données projet'!$A$192&gt;35,EJ15+EI16-ER15,IF(A16&lt;'Données projet'!$A$192,$EG$205^A16,IF(A16='Données projet'!$A$192,'Données projet'!$B$192,EJ15+EI16-ER15)))</f>
        <v>20.158736798317982</v>
      </c>
      <c r="EK16" s="18">
        <f>EJ16*VLOOKUP('Données projet'!$B$15,Paramètres!$A$1:$I$89,3,0)*VLOOKUP('Données projet'!$B$15,Paramètres!$A$1:$I$89,5,0)</f>
        <v>16.352767290795548</v>
      </c>
      <c r="EL16" s="14">
        <f t="shared" si="45"/>
        <v>5.4435385035303101</v>
      </c>
      <c r="EM16" s="22">
        <f t="shared" si="19"/>
        <v>37.961899258450863</v>
      </c>
      <c r="EN16" s="60">
        <f t="shared" si="20"/>
        <v>310.51745481400638</v>
      </c>
      <c r="EO16" s="60">
        <f ca="1">AVERAGE(OFFSET($EN$3,0,0,'Données projet'!$E$15+1,1))-AVERAGE(OFFSET($H$3,0,0,'Données projet'!$E$15+1,1))</f>
        <v>236.22643401787644</v>
      </c>
      <c r="EP16" s="60">
        <f t="shared" si="46"/>
        <v>188.80444043778022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8">
        <f t="shared" si="1"/>
        <v>256.66666666666669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>
        <f>VLOOKUP(A17,'Données projet'!$A$35:$I$55,2,0)</f>
        <v>230.52</v>
      </c>
      <c r="L17" s="13">
        <f>VLOOKUP(A17,'Données projet'!$A$35:$I$55,9,0)</f>
        <v>22.439999999999998</v>
      </c>
      <c r="M17" s="13">
        <f t="array" ref="M17">INDEX(L:L,MIN(IF(ISNUMBER(L17:L213),ROW(L17:L213),"")))</f>
        <v>22.439999999999998</v>
      </c>
      <c r="N17" s="14">
        <f>IF('Données projet'!$A$36&gt;35,N16+M17-V16,IF(A17&lt;'Données projet'!$A$36,$K$205^A17,IF(A17='Données projet'!$A$36,'Données projet'!$B$36,N16+M17-V16)))</f>
        <v>230.52</v>
      </c>
      <c r="O17" s="14">
        <f>N17*VLOOKUP('Données projet'!$B$9,Paramètres!$A$1:$I$89,3,0)*VLOOKUP('Données projet'!$B$9,Paramètres!$A$1:$I$89,5,0)</f>
        <v>117.23325120000001</v>
      </c>
      <c r="P17" s="14">
        <f t="shared" si="33"/>
        <v>31.028827141203504</v>
      </c>
      <c r="Q17" s="22">
        <f t="shared" si="2"/>
        <v>258.22311977759608</v>
      </c>
      <c r="R17" s="60">
        <f t="shared" si="0"/>
        <v>532.00089755537385</v>
      </c>
      <c r="S17" s="60">
        <f ca="1">AVERAGE(OFFSET($R$3,0,0,'Données projet'!$E$9+1,1))-AVERAGE(OFFSET($H$3,0,0,'Données projet'!$E$9+1,1))</f>
        <v>144.55635559713392</v>
      </c>
      <c r="T17" s="60">
        <f t="shared" si="34"/>
        <v>349.14692715126904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12.383034850580612</v>
      </c>
      <c r="AK17" s="14">
        <f t="shared" si="35"/>
        <v>4.2576904771143838</v>
      </c>
      <c r="AL17" s="22">
        <f t="shared" si="4"/>
        <v>28.982596612402116</v>
      </c>
      <c r="AM17" s="60">
        <f t="shared" si="5"/>
        <v>302.76037439017989</v>
      </c>
      <c r="AN17" s="60">
        <f ca="1">AVERAGE(OFFSET($AM$3,0,0,'Données projet'!$E$10+1,1))-AVERAGE(OFFSET($H$3,0,0,'Données projet'!$E$10+1,1))</f>
        <v>428.8489304403459</v>
      </c>
      <c r="AO17" s="60">
        <f t="shared" si="36"/>
        <v>247.01165577562966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13.877539056685173</v>
      </c>
      <c r="BF17" s="14">
        <f t="shared" si="37"/>
        <v>4.7086819085950955</v>
      </c>
      <c r="BG17" s="22">
        <f t="shared" si="7"/>
        <v>32.371001514529802</v>
      </c>
      <c r="BH17" s="60">
        <f t="shared" si="8"/>
        <v>306.14877929230755</v>
      </c>
      <c r="BI17" s="60">
        <f ca="1">AVERAGE(OFFSET($BH$3,0,0,'Données projet'!$E$11+1,1))-AVERAGE(OFFSET($H$3,0,0,'Données projet'!$E$11+1,1))</f>
        <v>475.47920969424894</v>
      </c>
      <c r="BJ17" s="60">
        <f t="shared" si="38"/>
        <v>271.73544012419364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1.05</v>
      </c>
      <c r="BY17" s="13">
        <f>IF('Données projet'!$A$114&gt;35,BY16+BX17-CG16,IF(A17&lt;'Données projet'!$A$114,$BV$205^A17,IF(A17='Données projet'!$A$114,'Données projet'!$B$114,BY16+BX17-CG16)))</f>
        <v>8.4246817951744681</v>
      </c>
      <c r="BZ17" s="14">
        <f>BY17*VLOOKUP('Données projet'!$B$12,Paramètres!$A$1:$I$89,3,0)*VLOOKUP('Données projet'!$B$12,Paramètres!$A$1:$I$89,5,0)</f>
        <v>8.148352232292746</v>
      </c>
      <c r="CA17" s="14">
        <f t="shared" si="39"/>
        <v>2.9415303588242718</v>
      </c>
      <c r="CB17" s="22">
        <f t="shared" si="10"/>
        <v>19.314878846195473</v>
      </c>
      <c r="CC17" s="60">
        <f t="shared" si="11"/>
        <v>293.09265662397326</v>
      </c>
      <c r="CD17" s="60">
        <f ca="1">AVERAGE(OFFSET($CC$3,0,0,'Données projet'!$E$12+1,1))-AVERAGE(OFFSET($H$3,0,0,'Données projet'!$E$12+1,1))</f>
        <v>255.59755832175625</v>
      </c>
      <c r="CE17" s="60">
        <f t="shared" si="40"/>
        <v>154.0840647586964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1.05</v>
      </c>
      <c r="CT17" s="13">
        <f>IF('Données projet'!$A$140&gt;35,CT16+CS17-DB16,IF(A17&lt;'Données projet'!$A$140,$CQ$205^A17,IF(A17='Données projet'!$A$140,'Données projet'!$B$140,CT16+CS17-DB16)))</f>
        <v>8.4246817951744681</v>
      </c>
      <c r="CU17" s="18">
        <f>CT17*VLOOKUP('Données projet'!$B$13,Paramètres!$A$1:$I$89,3,0)*VLOOKUP('Données projet'!$B$13,Paramètres!$A$1:$I$89,5,0)</f>
        <v>9.0683274843257973</v>
      </c>
      <c r="CV17" s="14">
        <f t="shared" si="41"/>
        <v>3.2331294591120168</v>
      </c>
      <c r="CW17" s="22">
        <f t="shared" si="13"/>
        <v>21.425037509820857</v>
      </c>
      <c r="CX17" s="60">
        <f t="shared" si="14"/>
        <v>295.20281528759864</v>
      </c>
      <c r="CY17" s="60">
        <f ca="1">AVERAGE(OFFSET($CX$3,0,0,'Données projet'!$E$13+1,1))-AVERAGE(OFFSET($H$3,0,0,'Données projet'!$E$13+1,1))</f>
        <v>280.20599015000306</v>
      </c>
      <c r="CZ17" s="60">
        <f t="shared" si="42"/>
        <v>166.97658184507787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2.7777777777777777</v>
      </c>
      <c r="DO17" s="13">
        <f>IF('Données projet'!$A$166&gt;35,DO16+DN17-DW16,IF(A17&lt;'Données projet'!$A$166,$DL$205^A17,IF(A17='Données projet'!$A$166,'Données projet'!$B$166,DO16+DN17-DW16)))</f>
        <v>32.493974930380247</v>
      </c>
      <c r="DP17" s="18">
        <f>DO17*VLOOKUP('Données projet'!$B$14,Paramètres!$A$1:$I$89,3,0)*VLOOKUP('Données projet'!$B$14,Paramètres!$A$1:$I$89,5,0)</f>
        <v>21.796958383299071</v>
      </c>
      <c r="DQ17" s="14">
        <f t="shared" si="43"/>
        <v>7.0171163519222377</v>
      </c>
      <c r="DR17" s="22">
        <f t="shared" si="16"/>
        <v>50.184513497177107</v>
      </c>
      <c r="DS17" s="60">
        <f t="shared" si="17"/>
        <v>323.96229127495485</v>
      </c>
      <c r="DT17" s="60">
        <f ca="1">AVERAGE(OFFSET($DS$3,0,0,'Données projet'!$E$14+1,1))-AVERAGE(OFFSET($H$3,0,0,'Données projet'!$E$14+1,1))</f>
        <v>291.18686311753402</v>
      </c>
      <c r="DU17" s="60">
        <f t="shared" si="44"/>
        <v>215.44422413249839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2.1333333333333333</v>
      </c>
      <c r="EJ17" s="13">
        <f>IF('Données projet'!$A$192&gt;35,EJ16+EI17-ER16,IF(A17&lt;'Données projet'!$A$192,$EG$205^A17,IF(A17='Données projet'!$A$192,'Données projet'!$B$192,EJ16+EI17-ER16)))</f>
        <v>25.398416831491208</v>
      </c>
      <c r="EK17" s="18">
        <f>EJ17*VLOOKUP('Données projet'!$B$15,Paramètres!$A$1:$I$89,3,0)*VLOOKUP('Données projet'!$B$15,Paramètres!$A$1:$I$89,5,0)</f>
        <v>20.603195733705668</v>
      </c>
      <c r="EL17" s="14">
        <f t="shared" si="45"/>
        <v>6.6764356459080147</v>
      </c>
      <c r="EM17" s="22">
        <f t="shared" si="19"/>
        <v>47.512024652827165</v>
      </c>
      <c r="EN17" s="60">
        <f t="shared" si="20"/>
        <v>321.28980243060494</v>
      </c>
      <c r="EO17" s="60">
        <f ca="1">AVERAGE(OFFSET($EN$3,0,0,'Données projet'!$E$15+1,1))-AVERAGE(OFFSET($H$3,0,0,'Données projet'!$E$15+1,1))</f>
        <v>236.22643401787644</v>
      </c>
      <c r="EP17" s="60">
        <f t="shared" si="46"/>
        <v>188.80444043778022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8">
        <f t="shared" si="1"/>
        <v>256.66666666666669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248.88</v>
      </c>
      <c r="L18" s="13">
        <f>VLOOKUP(A18,'Données projet'!$A$35:$I$55,9,0)</f>
        <v>18.359999999999985</v>
      </c>
      <c r="M18" s="13">
        <f t="array" ref="M18">INDEX(L:L,MIN(IF(ISNUMBER(L18:L214),ROW(L18:L214),"")))</f>
        <v>18.359999999999985</v>
      </c>
      <c r="N18" s="14">
        <f>IF('Données projet'!$A$36&gt;35,N17+M18-V17,IF(A18&lt;'Données projet'!$A$36,$K$205^A18,IF(A18='Données projet'!$A$36,'Données projet'!$B$36,N17+M18-V17)))</f>
        <v>248.88</v>
      </c>
      <c r="O18" s="14">
        <f>N18*VLOOKUP('Données projet'!$B$9,Paramètres!$A$1:$I$89,3,0)*VLOOKUP('Données projet'!$B$9,Paramètres!$A$1:$I$89,5,0)</f>
        <v>126.5704128</v>
      </c>
      <c r="P18" s="14">
        <f t="shared" si="33"/>
        <v>33.202653541641723</v>
      </c>
      <c r="Q18" s="22">
        <f t="shared" si="2"/>
        <v>278.27142387835931</v>
      </c>
      <c r="R18" s="60">
        <f t="shared" si="0"/>
        <v>553.27142387835931</v>
      </c>
      <c r="S18" s="60">
        <f ca="1">AVERAGE(OFFSET($R$3,0,0,'Données projet'!$E$9+1,1))-AVERAGE(OFFSET($H$3,0,0,'Données projet'!$E$9+1,1))</f>
        <v>144.55635559713392</v>
      </c>
      <c r="T18" s="60">
        <f t="shared" si="34"/>
        <v>349.14692715126904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14.927585237660953</v>
      </c>
      <c r="AK18" s="14">
        <f t="shared" si="35"/>
        <v>5.0221449106318534</v>
      </c>
      <c r="AL18" s="22">
        <f t="shared" si="4"/>
        <v>34.745780008276633</v>
      </c>
      <c r="AM18" s="60">
        <f t="shared" si="5"/>
        <v>309.74578000827665</v>
      </c>
      <c r="AN18" s="60">
        <f ca="1">AVERAGE(OFFSET($AM$3,0,0,'Données projet'!$E$10+1,1))-AVERAGE(OFFSET($H$3,0,0,'Données projet'!$E$10+1,1))</f>
        <v>428.8489304403459</v>
      </c>
      <c r="AO18" s="60">
        <f t="shared" si="36"/>
        <v>247.01165577562966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16.729190352551068</v>
      </c>
      <c r="BF18" s="14">
        <f t="shared" si="37"/>
        <v>5.5541103821765283</v>
      </c>
      <c r="BG18" s="22">
        <f t="shared" si="7"/>
        <v>38.810082112983899</v>
      </c>
      <c r="BH18" s="60">
        <f t="shared" si="8"/>
        <v>313.81008211298388</v>
      </c>
      <c r="BI18" s="60">
        <f ca="1">AVERAGE(OFFSET($BH$3,0,0,'Données projet'!$E$11+1,1))-AVERAGE(OFFSET($H$3,0,0,'Données projet'!$E$11+1,1))</f>
        <v>475.47920969424894</v>
      </c>
      <c r="BJ18" s="60">
        <f t="shared" si="38"/>
        <v>271.73544012419364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1.05</v>
      </c>
      <c r="BY18" s="13">
        <f>IF('Données projet'!$A$114&gt;35,BY17+BX18-CG17,IF(A18&lt;'Données projet'!$A$114,$BV$205^A18,IF(A18='Données projet'!$A$114,'Données projet'!$B$114,BY17+BX18-CG17)))</f>
        <v>9.8098975322922115</v>
      </c>
      <c r="BZ18" s="14">
        <f>BY18*VLOOKUP('Données projet'!$B$12,Paramètres!$A$1:$I$89,3,0)*VLOOKUP('Données projet'!$B$12,Paramètres!$A$1:$I$89,5,0)</f>
        <v>9.4881328932330273</v>
      </c>
      <c r="CA18" s="14">
        <f t="shared" si="39"/>
        <v>3.3650303333773621</v>
      </c>
      <c r="CB18" s="22">
        <f t="shared" si="10"/>
        <v>22.385925953013096</v>
      </c>
      <c r="CC18" s="60">
        <f t="shared" si="11"/>
        <v>297.3859259530131</v>
      </c>
      <c r="CD18" s="60">
        <f ca="1">AVERAGE(OFFSET($CC$3,0,0,'Données projet'!$E$12+1,1))-AVERAGE(OFFSET($H$3,0,0,'Données projet'!$E$12+1,1))</f>
        <v>255.59755832175625</v>
      </c>
      <c r="CE18" s="60">
        <f t="shared" si="40"/>
        <v>154.0840647586964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1.05</v>
      </c>
      <c r="CT18" s="13">
        <f>IF('Données projet'!$A$140&gt;35,CT17+CS18-DB17,IF(A18&lt;'Données projet'!$A$140,$CQ$205^A18,IF(A18='Données projet'!$A$140,'Données projet'!$B$140,CT17+CS18-DB17)))</f>
        <v>9.8098975322922115</v>
      </c>
      <c r="CU18" s="18">
        <f>CT18*VLOOKUP('Données projet'!$B$13,Paramètres!$A$1:$I$89,3,0)*VLOOKUP('Données projet'!$B$13,Paramètres!$A$1:$I$89,5,0)</f>
        <v>10.559373703759336</v>
      </c>
      <c r="CV18" s="14">
        <f t="shared" si="41"/>
        <v>3.6986117341982632</v>
      </c>
      <c r="CW18" s="22">
        <f t="shared" si="13"/>
        <v>24.832657971109484</v>
      </c>
      <c r="CX18" s="60">
        <f t="shared" si="14"/>
        <v>299.83265797110948</v>
      </c>
      <c r="CY18" s="60">
        <f ca="1">AVERAGE(OFFSET($CX$3,0,0,'Données projet'!$E$13+1,1))-AVERAGE(OFFSET($H$3,0,0,'Données projet'!$E$13+1,1))</f>
        <v>280.20599015000306</v>
      </c>
      <c r="CZ18" s="60">
        <f t="shared" si="42"/>
        <v>166.97658184507787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41.666666666666664</v>
      </c>
      <c r="DM18" s="13">
        <f>VLOOKUP(A18,'Données projet'!$A$165:$I$185,9,0)</f>
        <v>2.7777777777777777</v>
      </c>
      <c r="DN18" s="13">
        <f t="array" ref="DN18">INDEX(DM:DM,MIN(IF(ISNUMBER(DM18:DM214),ROW(DM18:DM214),"")))</f>
        <v>2.7777777777777777</v>
      </c>
      <c r="DO18" s="13">
        <f>IF('Données projet'!$A$166&gt;35,DO17+DN18-DW17,IF(A18&lt;'Données projet'!$A$166,$DL$205^A18,IF(A18='Données projet'!$A$166,'Données projet'!$B$166,DO17+DN18-DW17)))</f>
        <v>41.666666666666664</v>
      </c>
      <c r="DP18" s="18">
        <f>DO18*VLOOKUP('Données projet'!$B$14,Paramètres!$A$1:$I$89,3,0)*VLOOKUP('Données projet'!$B$14,Paramètres!$A$1:$I$89,5,0)</f>
        <v>27.949999999999996</v>
      </c>
      <c r="DQ18" s="14">
        <f t="shared" si="43"/>
        <v>8.7412800483747386</v>
      </c>
      <c r="DR18" s="22">
        <f t="shared" si="16"/>
        <v>63.903979417585994</v>
      </c>
      <c r="DS18" s="60">
        <f t="shared" si="17"/>
        <v>338.90397941758602</v>
      </c>
      <c r="DT18" s="60">
        <f ca="1">AVERAGE(OFFSET($DS$3,0,0,'Données projet'!$E$14+1,1))-AVERAGE(OFFSET($H$3,0,0,'Données projet'!$E$14+1,1))</f>
        <v>291.18686311753402</v>
      </c>
      <c r="DU18" s="60">
        <f t="shared" si="44"/>
        <v>215.44422413249839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32</v>
      </c>
      <c r="EH18" s="13">
        <f>VLOOKUP(A18,'Données projet'!$A$191:$I$211,9,0)</f>
        <v>2.1333333333333333</v>
      </c>
      <c r="EI18" s="13">
        <f t="array" ref="EI18">INDEX(EH:EH,MIN(IF(ISNUMBER(EH18:EH214),ROW(EH18:EH214),"")))</f>
        <v>2.1333333333333333</v>
      </c>
      <c r="EJ18" s="13">
        <f>IF('Données projet'!$A$192&gt;35,EJ17+EI18-ER17,IF(A18&lt;'Données projet'!$A$192,$EG$205^A18,IF(A18='Données projet'!$A$192,'Données projet'!$B$192,EJ17+EI18-ER17)))</f>
        <v>32</v>
      </c>
      <c r="EK18" s="18">
        <f>EJ18*VLOOKUP('Données projet'!$B$15,Paramètres!$A$1:$I$89,3,0)*VLOOKUP('Données projet'!$B$15,Paramètres!$A$1:$I$89,5,0)</f>
        <v>25.958400000000001</v>
      </c>
      <c r="EL18" s="14">
        <f t="shared" si="45"/>
        <v>8.1885694213502802</v>
      </c>
      <c r="EM18" s="22">
        <f t="shared" si="19"/>
        <v>59.472638408851729</v>
      </c>
      <c r="EN18" s="60">
        <f t="shared" si="20"/>
        <v>334.47263840885171</v>
      </c>
      <c r="EO18" s="60">
        <f ca="1">AVERAGE(OFFSET($EN$3,0,0,'Données projet'!$E$15+1,1))-AVERAGE(OFFSET($H$3,0,0,'Données projet'!$E$15+1,1))</f>
        <v>236.22643401787644</v>
      </c>
      <c r="EP18" s="60">
        <f t="shared" si="46"/>
        <v>188.80444043778022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8">
        <f t="shared" si="1"/>
        <v>256.66666666666669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265.2</v>
      </c>
      <c r="L19" s="13">
        <f>VLOOKUP(A19,'Données projet'!$A$35:$I$55,9,0)</f>
        <v>16.319999999999993</v>
      </c>
      <c r="M19" s="13">
        <f t="array" ref="M19">INDEX(L:L,MIN(IF(ISNUMBER(L19:L215),ROW(L19:L215),"")))</f>
        <v>16.319999999999993</v>
      </c>
      <c r="N19" s="14">
        <f>IF('Données projet'!$A$36&gt;35,N18+M19-V18,IF(A19&lt;'Données projet'!$A$36,$K$205^A19,IF(A19='Données projet'!$A$36,'Données projet'!$B$36,N18+M19-V18)))</f>
        <v>265.2</v>
      </c>
      <c r="O19" s="14">
        <f>N19*VLOOKUP('Données projet'!$B$9,Paramètres!$A$1:$I$89,3,0)*VLOOKUP('Données projet'!$B$9,Paramètres!$A$1:$I$89,5,0)</f>
        <v>134.87011200000001</v>
      </c>
      <c r="P19" s="14">
        <f t="shared" si="33"/>
        <v>35.119279176805222</v>
      </c>
      <c r="Q19" s="22">
        <f t="shared" si="2"/>
        <v>296.06485629960235</v>
      </c>
      <c r="R19" s="60">
        <f t="shared" si="0"/>
        <v>572.28707852182458</v>
      </c>
      <c r="S19" s="60">
        <f ca="1">AVERAGE(OFFSET($R$3,0,0,'Données projet'!$E$9+1,1))-AVERAGE(OFFSET($H$3,0,0,'Données projet'!$E$9+1,1))</f>
        <v>144.55635559713392</v>
      </c>
      <c r="T19" s="60">
        <f t="shared" si="34"/>
        <v>349.14692715126904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17.995007178485412</v>
      </c>
      <c r="AK19" s="14">
        <f t="shared" si="35"/>
        <v>5.9238546434872337</v>
      </c>
      <c r="AL19" s="22">
        <f t="shared" si="4"/>
        <v>41.658684339935689</v>
      </c>
      <c r="AM19" s="60">
        <f t="shared" si="5"/>
        <v>317.88090656215792</v>
      </c>
      <c r="AN19" s="60">
        <f ca="1">AVERAGE(OFFSET($AM$3,0,0,'Données projet'!$E$10+1,1))-AVERAGE(OFFSET($H$3,0,0,'Données projet'!$E$10+1,1))</f>
        <v>428.8489304403459</v>
      </c>
      <c r="AO19" s="60">
        <f t="shared" si="36"/>
        <v>247.01165577562966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20.166818389681932</v>
      </c>
      <c r="BF19" s="14">
        <f t="shared" si="37"/>
        <v>6.5513327797938032</v>
      </c>
      <c r="BG19" s="22">
        <f t="shared" si="7"/>
        <v>46.534113286836906</v>
      </c>
      <c r="BH19" s="60">
        <f t="shared" si="8"/>
        <v>322.75633550905911</v>
      </c>
      <c r="BI19" s="60">
        <f ca="1">AVERAGE(OFFSET($BH$3,0,0,'Données projet'!$E$11+1,1))-AVERAGE(OFFSET($H$3,0,0,'Données projet'!$E$11+1,1))</f>
        <v>475.47920969424894</v>
      </c>
      <c r="BJ19" s="60">
        <f t="shared" si="38"/>
        <v>271.73544012419364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1.05</v>
      </c>
      <c r="BY19" s="13">
        <f>IF('Données projet'!$A$114&gt;35,BY18+BX19-CG18,IF(A19&lt;'Données projet'!$A$114,$BV$205^A19,IF(A19='Données projet'!$A$114,'Données projet'!$B$114,BY18+BX19-CG18)))</f>
        <v>11.42287530066646</v>
      </c>
      <c r="BZ19" s="14">
        <f>BY19*VLOOKUP('Données projet'!$B$12,Paramètres!$A$1:$I$89,3,0)*VLOOKUP('Données projet'!$B$12,Paramètres!$A$1:$I$89,5,0)</f>
        <v>11.048204990804599</v>
      </c>
      <c r="CA19" s="14">
        <f t="shared" si="39"/>
        <v>3.8495027292785511</v>
      </c>
      <c r="CB19" s="22">
        <f t="shared" si="10"/>
        <v>25.946840945811488</v>
      </c>
      <c r="CC19" s="60">
        <f t="shared" si="11"/>
        <v>302.16906316803374</v>
      </c>
      <c r="CD19" s="60">
        <f ca="1">AVERAGE(OFFSET($CC$3,0,0,'Données projet'!$E$12+1,1))-AVERAGE(OFFSET($H$3,0,0,'Données projet'!$E$12+1,1))</f>
        <v>255.59755832175625</v>
      </c>
      <c r="CE19" s="60">
        <f t="shared" si="40"/>
        <v>154.0840647586964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1.05</v>
      </c>
      <c r="CT19" s="13">
        <f>IF('Données projet'!$A$140&gt;35,CT18+CS19-DB18,IF(A19&lt;'Données projet'!$A$140,$CQ$205^A19,IF(A19='Données projet'!$A$140,'Données projet'!$B$140,CT18+CS19-DB18)))</f>
        <v>11.42287530066646</v>
      </c>
      <c r="CU19" s="18">
        <f>CT19*VLOOKUP('Données projet'!$B$13,Paramètres!$A$1:$I$89,3,0)*VLOOKUP('Données projet'!$B$13,Paramètres!$A$1:$I$89,5,0)</f>
        <v>12.295582973637377</v>
      </c>
      <c r="CV19" s="14">
        <f t="shared" si="41"/>
        <v>4.2311107344604242</v>
      </c>
      <c r="CW19" s="22">
        <f t="shared" si="13"/>
        <v>28.783991541603669</v>
      </c>
      <c r="CX19" s="60">
        <f t="shared" si="14"/>
        <v>305.00621376382588</v>
      </c>
      <c r="CY19" s="60">
        <f ca="1">AVERAGE(OFFSET($CX$3,0,0,'Données projet'!$E$13+1,1))-AVERAGE(OFFSET($H$3,0,0,'Données projet'!$E$13+1,1))</f>
        <v>280.20599015000306</v>
      </c>
      <c r="CZ19" s="60">
        <f t="shared" si="42"/>
        <v>166.97658184507787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7.4358974358974352</v>
      </c>
      <c r="DO19" s="13">
        <f>IF('Données projet'!$A$166&gt;35,DO18+DN19-DW18,IF(A19&lt;'Données projet'!$A$166,$DL$205^A19,IF(A19='Données projet'!$A$166,'Données projet'!$B$166,DO18+DN19-DW18)))</f>
        <v>49.102564102564102</v>
      </c>
      <c r="DP19" s="18">
        <f>DO19*VLOOKUP('Données projet'!$B$14,Paramètres!$A$1:$I$89,3,0)*VLOOKUP('Données projet'!$B$14,Paramètres!$A$1:$I$89,5,0)</f>
        <v>32.938000000000002</v>
      </c>
      <c r="DQ19" s="14">
        <f t="shared" si="43"/>
        <v>10.106233613312263</v>
      </c>
      <c r="DR19" s="22">
        <f t="shared" si="16"/>
        <v>74.968706876518851</v>
      </c>
      <c r="DS19" s="60">
        <f t="shared" si="17"/>
        <v>351.19092909874109</v>
      </c>
      <c r="DT19" s="60">
        <f ca="1">AVERAGE(OFFSET($DS$3,0,0,'Données projet'!$E$14+1,1))-AVERAGE(OFFSET($H$3,0,0,'Données projet'!$E$14+1,1))</f>
        <v>291.18686311753402</v>
      </c>
      <c r="DU19" s="60">
        <f t="shared" si="44"/>
        <v>215.44422413249839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4.4000000000000004</v>
      </c>
      <c r="EJ19" s="13">
        <f>IF('Données projet'!$A$192&gt;35,EJ18+EI19-ER18,IF(A19&lt;'Données projet'!$A$192,$EG$205^A19,IF(A19='Données projet'!$A$192,'Données projet'!$B$192,EJ18+EI19-ER18)))</f>
        <v>36.4</v>
      </c>
      <c r="EK19" s="18">
        <f>EJ19*VLOOKUP('Données projet'!$B$15,Paramètres!$A$1:$I$89,3,0)*VLOOKUP('Données projet'!$B$15,Paramètres!$A$1:$I$89,5,0)</f>
        <v>29.527680000000004</v>
      </c>
      <c r="EL19" s="14">
        <f t="shared" si="45"/>
        <v>9.1758582733085685</v>
      </c>
      <c r="EM19" s="22">
        <f t="shared" si="19"/>
        <v>67.408662492679099</v>
      </c>
      <c r="EN19" s="60">
        <f t="shared" si="20"/>
        <v>343.6308847149013</v>
      </c>
      <c r="EO19" s="60">
        <f ca="1">AVERAGE(OFFSET($EN$3,0,0,'Données projet'!$E$15+1,1))-AVERAGE(OFFSET($H$3,0,0,'Données projet'!$E$15+1,1))</f>
        <v>236.22643401787644</v>
      </c>
      <c r="EP19" s="60">
        <f t="shared" si="46"/>
        <v>188.80444043778022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8">
        <f t="shared" si="1"/>
        <v>256.66666666666669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281.52</v>
      </c>
      <c r="L20" s="13">
        <f>VLOOKUP(A20,'Données projet'!$A$35:$I$55,9,0)</f>
        <v>16.319999999999993</v>
      </c>
      <c r="M20" s="13">
        <f t="array" ref="M20">INDEX(L:L,MIN(IF(ISNUMBER(L20:L216),ROW(L20:L216),"")))</f>
        <v>16.319999999999993</v>
      </c>
      <c r="N20" s="14">
        <f>IF('Données projet'!$A$36&gt;35,N19+M20-V19,IF(A20&lt;'Données projet'!$A$36,$K$205^A20,IF(A20='Données projet'!$A$36,'Données projet'!$B$36,N19+M20-V19)))</f>
        <v>281.52</v>
      </c>
      <c r="O20" s="14">
        <f>N20*VLOOKUP('Données projet'!$B$9,Paramètres!$A$1:$I$89,3,0)*VLOOKUP('Données projet'!$B$9,Paramètres!$A$1:$I$89,5,0)</f>
        <v>143.1698112</v>
      </c>
      <c r="P20" s="14">
        <f t="shared" si="33"/>
        <v>37.02221581011198</v>
      </c>
      <c r="Q20" s="22">
        <f t="shared" si="2"/>
        <v>313.83444704261166</v>
      </c>
      <c r="R20" s="60">
        <f t="shared" si="0"/>
        <v>591.27889148705617</v>
      </c>
      <c r="S20" s="60">
        <f ca="1">AVERAGE(OFFSET($R$3,0,0,'Données projet'!$E$9+1,1))-AVERAGE(OFFSET($H$3,0,0,'Données projet'!$E$9+1,1))</f>
        <v>144.55635559713392</v>
      </c>
      <c r="T20" s="60">
        <f t="shared" si="34"/>
        <v>349.14692715126904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21.692743883101215</v>
      </c>
      <c r="AK20" s="14">
        <f t="shared" si="35"/>
        <v>6.98746341685115</v>
      </c>
      <c r="AL20" s="22">
        <f t="shared" si="4"/>
        <v>49.951361047417038</v>
      </c>
      <c r="AM20" s="60">
        <f t="shared" si="5"/>
        <v>327.39580549186149</v>
      </c>
      <c r="AN20" s="60">
        <f ca="1">AVERAGE(OFFSET($AM$3,0,0,'Données projet'!$E$10+1,1))-AVERAGE(OFFSET($H$3,0,0,'Données projet'!$E$10+1,1))</f>
        <v>428.8489304403459</v>
      </c>
      <c r="AO20" s="60">
        <f t="shared" si="36"/>
        <v>247.01165577562966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24.31083366209619</v>
      </c>
      <c r="BF20" s="14">
        <f t="shared" si="37"/>
        <v>7.7276032052466093</v>
      </c>
      <c r="BG20" s="22">
        <f t="shared" si="7"/>
        <v>55.800277543955367</v>
      </c>
      <c r="BH20" s="60">
        <f t="shared" si="8"/>
        <v>333.24472198839982</v>
      </c>
      <c r="BI20" s="60">
        <f ca="1">AVERAGE(OFFSET($BH$3,0,0,'Données projet'!$E$11+1,1))-AVERAGE(OFFSET($H$3,0,0,'Données projet'!$E$11+1,1))</f>
        <v>475.47920969424894</v>
      </c>
      <c r="BJ20" s="60">
        <f t="shared" si="38"/>
        <v>271.73544012419364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1.05</v>
      </c>
      <c r="BY20" s="13">
        <f>IF('Données projet'!$A$114&gt;35,BY19+BX20-CG19,IF(A20&lt;'Données projet'!$A$114,$BV$205^A20,IF(A20='Données projet'!$A$114,'Données projet'!$B$114,BY19+BX20-CG19)))</f>
        <v>13.301064532535134</v>
      </c>
      <c r="BZ20" s="14">
        <f>BY20*VLOOKUP('Données projet'!$B$12,Paramètres!$A$1:$I$89,3,0)*VLOOKUP('Données projet'!$B$12,Paramètres!$A$1:$I$89,5,0)</f>
        <v>12.864789615867982</v>
      </c>
      <c r="CA20" s="14">
        <f t="shared" si="39"/>
        <v>4.4037259087201281</v>
      </c>
      <c r="CB20" s="22">
        <f t="shared" si="10"/>
        <v>30.07599787199096</v>
      </c>
      <c r="CC20" s="60">
        <f t="shared" si="11"/>
        <v>307.52044231643544</v>
      </c>
      <c r="CD20" s="60">
        <f ca="1">AVERAGE(OFFSET($CC$3,0,0,'Données projet'!$E$12+1,1))-AVERAGE(OFFSET($H$3,0,0,'Données projet'!$E$12+1,1))</f>
        <v>255.59755832175625</v>
      </c>
      <c r="CE20" s="60">
        <f t="shared" si="40"/>
        <v>154.0840647586964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1.05</v>
      </c>
      <c r="CT20" s="13">
        <f>IF('Données projet'!$A$140&gt;35,CT19+CS20-DB19,IF(A20&lt;'Données projet'!$A$140,$CQ$205^A20,IF(A20='Données projet'!$A$140,'Données projet'!$B$140,CT19+CS20-DB19)))</f>
        <v>13.301064532535134</v>
      </c>
      <c r="CU20" s="18">
        <f>CT20*VLOOKUP('Données projet'!$B$13,Paramètres!$A$1:$I$89,3,0)*VLOOKUP('Données projet'!$B$13,Paramètres!$A$1:$I$89,5,0)</f>
        <v>14.317265862820818</v>
      </c>
      <c r="CV20" s="14">
        <f t="shared" si="41"/>
        <v>4.8402750366406995</v>
      </c>
      <c r="CW20" s="22">
        <f t="shared" si="13"/>
        <v>33.366050399895471</v>
      </c>
      <c r="CX20" s="60">
        <f t="shared" si="14"/>
        <v>310.81049484433993</v>
      </c>
      <c r="CY20" s="60">
        <f ca="1">AVERAGE(OFFSET($CX$3,0,0,'Données projet'!$E$13+1,1))-AVERAGE(OFFSET($H$3,0,0,'Données projet'!$E$13+1,1))</f>
        <v>280.20599015000306</v>
      </c>
      <c r="CZ20" s="60">
        <f t="shared" si="42"/>
        <v>166.97658184507787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7.4358974358974352</v>
      </c>
      <c r="DO20" s="13">
        <f>IF('Données projet'!$A$166&gt;35,DO19+DN20-DW19,IF(A20&lt;'Données projet'!$A$166,$DL$205^A20,IF(A20='Données projet'!$A$166,'Données projet'!$B$166,DO19+DN20-DW19)))</f>
        <v>56.53846153846154</v>
      </c>
      <c r="DP20" s="18">
        <f>DO20*VLOOKUP('Données projet'!$B$14,Paramètres!$A$1:$I$89,3,0)*VLOOKUP('Données projet'!$B$14,Paramètres!$A$1:$I$89,5,0)</f>
        <v>37.926000000000002</v>
      </c>
      <c r="DQ20" s="14">
        <f t="shared" si="43"/>
        <v>11.447241207652391</v>
      </c>
      <c r="DR20" s="22">
        <f t="shared" si="16"/>
        <v>85.991728436661262</v>
      </c>
      <c r="DS20" s="60">
        <f t="shared" si="17"/>
        <v>363.43617288110573</v>
      </c>
      <c r="DT20" s="60">
        <f ca="1">AVERAGE(OFFSET($DS$3,0,0,'Données projet'!$E$14+1,1))-AVERAGE(OFFSET($H$3,0,0,'Données projet'!$E$14+1,1))</f>
        <v>291.18686311753402</v>
      </c>
      <c r="DU20" s="60">
        <f t="shared" si="44"/>
        <v>215.44422413249839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4.4000000000000004</v>
      </c>
      <c r="EJ20" s="13">
        <f>IF('Données projet'!$A$192&gt;35,EJ19+EI20-ER19,IF(A20&lt;'Données projet'!$A$192,$EG$205^A20,IF(A20='Données projet'!$A$192,'Données projet'!$B$192,EJ19+EI20-ER19)))</f>
        <v>40.799999999999997</v>
      </c>
      <c r="EK20" s="18">
        <f>EJ20*VLOOKUP('Données projet'!$B$15,Paramètres!$A$1:$I$89,3,0)*VLOOKUP('Données projet'!$B$15,Paramètres!$A$1:$I$89,5,0)</f>
        <v>33.096959999999996</v>
      </c>
      <c r="EL20" s="14">
        <f t="shared" si="45"/>
        <v>10.149317402083243</v>
      </c>
      <c r="EM20" s="22">
        <f t="shared" si="19"/>
        <v>75.320599808628302</v>
      </c>
      <c r="EN20" s="60">
        <f t="shared" si="20"/>
        <v>352.76504425307274</v>
      </c>
      <c r="EO20" s="60">
        <f ca="1">AVERAGE(OFFSET($EN$3,0,0,'Données projet'!$E$15+1,1))-AVERAGE(OFFSET($H$3,0,0,'Données projet'!$E$15+1,1))</f>
        <v>236.22643401787644</v>
      </c>
      <c r="EP20" s="60">
        <f t="shared" si="46"/>
        <v>188.80444043778022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8">
        <f t="shared" si="1"/>
        <v>256.66666666666669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293.76</v>
      </c>
      <c r="L21" s="13">
        <f>VLOOKUP(A21,'Données projet'!$A$35:$I$55,9,0)</f>
        <v>12.240000000000009</v>
      </c>
      <c r="M21" s="13">
        <f t="array" ref="M21">INDEX(L:L,MIN(IF(ISNUMBER(L21:L217),ROW(L21:L217),"")))</f>
        <v>12.240000000000009</v>
      </c>
      <c r="N21" s="14">
        <f>IF('Données projet'!$A$36&gt;35,N20+M21-V20,IF(A21&lt;'Données projet'!$A$36,$K$205^A21,IF(A21='Données projet'!$A$36,'Données projet'!$B$36,N20+M21-V20)))</f>
        <v>293.76</v>
      </c>
      <c r="O21" s="14">
        <f>N21*VLOOKUP('Données projet'!$B$9,Paramètres!$A$1:$I$89,3,0)*VLOOKUP('Données projet'!$B$9,Paramètres!$A$1:$I$89,5,0)</f>
        <v>149.3945856</v>
      </c>
      <c r="P21" s="14">
        <f t="shared" si="33"/>
        <v>38.440970659101836</v>
      </c>
      <c r="Q21" s="22">
        <f t="shared" si="2"/>
        <v>327.14692715126904</v>
      </c>
      <c r="R21" s="60">
        <f t="shared" si="0"/>
        <v>605.81359381793573</v>
      </c>
      <c r="S21" s="60">
        <f ca="1">AVERAGE(OFFSET($R$3,0,0,'Données projet'!$E$9+1,1))-AVERAGE(OFFSET($H$3,0,0,'Données projet'!$E$9+1,1))</f>
        <v>144.55635559713392</v>
      </c>
      <c r="T21" s="60">
        <f t="shared" si="34"/>
        <v>349.14692715126904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293.76</v>
      </c>
      <c r="W21" s="17">
        <f>IF(ISNA(VLOOKUP(A21,'Données projet'!$A$35:$I$55,5,0)),0%,VLOOKUP(A21,'Données projet'!$A$35:$I$55,5,0)*VLOOKUP('Données projet'!$B$9,Paramètres!$A$1:$I$89,7,0))</f>
        <v>0.46799999999999997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0.1</v>
      </c>
      <c r="Z21" s="23">
        <f>EXP(-LN(2)/35)*Z20+(1-EXP(-LN(2)/35))/(LN(2)/35)*V21*W21*VLOOKUP('Données projet'!$B$9,Paramètres!$A$1:$I$89,3,0)*0.475*44/12</f>
        <v>77.290803365911117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14.095781240991856</v>
      </c>
      <c r="AC21" s="24">
        <f t="shared" si="3"/>
        <v>91.386584606902971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26.150316724543362</v>
      </c>
      <c r="AK21" s="14">
        <f t="shared" si="35"/>
        <v>8.2420396752158016</v>
      </c>
      <c r="AL21" s="22">
        <f t="shared" si="4"/>
        <v>59.900020729580547</v>
      </c>
      <c r="AM21" s="60">
        <f t="shared" si="5"/>
        <v>338.56668739624723</v>
      </c>
      <c r="AN21" s="60">
        <f ca="1">AVERAGE(OFFSET($AM$3,0,0,'Données projet'!$E$10+1,1))-AVERAGE(OFFSET($H$3,0,0,'Données projet'!$E$10+1,1))</f>
        <v>428.8489304403459</v>
      </c>
      <c r="AO21" s="60">
        <f t="shared" si="36"/>
        <v>247.01165577562966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29.306389432677911</v>
      </c>
      <c r="BF21" s="14">
        <f t="shared" si="37"/>
        <v>9.1150691477493808</v>
      </c>
      <c r="BG21" s="22">
        <f t="shared" si="7"/>
        <v>66.917373694244205</v>
      </c>
      <c r="BH21" s="60">
        <f t="shared" si="8"/>
        <v>345.58404036091088</v>
      </c>
      <c r="BI21" s="60">
        <f ca="1">AVERAGE(OFFSET($BH$3,0,0,'Données projet'!$E$11+1,1))-AVERAGE(OFFSET($H$3,0,0,'Données projet'!$E$11+1,1))</f>
        <v>475.47920969424894</v>
      </c>
      <c r="BJ21" s="60">
        <f t="shared" si="38"/>
        <v>271.73544012419364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1.05</v>
      </c>
      <c r="BY21" s="13">
        <f>IF('Données projet'!$A$114&gt;35,BY20+BX21-CG20,IF(A21&lt;'Données projet'!$A$114,$BV$205^A21,IF(A21='Données projet'!$A$114,'Données projet'!$B$114,BY20+BX21-CG20)))</f>
        <v>15.48807222716875</v>
      </c>
      <c r="BZ21" s="14">
        <f>BY21*VLOOKUP('Données projet'!$B$12,Paramètres!$A$1:$I$89,3,0)*VLOOKUP('Données projet'!$B$12,Paramètres!$A$1:$I$89,5,0)</f>
        <v>14.980063458117616</v>
      </c>
      <c r="CA21" s="14">
        <f t="shared" si="39"/>
        <v>5.0377420781222293</v>
      </c>
      <c r="CB21" s="22">
        <f t="shared" si="10"/>
        <v>34.864344642284394</v>
      </c>
      <c r="CC21" s="60">
        <f t="shared" si="11"/>
        <v>313.53101130895107</v>
      </c>
      <c r="CD21" s="60">
        <f ca="1">AVERAGE(OFFSET($CC$3,0,0,'Données projet'!$E$12+1,1))-AVERAGE(OFFSET($H$3,0,0,'Données projet'!$E$12+1,1))</f>
        <v>255.59755832175625</v>
      </c>
      <c r="CE21" s="60">
        <f t="shared" si="40"/>
        <v>154.0840647586964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1.05</v>
      </c>
      <c r="CT21" s="13">
        <f>IF('Données projet'!$A$140&gt;35,CT20+CS21-DB20,IF(A21&lt;'Données projet'!$A$140,$CQ$205^A21,IF(A21='Données projet'!$A$140,'Données projet'!$B$140,CT20+CS21-DB20)))</f>
        <v>15.48807222716875</v>
      </c>
      <c r="CU21" s="18">
        <f>CT21*VLOOKUP('Données projet'!$B$13,Paramètres!$A$1:$I$89,3,0)*VLOOKUP('Données projet'!$B$13,Paramètres!$A$1:$I$89,5,0)</f>
        <v>16.671360945324444</v>
      </c>
      <c r="CV21" s="14">
        <f t="shared" si="41"/>
        <v>5.5371423488198674</v>
      </c>
      <c r="CW21" s="22">
        <f t="shared" si="13"/>
        <v>38.679809903968007</v>
      </c>
      <c r="CX21" s="60">
        <f t="shared" si="14"/>
        <v>317.34647657063471</v>
      </c>
      <c r="CY21" s="60">
        <f ca="1">AVERAGE(OFFSET($CX$3,0,0,'Données projet'!$E$13+1,1))-AVERAGE(OFFSET($H$3,0,0,'Données projet'!$E$13+1,1))</f>
        <v>280.20599015000306</v>
      </c>
      <c r="CZ21" s="60">
        <f t="shared" si="42"/>
        <v>166.97658184507787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7.4358974358974352</v>
      </c>
      <c r="DO21" s="13">
        <f>IF('Données projet'!$A$166&gt;35,DO20+DN21-DW20,IF(A21&lt;'Données projet'!$A$166,$DL$205^A21,IF(A21='Données projet'!$A$166,'Données projet'!$B$166,DO20+DN21-DW20)))</f>
        <v>63.974358974358978</v>
      </c>
      <c r="DP21" s="18">
        <f>DO21*VLOOKUP('Données projet'!$B$14,Paramètres!$A$1:$I$89,3,0)*VLOOKUP('Données projet'!$B$14,Paramètres!$A$1:$I$89,5,0)</f>
        <v>42.914000000000001</v>
      </c>
      <c r="DQ21" s="14">
        <f t="shared" si="43"/>
        <v>12.767813741258394</v>
      </c>
      <c r="DR21" s="22">
        <f t="shared" si="16"/>
        <v>96.979158932691703</v>
      </c>
      <c r="DS21" s="60">
        <f t="shared" si="17"/>
        <v>375.64582559935837</v>
      </c>
      <c r="DT21" s="60">
        <f ca="1">AVERAGE(OFFSET($DS$3,0,0,'Données projet'!$E$14+1,1))-AVERAGE(OFFSET($H$3,0,0,'Données projet'!$E$14+1,1))</f>
        <v>291.18686311753402</v>
      </c>
      <c r="DU21" s="60">
        <f t="shared" si="44"/>
        <v>215.44422413249839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4.4000000000000004</v>
      </c>
      <c r="EJ21" s="13">
        <f>IF('Données projet'!$A$192&gt;35,EJ20+EI21-ER20,IF(A21&lt;'Données projet'!$A$192,$EG$205^A21,IF(A21='Données projet'!$A$192,'Données projet'!$B$192,EJ20+EI21-ER20)))</f>
        <v>45.199999999999996</v>
      </c>
      <c r="EK21" s="18">
        <f>EJ21*VLOOKUP('Données projet'!$B$15,Paramètres!$A$1:$I$89,3,0)*VLOOKUP('Données projet'!$B$15,Paramètres!$A$1:$I$89,5,0)</f>
        <v>36.666239999999995</v>
      </c>
      <c r="EL21" s="14">
        <f t="shared" si="45"/>
        <v>11.110608259650514</v>
      </c>
      <c r="EM21" s="22">
        <f t="shared" si="19"/>
        <v>83.211344052224632</v>
      </c>
      <c r="EN21" s="60">
        <f t="shared" si="20"/>
        <v>361.87801071889135</v>
      </c>
      <c r="EO21" s="60">
        <f ca="1">AVERAGE(OFFSET($EN$3,0,0,'Données projet'!$E$15+1,1))-AVERAGE(OFFSET($H$3,0,0,'Données projet'!$E$15+1,1))</f>
        <v>236.22643401787644</v>
      </c>
      <c r="EP21" s="60">
        <f t="shared" si="46"/>
        <v>188.80444043778022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8">
        <f t="shared" si="1"/>
        <v>256.66666666666669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0" t="e">
        <f t="shared" si="0"/>
        <v>#NUM!</v>
      </c>
      <c r="S22" s="60">
        <f ca="1">AVERAGE(OFFSET($R$3,0,0,'Données projet'!$E$9+1,1))-AVERAGE(OFFSET($H$3,0,0,'Données projet'!$E$9+1,1))</f>
        <v>144.55635559713392</v>
      </c>
      <c r="T22" s="60">
        <f t="shared" si="34"/>
        <v>349.14692715126904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75.775177854640688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9.9672225016274698</v>
      </c>
      <c r="AC22" s="24">
        <f t="shared" si="3"/>
        <v>85.742400356268163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31.52386201022027</v>
      </c>
      <c r="AK22" s="14">
        <f t="shared" si="35"/>
        <v>9.7218710074397983</v>
      </c>
      <c r="AL22" s="22">
        <f t="shared" si="4"/>
        <v>71.836318339091292</v>
      </c>
      <c r="AM22" s="60">
        <f t="shared" si="5"/>
        <v>351.72520722798015</v>
      </c>
      <c r="AN22" s="60">
        <f ca="1">AVERAGE(OFFSET($AM$3,0,0,'Données projet'!$E$10+1,1))-AVERAGE(OFFSET($H$3,0,0,'Données projet'!$E$10+1,1))</f>
        <v>428.8489304403459</v>
      </c>
      <c r="AO22" s="60">
        <f t="shared" si="36"/>
        <v>247.01165577562966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35.328466045936516</v>
      </c>
      <c r="BF22" s="14">
        <f t="shared" si="37"/>
        <v>10.751650073316766</v>
      </c>
      <c r="BG22" s="22">
        <f t="shared" si="7"/>
        <v>80.256202241032796</v>
      </c>
      <c r="BH22" s="60">
        <f t="shared" si="8"/>
        <v>360.14509112992164</v>
      </c>
      <c r="BI22" s="60">
        <f ca="1">AVERAGE(OFFSET($BH$3,0,0,'Données projet'!$E$11+1,1))-AVERAGE(OFFSET($H$3,0,0,'Données projet'!$E$11+1,1))</f>
        <v>475.47920969424894</v>
      </c>
      <c r="BJ22" s="60">
        <f t="shared" si="38"/>
        <v>271.73544012419364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1.05</v>
      </c>
      <c r="BY22" s="13">
        <f>IF('Données projet'!$A$114&gt;35,BY21+BX22-CG21,IF(A22&lt;'Données projet'!$A$114,$BV$205^A22,IF(A22='Données projet'!$A$114,'Données projet'!$B$114,BY21+BX22-CG21)))</f>
        <v>18.034675399644545</v>
      </c>
      <c r="BZ22" s="14">
        <f>BY22*VLOOKUP('Données projet'!$B$12,Paramètres!$A$1:$I$89,3,0)*VLOOKUP('Données projet'!$B$12,Paramètres!$A$1:$I$89,5,0)</f>
        <v>17.443138046536202</v>
      </c>
      <c r="CA22" s="14">
        <f t="shared" si="39"/>
        <v>5.7630392471586012</v>
      </c>
      <c r="CB22" s="22">
        <f t="shared" si="10"/>
        <v>40.417425453185118</v>
      </c>
      <c r="CC22" s="60">
        <f t="shared" si="11"/>
        <v>320.30631434207396</v>
      </c>
      <c r="CD22" s="60">
        <f ca="1">AVERAGE(OFFSET($CC$3,0,0,'Données projet'!$E$12+1,1))-AVERAGE(OFFSET($H$3,0,0,'Données projet'!$E$12+1,1))</f>
        <v>255.59755832175625</v>
      </c>
      <c r="CE22" s="60">
        <f t="shared" si="40"/>
        <v>154.0840647586964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1.05</v>
      </c>
      <c r="CT22" s="13">
        <f>IF('Données projet'!$A$140&gt;35,CT21+CS22-DB21,IF(A22&lt;'Données projet'!$A$140,$CQ$205^A22,IF(A22='Données projet'!$A$140,'Données projet'!$B$140,CT21+CS22-DB21)))</f>
        <v>18.034675399644545</v>
      </c>
      <c r="CU22" s="18">
        <f>CT22*VLOOKUP('Données projet'!$B$13,Paramètres!$A$1:$I$89,3,0)*VLOOKUP('Données projet'!$B$13,Paramètres!$A$1:$I$89,5,0)</f>
        <v>19.412524600177388</v>
      </c>
      <c r="CV22" s="14">
        <f t="shared" si="41"/>
        <v>6.3343395073626514</v>
      </c>
      <c r="CW22" s="22">
        <f t="shared" si="13"/>
        <v>44.842454987298908</v>
      </c>
      <c r="CX22" s="60">
        <f t="shared" si="14"/>
        <v>324.73134387618779</v>
      </c>
      <c r="CY22" s="60">
        <f ca="1">AVERAGE(OFFSET($CX$3,0,0,'Données projet'!$E$13+1,1))-AVERAGE(OFFSET($H$3,0,0,'Données projet'!$E$13+1,1))</f>
        <v>280.20599015000306</v>
      </c>
      <c r="CZ22" s="60">
        <f t="shared" si="42"/>
        <v>166.97658184507787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7.4358974358974352</v>
      </c>
      <c r="DO22" s="13">
        <f>IF('Données projet'!$A$166&gt;35,DO21+DN22-DW21,IF(A22&lt;'Données projet'!$A$166,$DL$205^A22,IF(A22='Données projet'!$A$166,'Données projet'!$B$166,DO21+DN22-DW21)))</f>
        <v>71.410256410256409</v>
      </c>
      <c r="DP22" s="18">
        <f>DO22*VLOOKUP('Données projet'!$B$14,Paramètres!$A$1:$I$89,3,0)*VLOOKUP('Données projet'!$B$14,Paramètres!$A$1:$I$89,5,0)</f>
        <v>47.902000000000001</v>
      </c>
      <c r="DQ22" s="14">
        <f t="shared" si="43"/>
        <v>14.070597725071474</v>
      </c>
      <c r="DR22" s="22">
        <f t="shared" si="16"/>
        <v>107.93560770449947</v>
      </c>
      <c r="DS22" s="60">
        <f t="shared" si="17"/>
        <v>387.82449659338835</v>
      </c>
      <c r="DT22" s="60">
        <f ca="1">AVERAGE(OFFSET($DS$3,0,0,'Données projet'!$E$14+1,1))-AVERAGE(OFFSET($H$3,0,0,'Données projet'!$E$14+1,1))</f>
        <v>291.18686311753402</v>
      </c>
      <c r="DU22" s="60">
        <f t="shared" si="44"/>
        <v>215.44422413249839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4.4000000000000004</v>
      </c>
      <c r="EJ22" s="13">
        <f>IF('Données projet'!$A$192&gt;35,EJ21+EI22-ER21,IF(A22&lt;'Données projet'!$A$192,$EG$205^A22,IF(A22='Données projet'!$A$192,'Données projet'!$B$192,EJ21+EI22-ER21)))</f>
        <v>49.599999999999994</v>
      </c>
      <c r="EK22" s="18">
        <f>EJ22*VLOOKUP('Données projet'!$B$15,Paramètres!$A$1:$I$89,3,0)*VLOOKUP('Données projet'!$B$15,Paramètres!$A$1:$I$89,5,0)</f>
        <v>40.235520000000001</v>
      </c>
      <c r="EL22" s="14">
        <f t="shared" si="45"/>
        <v>12.061050163607481</v>
      </c>
      <c r="EM22" s="22">
        <f t="shared" si="19"/>
        <v>91.083193034949701</v>
      </c>
      <c r="EN22" s="60">
        <f t="shared" si="20"/>
        <v>370.97208192383857</v>
      </c>
      <c r="EO22" s="60">
        <f ca="1">AVERAGE(OFFSET($EN$3,0,0,'Données projet'!$E$15+1,1))-AVERAGE(OFFSET($H$3,0,0,'Données projet'!$E$15+1,1))</f>
        <v>236.22643401787644</v>
      </c>
      <c r="EP22" s="60">
        <f t="shared" si="46"/>
        <v>188.80444043778022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8">
        <f t="shared" si="1"/>
        <v>256.66666666666669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0" t="e">
        <f t="shared" si="0"/>
        <v>#NUM!</v>
      </c>
      <c r="S23" s="60">
        <f ca="1">AVERAGE(OFFSET($R$3,0,0,'Données projet'!$E$9+1,1))-AVERAGE(OFFSET($H$3,0,0,'Données projet'!$E$9+1,1))</f>
        <v>144.55635559713392</v>
      </c>
      <c r="T23" s="60">
        <f t="shared" si="34"/>
        <v>349.14692715126904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74.289272835205992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7.0478906204959282</v>
      </c>
      <c r="AC23" s="24">
        <f t="shared" si="3"/>
        <v>81.337163455701926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38.001600000000003</v>
      </c>
      <c r="AK23" s="14">
        <f t="shared" si="35"/>
        <v>11.467401227090512</v>
      </c>
      <c r="AL23" s="22">
        <f t="shared" si="4"/>
        <v>86.158510470515978</v>
      </c>
      <c r="AM23" s="60">
        <f t="shared" si="5"/>
        <v>367.26962158162712</v>
      </c>
      <c r="AN23" s="60">
        <f ca="1">AVERAGE(OFFSET($AM$3,0,0,'Données projet'!$E$10+1,1))-AVERAGE(OFFSET($H$3,0,0,'Données projet'!$E$10+1,1))</f>
        <v>428.8489304403459</v>
      </c>
      <c r="AO23" s="60">
        <f t="shared" si="36"/>
        <v>247.01165577562966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42.588000000000001</v>
      </c>
      <c r="BF23" s="14">
        <f t="shared" si="37"/>
        <v>12.682073764365764</v>
      </c>
      <c r="BG23" s="22">
        <f t="shared" si="7"/>
        <v>96.262045139603686</v>
      </c>
      <c r="BH23" s="60">
        <f t="shared" si="8"/>
        <v>377.37315625071483</v>
      </c>
      <c r="BI23" s="60">
        <f ca="1">AVERAGE(OFFSET($BH$3,0,0,'Données projet'!$E$11+1,1))-AVERAGE(OFFSET($H$3,0,0,'Données projet'!$E$11+1,1))</f>
        <v>475.47920969424894</v>
      </c>
      <c r="BJ23" s="60">
        <f t="shared" si="38"/>
        <v>271.73544012419364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21</v>
      </c>
      <c r="BW23" s="13">
        <f>VLOOKUP(A23,'Données projet'!$A$113:$I$133,9,0)</f>
        <v>1.05</v>
      </c>
      <c r="BX23" s="13">
        <f t="array" ref="BX23">INDEX(BW:BW,MIN(IF(ISNUMBER(BW23:BW219),ROW(BW23:BW219),"")))</f>
        <v>1.05</v>
      </c>
      <c r="BY23" s="13">
        <f>IF('Données projet'!$A$114&gt;35,BY22+BX23-CG22,IF(A23&lt;'Données projet'!$A$114,$BV$205^A23,IF(A23='Données projet'!$A$114,'Données projet'!$B$114,BY22+BX23-CG22)))</f>
        <v>21</v>
      </c>
      <c r="BZ23" s="14">
        <f>BY23*VLOOKUP('Données projet'!$B$12,Paramètres!$A$1:$I$89,3,0)*VLOOKUP('Données projet'!$B$12,Paramètres!$A$1:$I$89,5,0)</f>
        <v>20.311199999999999</v>
      </c>
      <c r="CA23" s="14">
        <f t="shared" si="39"/>
        <v>6.5927593849088089</v>
      </c>
      <c r="CB23" s="22">
        <f t="shared" si="10"/>
        <v>46.85772926204951</v>
      </c>
      <c r="CC23" s="60">
        <f t="shared" si="11"/>
        <v>327.96884037316067</v>
      </c>
      <c r="CD23" s="60">
        <f ca="1">AVERAGE(OFFSET($CC$3,0,0,'Données projet'!$E$12+1,1))-AVERAGE(OFFSET($H$3,0,0,'Données projet'!$E$12+1,1))</f>
        <v>255.59755832175625</v>
      </c>
      <c r="CE23" s="60">
        <f t="shared" si="40"/>
        <v>154.0840647586964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21</v>
      </c>
      <c r="CR23" s="13">
        <f>VLOOKUP(A23,'Données projet'!$A$139:$I$159,9,0)</f>
        <v>1.05</v>
      </c>
      <c r="CS23" s="13">
        <f t="array" ref="CS23">INDEX(CR:CR,MIN(IF(ISNUMBER(CR23:CR219),ROW(CR23:CR219),"")))</f>
        <v>1.05</v>
      </c>
      <c r="CT23" s="13">
        <f>IF('Données projet'!$A$140&gt;35,CT22+CS23-DB22,IF(A23&lt;'Données projet'!$A$140,$CQ$205^A23,IF(A23='Données projet'!$A$140,'Données projet'!$B$140,CT22+CS23-DB22)))</f>
        <v>21</v>
      </c>
      <c r="CU23" s="18">
        <f>CT23*VLOOKUP('Données projet'!$B$13,Paramètres!$A$1:$I$89,3,0)*VLOOKUP('Données projet'!$B$13,Paramètres!$A$1:$I$89,5,0)</f>
        <v>22.604399999999998</v>
      </c>
      <c r="CV23" s="14">
        <f t="shared" si="41"/>
        <v>7.2463112679569939</v>
      </c>
      <c r="CW23" s="22">
        <f t="shared" si="13"/>
        <v>51.989988791691758</v>
      </c>
      <c r="CX23" s="60">
        <f t="shared" si="14"/>
        <v>333.1010999028029</v>
      </c>
      <c r="CY23" s="60">
        <f ca="1">AVERAGE(OFFSET($CX$3,0,0,'Données projet'!$E$13+1,1))-AVERAGE(OFFSET($H$3,0,0,'Données projet'!$E$13+1,1))</f>
        <v>280.20599015000306</v>
      </c>
      <c r="CZ23" s="60">
        <f t="shared" si="42"/>
        <v>166.97658184507787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78.84615384615384</v>
      </c>
      <c r="DM23" s="13">
        <f>VLOOKUP(A23,'Données projet'!$A$165:$I$185,9,0)</f>
        <v>7.4358974358974352</v>
      </c>
      <c r="DN23" s="13">
        <f t="array" ref="DN23">INDEX(DM:DM,MIN(IF(ISNUMBER(DM23:DM219),ROW(DM23:DM219),"")))</f>
        <v>7.4358974358974352</v>
      </c>
      <c r="DO23" s="13">
        <f>IF('Données projet'!$A$166&gt;35,DO22+DN23-DW22,IF(A23&lt;'Données projet'!$A$166,$DL$205^A23,IF(A23='Données projet'!$A$166,'Données projet'!$B$166,DO22+DN23-DW22)))</f>
        <v>78.84615384615384</v>
      </c>
      <c r="DP23" s="18">
        <f>DO23*VLOOKUP('Données projet'!$B$14,Paramètres!$A$1:$I$89,3,0)*VLOOKUP('Données projet'!$B$14,Paramètres!$A$1:$I$89,5,0)</f>
        <v>52.89</v>
      </c>
      <c r="DQ23" s="14">
        <f t="shared" si="43"/>
        <v>15.357656466675607</v>
      </c>
      <c r="DR23" s="22">
        <f t="shared" si="16"/>
        <v>118.86466834612668</v>
      </c>
      <c r="DS23" s="60">
        <f t="shared" si="17"/>
        <v>399.97577945723782</v>
      </c>
      <c r="DT23" s="60">
        <f ca="1">AVERAGE(OFFSET($DS$3,0,0,'Données projet'!$E$14+1,1))-AVERAGE(OFFSET($H$3,0,0,'Données projet'!$E$14+1,1))</f>
        <v>291.18686311753402</v>
      </c>
      <c r="DU23" s="60">
        <f t="shared" si="44"/>
        <v>215.44422413249839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54</v>
      </c>
      <c r="EH23" s="13">
        <f>VLOOKUP(A23,'Données projet'!$A$191:$I$211,9,0)</f>
        <v>4.4000000000000004</v>
      </c>
      <c r="EI23" s="13">
        <f t="array" ref="EI23">INDEX(EH:EH,MIN(IF(ISNUMBER(EH23:EH219),ROW(EH23:EH219),"")))</f>
        <v>4.4000000000000004</v>
      </c>
      <c r="EJ23" s="13">
        <f>IF('Données projet'!$A$192&gt;35,EJ22+EI23-ER22,IF(A23&lt;'Données projet'!$A$192,$EG$205^A23,IF(A23='Données projet'!$A$192,'Données projet'!$B$192,EJ22+EI23-ER22)))</f>
        <v>53.999999999999993</v>
      </c>
      <c r="EK23" s="18">
        <f>EJ23*VLOOKUP('Données projet'!$B$15,Paramètres!$A$1:$I$89,3,0)*VLOOKUP('Données projet'!$B$15,Paramètres!$A$1:$I$89,5,0)</f>
        <v>43.8048</v>
      </c>
      <c r="EL23" s="14">
        <f t="shared" si="45"/>
        <v>13.001714958042189</v>
      </c>
      <c r="EM23" s="22">
        <f t="shared" si="19"/>
        <v>98.938013551923461</v>
      </c>
      <c r="EN23" s="60">
        <f t="shared" si="20"/>
        <v>380.0491246630346</v>
      </c>
      <c r="EO23" s="60">
        <f ca="1">AVERAGE(OFFSET($EN$3,0,0,'Données projet'!$E$15+1,1))-AVERAGE(OFFSET($H$3,0,0,'Données projet'!$E$15+1,1))</f>
        <v>236.22643401787644</v>
      </c>
      <c r="EP23" s="60">
        <f t="shared" si="46"/>
        <v>188.80444043778022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8">
        <f t="shared" si="1"/>
        <v>256.66666666666669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0" t="e">
        <f t="shared" si="0"/>
        <v>#NUM!</v>
      </c>
      <c r="S24" s="60">
        <f ca="1">AVERAGE(OFFSET($R$3,0,0,'Données projet'!$E$9+1,1))-AVERAGE(OFFSET($H$3,0,0,'Données projet'!$E$9+1,1))</f>
        <v>144.55635559713392</v>
      </c>
      <c r="T24" s="60">
        <f t="shared" si="34"/>
        <v>349.14692715126904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72.832505506889845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4.9836112508137349</v>
      </c>
      <c r="AC24" s="24">
        <f t="shared" si="3"/>
        <v>77.816116757703583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43.068480000000001</v>
      </c>
      <c r="AK24" s="14">
        <f t="shared" si="35"/>
        <v>12.808416415102187</v>
      </c>
      <c r="AL24" s="22">
        <f t="shared" si="4"/>
        <v>97.318927922969635</v>
      </c>
      <c r="AM24" s="60">
        <f t="shared" si="5"/>
        <v>379.65226125630295</v>
      </c>
      <c r="AN24" s="60">
        <f ca="1">AVERAGE(OFFSET($AM$3,0,0,'Données projet'!$E$10+1,1))-AVERAGE(OFFSET($H$3,0,0,'Données projet'!$E$10+1,1))</f>
        <v>428.8489304403459</v>
      </c>
      <c r="AO24" s="60">
        <f t="shared" si="36"/>
        <v>247.01165577562966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projet'!$B$11,Paramètres!$A$1:$I$89,3,0)*VLOOKUP('Données projet'!$B$11,Paramètres!$A$1:$I$89,5,0)</f>
        <v>48.266400000000004</v>
      </c>
      <c r="BF24" s="14">
        <f t="shared" si="37"/>
        <v>14.165134590154434</v>
      </c>
      <c r="BG24" s="22">
        <f t="shared" si="7"/>
        <v>108.73492274451898</v>
      </c>
      <c r="BH24" s="60">
        <f t="shared" si="8"/>
        <v>391.06825607785231</v>
      </c>
      <c r="BI24" s="60">
        <f ca="1">AVERAGE(OFFSET($BH$3,0,0,'Données projet'!$E$11+1,1))-AVERAGE(OFFSET($H$3,0,0,'Données projet'!$E$11+1,1))</f>
        <v>475.47920969424894</v>
      </c>
      <c r="BJ24" s="60">
        <f t="shared" si="38"/>
        <v>271.73544012419364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3</v>
      </c>
      <c r="BY24" s="13">
        <f>IF('Données projet'!$A$114&gt;35,BY23+BX24-CG23,IF(A24&lt;'Données projet'!$A$114,$BV$205^A24,IF(A24='Données projet'!$A$114,'Données projet'!$B$114,BY23+BX24-CG23)))</f>
        <v>24</v>
      </c>
      <c r="BZ24" s="14">
        <f>BY24*VLOOKUP('Données projet'!$B$12,Paramètres!$A$1:$I$89,3,0)*VLOOKUP('Données projet'!$B$12,Paramètres!$A$1:$I$89,5,0)</f>
        <v>23.212799999999998</v>
      </c>
      <c r="CA24" s="14">
        <f t="shared" si="39"/>
        <v>7.4183771657915161</v>
      </c>
      <c r="CB24" s="22">
        <f t="shared" si="10"/>
        <v>53.349300230420219</v>
      </c>
      <c r="CC24" s="60">
        <f t="shared" si="11"/>
        <v>335.68263356375354</v>
      </c>
      <c r="CD24" s="60">
        <f ca="1">AVERAGE(OFFSET($CC$3,0,0,'Données projet'!$E$12+1,1))-AVERAGE(OFFSET($H$3,0,0,'Données projet'!$E$12+1,1))</f>
        <v>255.59755832175625</v>
      </c>
      <c r="CE24" s="60">
        <f t="shared" si="40"/>
        <v>154.0840647586964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3</v>
      </c>
      <c r="CT24" s="13">
        <f>IF('Données projet'!$A$140&gt;35,CT23+CS24-DB23,IF(A24&lt;'Données projet'!$A$140,$CQ$205^A24,IF(A24='Données projet'!$A$140,'Données projet'!$B$140,CT23+CS24-DB23)))</f>
        <v>24</v>
      </c>
      <c r="CU24" s="18">
        <f>CT24*VLOOKUP('Données projet'!$B$13,Paramètres!$A$1:$I$89,3,0)*VLOOKUP('Données projet'!$B$13,Paramètres!$A$1:$I$89,5,0)</f>
        <v>25.833600000000001</v>
      </c>
      <c r="CV24" s="14">
        <f t="shared" si="41"/>
        <v>8.1537739978012986</v>
      </c>
      <c r="CW24" s="22">
        <f t="shared" si="13"/>
        <v>59.194676379503932</v>
      </c>
      <c r="CX24" s="60">
        <f t="shared" si="14"/>
        <v>341.52800971283727</v>
      </c>
      <c r="CY24" s="60">
        <f ca="1">AVERAGE(OFFSET($CX$3,0,0,'Données projet'!$E$13+1,1))-AVERAGE(OFFSET($H$3,0,0,'Données projet'!$E$13+1,1))</f>
        <v>280.20599015000306</v>
      </c>
      <c r="CZ24" s="60">
        <f t="shared" si="42"/>
        <v>166.97658184507787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7.8205128205128203</v>
      </c>
      <c r="DO24" s="13">
        <f>IF('Données projet'!$A$166&gt;35,DO23+DN24-DW23,IF(A24&lt;'Données projet'!$A$166,$DL$205^A24,IF(A24='Données projet'!$A$166,'Données projet'!$B$166,DO23+DN24-DW23)))</f>
        <v>86.666666666666657</v>
      </c>
      <c r="DP24" s="18">
        <f>DO24*VLOOKUP('Données projet'!$B$14,Paramètres!$A$1:$I$89,3,0)*VLOOKUP('Données projet'!$B$14,Paramètres!$A$1:$I$89,5,0)</f>
        <v>58.135999999999989</v>
      </c>
      <c r="DQ24" s="14">
        <f t="shared" si="43"/>
        <v>16.696129205461926</v>
      </c>
      <c r="DR24" s="22">
        <f t="shared" si="16"/>
        <v>130.33262503284615</v>
      </c>
      <c r="DS24" s="60">
        <f t="shared" si="17"/>
        <v>412.66595836617944</v>
      </c>
      <c r="DT24" s="60">
        <f ca="1">AVERAGE(OFFSET($DS$3,0,0,'Données projet'!$E$14+1,1))-AVERAGE(OFFSET($H$3,0,0,'Données projet'!$E$14+1,1))</f>
        <v>291.18686311753402</v>
      </c>
      <c r="DU24" s="60">
        <f t="shared" si="44"/>
        <v>215.44422413249839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4.5999999999999996</v>
      </c>
      <c r="EJ24" s="13">
        <f>IF('Données projet'!$A$192&gt;35,EJ23+EI24-ER23,IF(A24&lt;'Données projet'!$A$192,$EG$205^A24,IF(A24='Données projet'!$A$192,'Données projet'!$B$192,EJ23+EI24-ER23)))</f>
        <v>58.599999999999994</v>
      </c>
      <c r="EK24" s="18">
        <f>EJ24*VLOOKUP('Données projet'!$B$15,Paramètres!$A$1:$I$89,3,0)*VLOOKUP('Données projet'!$B$15,Paramètres!$A$1:$I$89,5,0)</f>
        <v>47.536319999999996</v>
      </c>
      <c r="EL24" s="14">
        <f t="shared" si="45"/>
        <v>13.975644596726255</v>
      </c>
      <c r="EM24" s="22">
        <f t="shared" si="19"/>
        <v>107.13333833929822</v>
      </c>
      <c r="EN24" s="60">
        <f t="shared" si="20"/>
        <v>389.46667167263155</v>
      </c>
      <c r="EO24" s="60">
        <f ca="1">AVERAGE(OFFSET($EN$3,0,0,'Données projet'!$E$15+1,1))-AVERAGE(OFFSET($H$3,0,0,'Données projet'!$E$15+1,1))</f>
        <v>236.22643401787644</v>
      </c>
      <c r="EP24" s="60">
        <f t="shared" si="46"/>
        <v>188.80444043778022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8">
        <f t="shared" si="1"/>
        <v>256.66666666666669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0" t="e">
        <f t="shared" si="0"/>
        <v>#NUM!</v>
      </c>
      <c r="S25" s="60">
        <f ca="1">AVERAGE(OFFSET($R$3,0,0,'Données projet'!$E$9+1,1))-AVERAGE(OFFSET($H$3,0,0,'Données projet'!$E$9+1,1))</f>
        <v>144.55635559713392</v>
      </c>
      <c r="T25" s="60">
        <f t="shared" si="34"/>
        <v>349.14692715126904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71.404304497341641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3.5239453102479641</v>
      </c>
      <c r="AC25" s="24">
        <f t="shared" si="3"/>
        <v>74.928249807589609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48.135359999999999</v>
      </c>
      <c r="AK25" s="14">
        <f t="shared" si="35"/>
        <v>14.131148275361113</v>
      </c>
      <c r="AL25" s="22">
        <f t="shared" si="4"/>
        <v>108.4475019129206</v>
      </c>
      <c r="AM25" s="60">
        <f t="shared" si="5"/>
        <v>392.00305746847613</v>
      </c>
      <c r="AN25" s="60">
        <f ca="1">AVERAGE(OFFSET($AM$3,0,0,'Données projet'!$E$10+1,1))-AVERAGE(OFFSET($H$3,0,0,'Données projet'!$E$10+1,1))</f>
        <v>428.8489304403459</v>
      </c>
      <c r="AO25" s="60">
        <f t="shared" si="36"/>
        <v>247.01165577562966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projet'!$B$11,Paramètres!$A$1:$I$89,3,0)*VLOOKUP('Données projet'!$B$11,Paramètres!$A$1:$I$89,5,0)</f>
        <v>53.944800000000008</v>
      </c>
      <c r="BF25" s="14">
        <f t="shared" si="37"/>
        <v>15.627975445731321</v>
      </c>
      <c r="BG25" s="22">
        <f t="shared" si="7"/>
        <v>121.17258390131538</v>
      </c>
      <c r="BH25" s="60">
        <f t="shared" si="8"/>
        <v>404.72813945687091</v>
      </c>
      <c r="BI25" s="60">
        <f ca="1">AVERAGE(OFFSET($BH$3,0,0,'Données projet'!$E$11+1,1))-AVERAGE(OFFSET($H$3,0,0,'Données projet'!$E$11+1,1))</f>
        <v>475.47920969424894</v>
      </c>
      <c r="BJ25" s="60">
        <f t="shared" si="38"/>
        <v>271.73544012419364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3</v>
      </c>
      <c r="BY25" s="13">
        <f>IF('Données projet'!$A$114&gt;35,BY24+BX25-CG24,IF(A25&lt;'Données projet'!$A$114,$BV$205^A25,IF(A25='Données projet'!$A$114,'Données projet'!$B$114,BY24+BX25-CG24)))</f>
        <v>27</v>
      </c>
      <c r="BZ25" s="14">
        <f>BY25*VLOOKUP('Données projet'!$B$12,Paramètres!$A$1:$I$89,3,0)*VLOOKUP('Données projet'!$B$12,Paramètres!$A$1:$I$89,5,0)</f>
        <v>26.1144</v>
      </c>
      <c r="CA25" s="14">
        <f t="shared" si="39"/>
        <v>8.232036337964395</v>
      </c>
      <c r="CB25" s="22">
        <f t="shared" si="10"/>
        <v>59.820043288621314</v>
      </c>
      <c r="CC25" s="60">
        <f t="shared" si="11"/>
        <v>343.37559884417686</v>
      </c>
      <c r="CD25" s="60">
        <f ca="1">AVERAGE(OFFSET($CC$3,0,0,'Données projet'!$E$12+1,1))-AVERAGE(OFFSET($H$3,0,0,'Données projet'!$E$12+1,1))</f>
        <v>255.59755832175625</v>
      </c>
      <c r="CE25" s="60">
        <f t="shared" si="40"/>
        <v>154.0840647586964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3</v>
      </c>
      <c r="CT25" s="13">
        <f>IF('Données projet'!$A$140&gt;35,CT24+CS25-DB24,IF(A25&lt;'Données projet'!$A$140,$CQ$205^A25,IF(A25='Données projet'!$A$140,'Données projet'!$B$140,CT24+CS25-DB24)))</f>
        <v>27</v>
      </c>
      <c r="CU25" s="18">
        <f>CT25*VLOOKUP('Données projet'!$B$13,Paramètres!$A$1:$I$89,3,0)*VLOOKUP('Données projet'!$B$13,Paramètres!$A$1:$I$89,5,0)</f>
        <v>29.062799999999999</v>
      </c>
      <c r="CV25" s="14">
        <f t="shared" si="41"/>
        <v>9.0480926409310953</v>
      </c>
      <c r="CW25" s="22">
        <f t="shared" si="13"/>
        <v>66.376471349621667</v>
      </c>
      <c r="CX25" s="60">
        <f t="shared" si="14"/>
        <v>349.93202690517722</v>
      </c>
      <c r="CY25" s="60">
        <f ca="1">AVERAGE(OFFSET($CX$3,0,0,'Données projet'!$E$13+1,1))-AVERAGE(OFFSET($H$3,0,0,'Données projet'!$E$13+1,1))</f>
        <v>280.20599015000306</v>
      </c>
      <c r="CZ25" s="60">
        <f t="shared" si="42"/>
        <v>166.97658184507787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7.8205128205128203</v>
      </c>
      <c r="DO25" s="13">
        <f>IF('Données projet'!$A$166&gt;35,DO24+DN25-DW24,IF(A25&lt;'Données projet'!$A$166,$DL$205^A25,IF(A25='Données projet'!$A$166,'Données projet'!$B$166,DO24+DN25-DW24)))</f>
        <v>94.487179487179475</v>
      </c>
      <c r="DP25" s="18">
        <f>DO25*VLOOKUP('Données projet'!$B$14,Paramètres!$A$1:$I$89,3,0)*VLOOKUP('Données projet'!$B$14,Paramètres!$A$1:$I$89,5,0)</f>
        <v>63.381999999999991</v>
      </c>
      <c r="DQ25" s="14">
        <f t="shared" si="43"/>
        <v>18.020596756944578</v>
      </c>
      <c r="DR25" s="22">
        <f t="shared" si="16"/>
        <v>141.77618935167845</v>
      </c>
      <c r="DS25" s="60">
        <f t="shared" si="17"/>
        <v>425.331744907234</v>
      </c>
      <c r="DT25" s="60">
        <f ca="1">AVERAGE(OFFSET($DS$3,0,0,'Données projet'!$E$14+1,1))-AVERAGE(OFFSET($H$3,0,0,'Données projet'!$E$14+1,1))</f>
        <v>291.18686311753402</v>
      </c>
      <c r="DU25" s="60">
        <f t="shared" si="44"/>
        <v>215.44422413249839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4.5999999999999996</v>
      </c>
      <c r="EJ25" s="13">
        <f>IF('Données projet'!$A$192&gt;35,EJ24+EI25-ER24,IF(A25&lt;'Données projet'!$A$192,$EG$205^A25,IF(A25='Données projet'!$A$192,'Données projet'!$B$192,EJ24+EI25-ER24)))</f>
        <v>63.199999999999996</v>
      </c>
      <c r="EK25" s="18">
        <f>EJ25*VLOOKUP('Données projet'!$B$15,Paramètres!$A$1:$I$89,3,0)*VLOOKUP('Données projet'!$B$15,Paramètres!$A$1:$I$89,5,0)</f>
        <v>51.26784</v>
      </c>
      <c r="EL25" s="14">
        <f t="shared" si="45"/>
        <v>14.940706168637671</v>
      </c>
      <c r="EM25" s="22">
        <f t="shared" si="19"/>
        <v>115.31321791037726</v>
      </c>
      <c r="EN25" s="60">
        <f t="shared" si="20"/>
        <v>398.8687734659328</v>
      </c>
      <c r="EO25" s="60">
        <f ca="1">AVERAGE(OFFSET($EN$3,0,0,'Données projet'!$E$15+1,1))-AVERAGE(OFFSET($H$3,0,0,'Données projet'!$E$15+1,1))</f>
        <v>236.22643401787644</v>
      </c>
      <c r="EP25" s="60">
        <f t="shared" si="46"/>
        <v>188.80444043778022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8">
        <f t="shared" si="1"/>
        <v>256.66666666666669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0" t="e">
        <f t="shared" si="0"/>
        <v>#NUM!</v>
      </c>
      <c r="S26" s="60">
        <f ca="1">AVERAGE(OFFSET($R$3,0,0,'Données projet'!$E$9+1,1))-AVERAGE(OFFSET($H$3,0,0,'Données projet'!$E$9+1,1))</f>
        <v>144.55635559713392</v>
      </c>
      <c r="T26" s="60">
        <f t="shared" si="34"/>
        <v>349.14692715126904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70.004109638474077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2.4918056254068675</v>
      </c>
      <c r="AC26" s="24">
        <f t="shared" si="3"/>
        <v>72.495915263880946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53.202240000000003</v>
      </c>
      <c r="AK26" s="14">
        <f t="shared" si="35"/>
        <v>15.437740642425908</v>
      </c>
      <c r="AL26" s="22">
        <f t="shared" si="4"/>
        <v>119.54796628555846</v>
      </c>
      <c r="AM26" s="60">
        <f t="shared" si="5"/>
        <v>404.32574406333623</v>
      </c>
      <c r="AN26" s="60">
        <f ca="1">AVERAGE(OFFSET($AM$3,0,0,'Données projet'!$E$10+1,1))-AVERAGE(OFFSET($H$3,0,0,'Données projet'!$E$10+1,1))</f>
        <v>428.8489304403459</v>
      </c>
      <c r="AO26" s="60">
        <f t="shared" si="36"/>
        <v>247.01165577562966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projet'!$B$11,Paramètres!$A$1:$I$89,3,0)*VLOOKUP('Données projet'!$B$11,Paramètres!$A$1:$I$89,5,0)</f>
        <v>59.623200000000011</v>
      </c>
      <c r="BF26" s="14">
        <f t="shared" si="37"/>
        <v>17.072967249098898</v>
      </c>
      <c r="BG26" s="22">
        <f t="shared" si="7"/>
        <v>133.57915795884725</v>
      </c>
      <c r="BH26" s="60">
        <f t="shared" si="8"/>
        <v>418.35693573662502</v>
      </c>
      <c r="BI26" s="60">
        <f ca="1">AVERAGE(OFFSET($BH$3,0,0,'Données projet'!$E$11+1,1))-AVERAGE(OFFSET($H$3,0,0,'Données projet'!$E$11+1,1))</f>
        <v>475.47920969424894</v>
      </c>
      <c r="BJ26" s="60">
        <f t="shared" si="38"/>
        <v>271.73544012419364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3</v>
      </c>
      <c r="BY26" s="13">
        <f>IF('Données projet'!$A$114&gt;35,BY25+BX26-CG25,IF(A26&lt;'Données projet'!$A$114,$BV$205^A26,IF(A26='Données projet'!$A$114,'Données projet'!$B$114,BY25+BX26-CG25)))</f>
        <v>30</v>
      </c>
      <c r="BZ26" s="14">
        <f>BY26*VLOOKUP('Données projet'!$B$12,Paramètres!$A$1:$I$89,3,0)*VLOOKUP('Données projet'!$B$12,Paramètres!$A$1:$I$89,5,0)</f>
        <v>29.016000000000002</v>
      </c>
      <c r="CA26" s="14">
        <f t="shared" si="39"/>
        <v>9.0352172071357728</v>
      </c>
      <c r="CB26" s="22">
        <f t="shared" si="10"/>
        <v>66.272536635761469</v>
      </c>
      <c r="CC26" s="60">
        <f t="shared" si="11"/>
        <v>351.05031441353924</v>
      </c>
      <c r="CD26" s="60">
        <f ca="1">AVERAGE(OFFSET($CC$3,0,0,'Données projet'!$E$12+1,1))-AVERAGE(OFFSET($H$3,0,0,'Données projet'!$E$12+1,1))</f>
        <v>255.59755832175625</v>
      </c>
      <c r="CE26" s="60">
        <f t="shared" si="40"/>
        <v>154.0840647586964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3</v>
      </c>
      <c r="CT26" s="13">
        <f>IF('Données projet'!$A$140&gt;35,CT25+CS26-DB25,IF(A26&lt;'Données projet'!$A$140,$CQ$205^A26,IF(A26='Données projet'!$A$140,'Données projet'!$B$140,CT25+CS26-DB25)))</f>
        <v>30</v>
      </c>
      <c r="CU26" s="18">
        <f>CT26*VLOOKUP('Données projet'!$B$13,Paramètres!$A$1:$I$89,3,0)*VLOOKUP('Données projet'!$B$13,Paramètres!$A$1:$I$89,5,0)</f>
        <v>32.292000000000002</v>
      </c>
      <c r="CV26" s="14">
        <f t="shared" si="41"/>
        <v>9.9308942483743401</v>
      </c>
      <c r="CW26" s="22">
        <f t="shared" si="13"/>
        <v>73.538207482585321</v>
      </c>
      <c r="CX26" s="60">
        <f t="shared" si="14"/>
        <v>358.31598526036311</v>
      </c>
      <c r="CY26" s="60">
        <f ca="1">AVERAGE(OFFSET($CX$3,0,0,'Données projet'!$E$13+1,1))-AVERAGE(OFFSET($H$3,0,0,'Données projet'!$E$13+1,1))</f>
        <v>280.20599015000306</v>
      </c>
      <c r="CZ26" s="60">
        <f t="shared" si="42"/>
        <v>166.97658184507787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7.8205128205128203</v>
      </c>
      <c r="DO26" s="13">
        <f>IF('Données projet'!$A$166&gt;35,DO25+DN26-DW25,IF(A26&lt;'Données projet'!$A$166,$DL$205^A26,IF(A26='Données projet'!$A$166,'Données projet'!$B$166,DO25+DN26-DW25)))</f>
        <v>102.30769230769229</v>
      </c>
      <c r="DP26" s="18">
        <f>DO26*VLOOKUP('Données projet'!$B$14,Paramètres!$A$1:$I$89,3,0)*VLOOKUP('Données projet'!$B$14,Paramètres!$A$1:$I$89,5,0)</f>
        <v>68.627999999999986</v>
      </c>
      <c r="DQ26" s="14">
        <f t="shared" si="43"/>
        <v>19.332350089930401</v>
      </c>
      <c r="DR26" s="22">
        <f t="shared" si="16"/>
        <v>153.19760973996208</v>
      </c>
      <c r="DS26" s="60">
        <f t="shared" si="17"/>
        <v>437.97538751773982</v>
      </c>
      <c r="DT26" s="60">
        <f ca="1">AVERAGE(OFFSET($DS$3,0,0,'Données projet'!$E$14+1,1))-AVERAGE(OFFSET($H$3,0,0,'Données projet'!$E$14+1,1))</f>
        <v>291.18686311753402</v>
      </c>
      <c r="DU26" s="60">
        <f t="shared" si="44"/>
        <v>215.44422413249839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4.5999999999999996</v>
      </c>
      <c r="EJ26" s="13">
        <f>IF('Données projet'!$A$192&gt;35,EJ25+EI26-ER25,IF(A26&lt;'Données projet'!$A$192,$EG$205^A26,IF(A26='Données projet'!$A$192,'Données projet'!$B$192,EJ25+EI26-ER25)))</f>
        <v>67.8</v>
      </c>
      <c r="EK26" s="18">
        <f>EJ26*VLOOKUP('Données projet'!$B$15,Paramètres!$A$1:$I$89,3,0)*VLOOKUP('Données projet'!$B$15,Paramètres!$A$1:$I$89,5,0)</f>
        <v>54.999360000000003</v>
      </c>
      <c r="EL26" s="14">
        <f t="shared" si="45"/>
        <v>15.897618537944966</v>
      </c>
      <c r="EM26" s="22">
        <f t="shared" si="19"/>
        <v>123.47890428692084</v>
      </c>
      <c r="EN26" s="60">
        <f t="shared" si="20"/>
        <v>408.25668206469862</v>
      </c>
      <c r="EO26" s="60">
        <f ca="1">AVERAGE(OFFSET($EN$3,0,0,'Données projet'!$E$15+1,1))-AVERAGE(OFFSET($H$3,0,0,'Données projet'!$E$15+1,1))</f>
        <v>236.22643401787644</v>
      </c>
      <c r="EP26" s="60">
        <f t="shared" si="46"/>
        <v>188.80444043778022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8">
        <f t="shared" si="1"/>
        <v>256.66666666666669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0" t="e">
        <f t="shared" si="0"/>
        <v>#NUM!</v>
      </c>
      <c r="S27" s="60">
        <f ca="1">AVERAGE(OFFSET($R$3,0,0,'Données projet'!$E$9+1,1))-AVERAGE(OFFSET($H$3,0,0,'Données projet'!$E$9+1,1))</f>
        <v>144.55635559713392</v>
      </c>
      <c r="T27" s="60">
        <f t="shared" si="34"/>
        <v>349.14692715126904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68.631371746754368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1.761972655123982</v>
      </c>
      <c r="AC27" s="24">
        <f t="shared" si="3"/>
        <v>70.393344401878352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58.269120000000008</v>
      </c>
      <c r="AK27" s="14">
        <f t="shared" si="35"/>
        <v>16.729905486873804</v>
      </c>
      <c r="AL27" s="22">
        <f t="shared" si="4"/>
        <v>130.62330272297189</v>
      </c>
      <c r="AM27" s="60">
        <f t="shared" si="5"/>
        <v>416.62330272297186</v>
      </c>
      <c r="AN27" s="60">
        <f ca="1">AVERAGE(OFFSET($AM$3,0,0,'Données projet'!$E$10+1,1))-AVERAGE(OFFSET($H$3,0,0,'Données projet'!$E$10+1,1))</f>
        <v>428.8489304403459</v>
      </c>
      <c r="AO27" s="60">
        <f t="shared" si="36"/>
        <v>247.01165577562966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projet'!$B$11,Paramètres!$A$1:$I$89,3,0)*VLOOKUP('Données projet'!$B$11,Paramètres!$A$1:$I$89,5,0)</f>
        <v>65.301600000000008</v>
      </c>
      <c r="BF27" s="14">
        <f t="shared" si="37"/>
        <v>18.502003309535596</v>
      </c>
      <c r="BG27" s="22">
        <f t="shared" si="7"/>
        <v>145.95794243077449</v>
      </c>
      <c r="BH27" s="60">
        <f t="shared" si="8"/>
        <v>431.95794243077449</v>
      </c>
      <c r="BI27" s="60">
        <f ca="1">AVERAGE(OFFSET($BH$3,0,0,'Données projet'!$E$11+1,1))-AVERAGE(OFFSET($H$3,0,0,'Données projet'!$E$11+1,1))</f>
        <v>475.47920969424894</v>
      </c>
      <c r="BJ27" s="60">
        <f t="shared" si="38"/>
        <v>271.73544012419364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3</v>
      </c>
      <c r="BY27" s="13">
        <f>IF('Données projet'!$A$114&gt;35,BY26+BX27-CG26,IF(A27&lt;'Données projet'!$A$114,$BV$205^A27,IF(A27='Données projet'!$A$114,'Données projet'!$B$114,BY26+BX27-CG26)))</f>
        <v>33</v>
      </c>
      <c r="BZ27" s="14">
        <f>BY27*VLOOKUP('Données projet'!$B$12,Paramètres!$A$1:$I$89,3,0)*VLOOKUP('Données projet'!$B$12,Paramètres!$A$1:$I$89,5,0)</f>
        <v>31.917600000000004</v>
      </c>
      <c r="CA27" s="14">
        <f t="shared" si="39"/>
        <v>9.829086885605312</v>
      </c>
      <c r="CB27" s="22">
        <f t="shared" si="10"/>
        <v>72.708812992429259</v>
      </c>
      <c r="CC27" s="60">
        <f t="shared" si="11"/>
        <v>358.70881299242927</v>
      </c>
      <c r="CD27" s="60">
        <f ca="1">AVERAGE(OFFSET($CC$3,0,0,'Données projet'!$E$12+1,1))-AVERAGE(OFFSET($H$3,0,0,'Données projet'!$E$12+1,1))</f>
        <v>255.59755832175625</v>
      </c>
      <c r="CE27" s="60">
        <f t="shared" si="40"/>
        <v>154.0840647586964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3</v>
      </c>
      <c r="CT27" s="13">
        <f>IF('Données projet'!$A$140&gt;35,CT26+CS27-DB26,IF(A27&lt;'Données projet'!$A$140,$CQ$205^A27,IF(A27='Données projet'!$A$140,'Données projet'!$B$140,CT26+CS27-DB26)))</f>
        <v>33</v>
      </c>
      <c r="CU27" s="18">
        <f>CT27*VLOOKUP('Données projet'!$B$13,Paramètres!$A$1:$I$89,3,0)*VLOOKUP('Données projet'!$B$13,Paramètres!$A$1:$I$89,5,0)</f>
        <v>35.5212</v>
      </c>
      <c r="CV27" s="14">
        <f t="shared" si="41"/>
        <v>10.803461630334509</v>
      </c>
      <c r="CW27" s="22">
        <f t="shared" si="13"/>
        <v>80.682119006165934</v>
      </c>
      <c r="CX27" s="60">
        <f t="shared" si="14"/>
        <v>366.68211900616592</v>
      </c>
      <c r="CY27" s="60">
        <f ca="1">AVERAGE(OFFSET($CX$3,0,0,'Données projet'!$E$13+1,1))-AVERAGE(OFFSET($H$3,0,0,'Données projet'!$E$13+1,1))</f>
        <v>280.20599015000306</v>
      </c>
      <c r="CZ27" s="60">
        <f t="shared" si="42"/>
        <v>166.97658184507787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7.8205128205128203</v>
      </c>
      <c r="DO27" s="13">
        <f>IF('Données projet'!$A$166&gt;35,DO26+DN27-DW26,IF(A27&lt;'Données projet'!$A$166,$DL$205^A27,IF(A27='Données projet'!$A$166,'Données projet'!$B$166,DO26+DN27-DW26)))</f>
        <v>110.12820512820511</v>
      </c>
      <c r="DP27" s="18">
        <f>DO27*VLOOKUP('Données projet'!$B$14,Paramètres!$A$1:$I$89,3,0)*VLOOKUP('Données projet'!$B$14,Paramètres!$A$1:$I$89,5,0)</f>
        <v>73.873999999999981</v>
      </c>
      <c r="DQ27" s="14">
        <f t="shared" si="43"/>
        <v>20.632471598177712</v>
      </c>
      <c r="DR27" s="22">
        <f t="shared" si="16"/>
        <v>164.59877136682616</v>
      </c>
      <c r="DS27" s="60">
        <f t="shared" si="17"/>
        <v>450.59877136682616</v>
      </c>
      <c r="DT27" s="60">
        <f ca="1">AVERAGE(OFFSET($DS$3,0,0,'Données projet'!$E$14+1,1))-AVERAGE(OFFSET($H$3,0,0,'Données projet'!$E$14+1,1))</f>
        <v>291.18686311753402</v>
      </c>
      <c r="DU27" s="60">
        <f t="shared" si="44"/>
        <v>215.44422413249839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4.5999999999999996</v>
      </c>
      <c r="EJ27" s="13">
        <f>IF('Données projet'!$A$192&gt;35,EJ26+EI27-ER26,IF(A27&lt;'Données projet'!$A$192,$EG$205^A27,IF(A27='Données projet'!$A$192,'Données projet'!$B$192,EJ26+EI27-ER26)))</f>
        <v>72.399999999999991</v>
      </c>
      <c r="EK27" s="18">
        <f>EJ27*VLOOKUP('Données projet'!$B$15,Paramètres!$A$1:$I$89,3,0)*VLOOKUP('Données projet'!$B$15,Paramètres!$A$1:$I$89,5,0)</f>
        <v>58.730879999999999</v>
      </c>
      <c r="EL27" s="14">
        <f t="shared" si="45"/>
        <v>16.846997503350572</v>
      </c>
      <c r="EM27" s="22">
        <f t="shared" si="19"/>
        <v>131.63146998500227</v>
      </c>
      <c r="EN27" s="60">
        <f t="shared" si="20"/>
        <v>417.63146998500224</v>
      </c>
      <c r="EO27" s="60">
        <f ca="1">AVERAGE(OFFSET($EN$3,0,0,'Données projet'!$E$15+1,1))-AVERAGE(OFFSET($H$3,0,0,'Données projet'!$E$15+1,1))</f>
        <v>236.22643401787644</v>
      </c>
      <c r="EP27" s="60">
        <f t="shared" si="46"/>
        <v>188.80444043778022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8">
        <f t="shared" si="1"/>
        <v>256.66666666666669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0" t="e">
        <f t="shared" si="0"/>
        <v>#NUM!</v>
      </c>
      <c r="S28" s="60">
        <f ca="1">AVERAGE(OFFSET($R$3,0,0,'Données projet'!$E$9+1,1))-AVERAGE(OFFSET($H$3,0,0,'Données projet'!$E$9+1,1))</f>
        <v>144.55635559713392</v>
      </c>
      <c r="T28" s="60">
        <f t="shared" si="34"/>
        <v>349.14692715126904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67.285552407803848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1.2459028127034337</v>
      </c>
      <c r="AC28" s="24">
        <f t="shared" si="3"/>
        <v>68.531455220507283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63.335999999999991</v>
      </c>
      <c r="AK28" s="14">
        <f t="shared" si="35"/>
        <v>18.009040022946227</v>
      </c>
      <c r="AL28" s="22">
        <f t="shared" si="4"/>
        <v>141.67594470663133</v>
      </c>
      <c r="AM28" s="60">
        <f t="shared" si="5"/>
        <v>428.89816692885358</v>
      </c>
      <c r="AN28" s="60">
        <f ca="1">AVERAGE(OFFSET($AM$3,0,0,'Données projet'!$E$10+1,1))-AVERAGE(OFFSET($H$3,0,0,'Données projet'!$E$10+1,1))</f>
        <v>428.8489304403459</v>
      </c>
      <c r="AO28" s="60">
        <f t="shared" si="36"/>
        <v>247.01165577562966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70.98</v>
      </c>
      <c r="BF28" s="14">
        <f t="shared" si="37"/>
        <v>19.916628839746853</v>
      </c>
      <c r="BG28" s="22">
        <f t="shared" si="7"/>
        <v>158.31162856255909</v>
      </c>
      <c r="BH28" s="60">
        <f t="shared" si="8"/>
        <v>445.53385078478129</v>
      </c>
      <c r="BI28" s="60">
        <f ca="1">AVERAGE(OFFSET($BH$3,0,0,'Données projet'!$E$11+1,1))-AVERAGE(OFFSET($H$3,0,0,'Données projet'!$E$11+1,1))</f>
        <v>475.47920969424894</v>
      </c>
      <c r="BJ28" s="60">
        <f t="shared" si="38"/>
        <v>271.73544012419364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36</v>
      </c>
      <c r="BW28" s="13">
        <f>VLOOKUP(A28,'Données projet'!$A$113:$I$133,9,0)</f>
        <v>3</v>
      </c>
      <c r="BX28" s="13">
        <f t="array" ref="BX28">INDEX(BW:BW,MIN(IF(ISNUMBER(BW28:BW224),ROW(BW28:BW224),"")))</f>
        <v>3</v>
      </c>
      <c r="BY28" s="13">
        <f>IF('Données projet'!$A$114&gt;35,BY27+BX28-CG27,IF(A28&lt;'Données projet'!$A$114,$BV$205^A28,IF(A28='Données projet'!$A$114,'Données projet'!$B$114,BY27+BX28-CG27)))</f>
        <v>36</v>
      </c>
      <c r="BZ28" s="14">
        <f>BY28*VLOOKUP('Données projet'!$B$12,Paramètres!$A$1:$I$89,3,0)*VLOOKUP('Données projet'!$B$12,Paramètres!$A$1:$I$89,5,0)</f>
        <v>34.819200000000002</v>
      </c>
      <c r="CA28" s="14">
        <f t="shared" si="39"/>
        <v>10.61458811221417</v>
      </c>
      <c r="CB28" s="22">
        <f t="shared" si="10"/>
        <v>79.130514295439681</v>
      </c>
      <c r="CC28" s="60">
        <f t="shared" si="11"/>
        <v>366.35273651766192</v>
      </c>
      <c r="CD28" s="60">
        <f ca="1">AVERAGE(OFFSET($CC$3,0,0,'Données projet'!$E$12+1,1))-AVERAGE(OFFSET($H$3,0,0,'Données projet'!$E$12+1,1))</f>
        <v>255.59755832175625</v>
      </c>
      <c r="CE28" s="60">
        <f t="shared" si="40"/>
        <v>154.0840647586964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36</v>
      </c>
      <c r="CR28" s="13">
        <f>VLOOKUP(A28,'Données projet'!$A$139:$I$159,9,0)</f>
        <v>3</v>
      </c>
      <c r="CS28" s="13">
        <f t="array" ref="CS28">INDEX(CR:CR,MIN(IF(ISNUMBER(CR28:CR224),ROW(CR28:CR224),"")))</f>
        <v>3</v>
      </c>
      <c r="CT28" s="13">
        <f>IF('Données projet'!$A$140&gt;35,CT27+CS28-DB27,IF(A28&lt;'Données projet'!$A$140,$CQ$205^A28,IF(A28='Données projet'!$A$140,'Données projet'!$B$140,CT27+CS28-DB27)))</f>
        <v>36</v>
      </c>
      <c r="CU28" s="18">
        <f>CT28*VLOOKUP('Données projet'!$B$13,Paramètres!$A$1:$I$89,3,0)*VLOOKUP('Données projet'!$B$13,Paramètres!$A$1:$I$89,5,0)</f>
        <v>38.750399999999999</v>
      </c>
      <c r="CV28" s="14">
        <f t="shared" si="41"/>
        <v>11.666830981019302</v>
      </c>
      <c r="CW28" s="22">
        <f t="shared" si="13"/>
        <v>87.810010625275268</v>
      </c>
      <c r="CX28" s="60">
        <f t="shared" si="14"/>
        <v>375.03223284749748</v>
      </c>
      <c r="CY28" s="60">
        <f ca="1">AVERAGE(OFFSET($CX$3,0,0,'Données projet'!$E$13+1,1))-AVERAGE(OFFSET($H$3,0,0,'Données projet'!$E$13+1,1))</f>
        <v>280.20599015000306</v>
      </c>
      <c r="CZ28" s="60">
        <f t="shared" si="42"/>
        <v>166.97658184507787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117.94871794871794</v>
      </c>
      <c r="DM28" s="13">
        <f>VLOOKUP(A28,'Données projet'!$A$165:$I$185,9,0)</f>
        <v>7.8205128205128203</v>
      </c>
      <c r="DN28" s="13">
        <f t="array" ref="DN28">INDEX(DM:DM,MIN(IF(ISNUMBER(DM28:DM224),ROW(DM28:DM224),"")))</f>
        <v>7.8205128205128203</v>
      </c>
      <c r="DO28" s="13">
        <f>IF('Données projet'!$A$166&gt;35,DO27+DN28-DW27,IF(A28&lt;'Données projet'!$A$166,$DL$205^A28,IF(A28='Données projet'!$A$166,'Données projet'!$B$166,DO27+DN28-DW27)))</f>
        <v>117.94871794871793</v>
      </c>
      <c r="DP28" s="18">
        <f>DO28*VLOOKUP('Données projet'!$B$14,Paramètres!$A$1:$I$89,3,0)*VLOOKUP('Données projet'!$B$14,Paramètres!$A$1:$I$89,5,0)</f>
        <v>79.11999999999999</v>
      </c>
      <c r="DQ28" s="14">
        <f t="shared" si="43"/>
        <v>21.921881238270821</v>
      </c>
      <c r="DR28" s="22">
        <f t="shared" si="16"/>
        <v>175.98127648998829</v>
      </c>
      <c r="DS28" s="60">
        <f t="shared" si="17"/>
        <v>463.20349871221049</v>
      </c>
      <c r="DT28" s="60">
        <f ca="1">AVERAGE(OFFSET($DS$3,0,0,'Données projet'!$E$14+1,1))-AVERAGE(OFFSET($H$3,0,0,'Données projet'!$E$14+1,1))</f>
        <v>291.18686311753402</v>
      </c>
      <c r="DU28" s="60">
        <f t="shared" si="44"/>
        <v>215.44422413249839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36.53846153846154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77</v>
      </c>
      <c r="EH28" s="13">
        <f>VLOOKUP(A28,'Données projet'!$A$191:$I$211,9,0)</f>
        <v>4.5999999999999996</v>
      </c>
      <c r="EI28" s="13">
        <f t="array" ref="EI28">INDEX(EH:EH,MIN(IF(ISNUMBER(EH28:EH224),ROW(EH28:EH224),"")))</f>
        <v>4.5999999999999996</v>
      </c>
      <c r="EJ28" s="13">
        <f>IF('Données projet'!$A$192&gt;35,EJ27+EI28-ER27,IF(A28&lt;'Données projet'!$A$192,$EG$205^A28,IF(A28='Données projet'!$A$192,'Données projet'!$B$192,EJ27+EI28-ER27)))</f>
        <v>76.999999999999986</v>
      </c>
      <c r="EK28" s="18">
        <f>EJ28*VLOOKUP('Données projet'!$B$15,Paramètres!$A$1:$I$89,3,0)*VLOOKUP('Données projet'!$B$15,Paramètres!$A$1:$I$89,5,0)</f>
        <v>62.462399999999988</v>
      </c>
      <c r="EL28" s="14">
        <f t="shared" si="45"/>
        <v>17.789376189256878</v>
      </c>
      <c r="EM28" s="22">
        <f t="shared" si="19"/>
        <v>139.7718435296224</v>
      </c>
      <c r="EN28" s="60">
        <f t="shared" si="20"/>
        <v>426.99406575184463</v>
      </c>
      <c r="EO28" s="60">
        <f ca="1">AVERAGE(OFFSET($EN$3,0,0,'Données projet'!$E$15+1,1))-AVERAGE(OFFSET($H$3,0,0,'Données projet'!$E$15+1,1))</f>
        <v>236.22643401787644</v>
      </c>
      <c r="EP28" s="60">
        <f t="shared" si="46"/>
        <v>188.80444043778022</v>
      </c>
      <c r="EQ28" s="16">
        <f>IF(ISNA(VLOOKUP(A28,'Données projet'!$A$191:$I$211,3,0)),0,VLOOKUP(A28,'Données projet'!$A$191:$I$211,3,0))</f>
        <v>1</v>
      </c>
      <c r="ER28" s="16">
        <f>IF(ISNA(VLOOKUP(A28,'Données projet'!$A$191:$I$211,4,0)),0,VLOOKUP(A28,'Données projet'!$A$191:$I$211,4,0))</f>
        <v>13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8">
        <f t="shared" si="1"/>
        <v>256.66666666666669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0" t="e">
        <f t="shared" si="0"/>
        <v>#NUM!</v>
      </c>
      <c r="S29" s="60">
        <f ca="1">AVERAGE(OFFSET($R$3,0,0,'Données projet'!$E$9+1,1))-AVERAGE(OFFSET($H$3,0,0,'Données projet'!$E$9+1,1))</f>
        <v>144.55635559713392</v>
      </c>
      <c r="T29" s="60">
        <f t="shared" si="34"/>
        <v>349.14692715126904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65.966123765221411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0.88098632756199102</v>
      </c>
      <c r="AC29" s="24">
        <f t="shared" si="3"/>
        <v>66.847110092783396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69.669600000000003</v>
      </c>
      <c r="AK29" s="14">
        <f t="shared" si="35"/>
        <v>19.591385027476957</v>
      </c>
      <c r="AL29" s="22">
        <f t="shared" si="4"/>
        <v>155.46288225618903</v>
      </c>
      <c r="AM29" s="60">
        <f t="shared" si="5"/>
        <v>443.90732670063346</v>
      </c>
      <c r="AN29" s="60">
        <f ca="1">AVERAGE(OFFSET($AM$3,0,0,'Données projet'!$E$10+1,1))-AVERAGE(OFFSET($H$3,0,0,'Données projet'!$E$10+1,1))</f>
        <v>428.8489304403459</v>
      </c>
      <c r="AO29" s="60">
        <f t="shared" si="36"/>
        <v>247.01165577562966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77</v>
      </c>
      <c r="BE29" s="14">
        <f>BD29*VLOOKUP('Données projet'!$B$11,Paramètres!$A$1:$I$89,3,0)*VLOOKUP('Données projet'!$B$11,Paramètres!$A$1:$I$89,5,0)</f>
        <v>78.078000000000003</v>
      </c>
      <c r="BF29" s="14">
        <f t="shared" si="37"/>
        <v>21.666582091642084</v>
      </c>
      <c r="BG29" s="22">
        <f t="shared" si="7"/>
        <v>173.72181380960993</v>
      </c>
      <c r="BH29" s="60">
        <f t="shared" si="8"/>
        <v>462.16625825405436</v>
      </c>
      <c r="BI29" s="60">
        <f ca="1">AVERAGE(OFFSET($BH$3,0,0,'Données projet'!$E$11+1,1))-AVERAGE(OFFSET($H$3,0,0,'Données projet'!$E$11+1,1))</f>
        <v>475.47920969424894</v>
      </c>
      <c r="BJ29" s="60">
        <f t="shared" si="38"/>
        <v>271.73544012419364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3.6</v>
      </c>
      <c r="BY29" s="13">
        <f>IF('Données projet'!$A$114&gt;35,BY28+BX29-CG28,IF(A29&lt;'Données projet'!$A$114,$BV$205^A29,IF(A29='Données projet'!$A$114,'Données projet'!$B$114,BY28+BX29-CG28)))</f>
        <v>39.6</v>
      </c>
      <c r="BZ29" s="14">
        <f>BY29*VLOOKUP('Données projet'!$B$12,Paramètres!$A$1:$I$89,3,0)*VLOOKUP('Données projet'!$B$12,Paramètres!$A$1:$I$89,5,0)</f>
        <v>38.301119999999997</v>
      </c>
      <c r="CA29" s="14">
        <f t="shared" si="39"/>
        <v>11.547227522927502</v>
      </c>
      <c r="CB29" s="22">
        <f t="shared" si="10"/>
        <v>86.819205269098731</v>
      </c>
      <c r="CC29" s="60">
        <f t="shared" si="11"/>
        <v>375.2636497135432</v>
      </c>
      <c r="CD29" s="60">
        <f ca="1">AVERAGE(OFFSET($CC$3,0,0,'Données projet'!$E$12+1,1))-AVERAGE(OFFSET($H$3,0,0,'Données projet'!$E$12+1,1))</f>
        <v>255.59755832175625</v>
      </c>
      <c r="CE29" s="60">
        <f t="shared" si="40"/>
        <v>154.0840647586964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3.6</v>
      </c>
      <c r="CT29" s="13">
        <f>IF('Données projet'!$A$140&gt;35,CT28+CS29-DB28,IF(A29&lt;'Données projet'!$A$140,$CQ$205^A29,IF(A29='Données projet'!$A$140,'Données projet'!$B$140,CT28+CS29-DB28)))</f>
        <v>39.6</v>
      </c>
      <c r="CU29" s="18">
        <f>CT29*VLOOKUP('Données projet'!$B$13,Paramètres!$A$1:$I$89,3,0)*VLOOKUP('Données projet'!$B$13,Paramètres!$A$1:$I$89,5,0)</f>
        <v>42.625439999999998</v>
      </c>
      <c r="CV29" s="14">
        <f t="shared" si="41"/>
        <v>12.691924583898647</v>
      </c>
      <c r="CW29" s="22">
        <f t="shared" si="13"/>
        <v>96.344409983623464</v>
      </c>
      <c r="CX29" s="60">
        <f t="shared" si="14"/>
        <v>384.78885442806791</v>
      </c>
      <c r="CY29" s="60">
        <f ca="1">AVERAGE(OFFSET($CX$3,0,0,'Données projet'!$E$13+1,1))-AVERAGE(OFFSET($H$3,0,0,'Données projet'!$E$13+1,1))</f>
        <v>280.20599015000306</v>
      </c>
      <c r="CZ29" s="60">
        <f t="shared" si="42"/>
        <v>166.97658184507787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7.6923076923076907</v>
      </c>
      <c r="DO29" s="13">
        <f>IF('Données projet'!$A$166&gt;35,DO28+DN29-DW28,IF(A29&lt;'Données projet'!$A$166,$DL$205^A29,IF(A29='Données projet'!$A$166,'Données projet'!$B$166,DO28+DN29-DW28)))</f>
        <v>89.102564102564088</v>
      </c>
      <c r="DP29" s="18">
        <f>DO29*VLOOKUP('Données projet'!$B$14,Paramètres!$A$1:$I$89,3,0)*VLOOKUP('Données projet'!$B$14,Paramètres!$A$1:$I$89,5,0)</f>
        <v>59.769999999999989</v>
      </c>
      <c r="DQ29" s="14">
        <f t="shared" si="43"/>
        <v>17.110104804168579</v>
      </c>
      <c r="DR29" s="22">
        <f t="shared" si="16"/>
        <v>133.89951586726025</v>
      </c>
      <c r="DS29" s="60">
        <f t="shared" si="17"/>
        <v>422.34396031170468</v>
      </c>
      <c r="DT29" s="60">
        <f ca="1">AVERAGE(OFFSET($DS$3,0,0,'Données projet'!$E$14+1,1))-AVERAGE(OFFSET($H$3,0,0,'Données projet'!$E$14+1,1))</f>
        <v>291.18686311753402</v>
      </c>
      <c r="DU29" s="60">
        <f t="shared" si="44"/>
        <v>215.44422413249839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4</v>
      </c>
      <c r="EJ29" s="13">
        <f>IF('Données projet'!$A$192&gt;35,EJ28+EI29-ER28,IF(A29&lt;'Données projet'!$A$192,$EG$205^A29,IF(A29='Données projet'!$A$192,'Données projet'!$B$192,EJ28+EI29-ER28)))</f>
        <v>67.999999999999986</v>
      </c>
      <c r="EK29" s="18">
        <f>EJ29*VLOOKUP('Données projet'!$B$15,Paramètres!$A$1:$I$89,3,0)*VLOOKUP('Données projet'!$B$15,Paramètres!$A$1:$I$89,5,0)</f>
        <v>55.161599999999993</v>
      </c>
      <c r="EL29" s="14">
        <f t="shared" si="45"/>
        <v>15.939048410367359</v>
      </c>
      <c r="EM29" s="22">
        <f t="shared" si="19"/>
        <v>123.83362931472313</v>
      </c>
      <c r="EN29" s="60">
        <f t="shared" si="20"/>
        <v>412.27807375916757</v>
      </c>
      <c r="EO29" s="60">
        <f ca="1">AVERAGE(OFFSET($EN$3,0,0,'Données projet'!$E$15+1,1))-AVERAGE(OFFSET($H$3,0,0,'Données projet'!$E$15+1,1))</f>
        <v>236.22643401787644</v>
      </c>
      <c r="EP29" s="60">
        <f t="shared" si="46"/>
        <v>188.80444043778022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8">
        <f t="shared" si="1"/>
        <v>256.66666666666669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0" t="e">
        <f t="shared" si="0"/>
        <v>#NUM!</v>
      </c>
      <c r="S30" s="60">
        <f ca="1">AVERAGE(OFFSET($R$3,0,0,'Données projet'!$E$9+1,1))-AVERAGE(OFFSET($H$3,0,0,'Données projet'!$E$9+1,1))</f>
        <v>144.55635559713392</v>
      </c>
      <c r="T30" s="60">
        <f t="shared" si="34"/>
        <v>349.14692715126904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64.672568313547998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0.62295140635171686</v>
      </c>
      <c r="AC30" s="24">
        <f t="shared" si="3"/>
        <v>65.295519719899715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76.003200000000007</v>
      </c>
      <c r="AK30" s="14">
        <f t="shared" si="35"/>
        <v>21.157049992000456</v>
      </c>
      <c r="AL30" s="22">
        <f t="shared" si="4"/>
        <v>169.22076873606747</v>
      </c>
      <c r="AM30" s="60">
        <f t="shared" si="5"/>
        <v>458.88743540273413</v>
      </c>
      <c r="AN30" s="60">
        <f ca="1">AVERAGE(OFFSET($AM$3,0,0,'Données projet'!$E$10+1,1))-AVERAGE(OFFSET($H$3,0,0,'Données projet'!$E$10+1,1))</f>
        <v>428.8489304403459</v>
      </c>
      <c r="AO30" s="60">
        <f t="shared" si="36"/>
        <v>247.01165577562966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84</v>
      </c>
      <c r="BE30" s="14">
        <f>BD30*VLOOKUP('Données projet'!$B$11,Paramètres!$A$1:$I$89,3,0)*VLOOKUP('Données projet'!$B$11,Paramètres!$A$1:$I$89,5,0)</f>
        <v>85.176000000000002</v>
      </c>
      <c r="BF30" s="14">
        <f t="shared" si="37"/>
        <v>23.398088487656441</v>
      </c>
      <c r="BG30" s="22">
        <f t="shared" si="7"/>
        <v>189.09987078266829</v>
      </c>
      <c r="BH30" s="60">
        <f t="shared" si="8"/>
        <v>478.76653744933498</v>
      </c>
      <c r="BI30" s="60">
        <f ca="1">AVERAGE(OFFSET($BH$3,0,0,'Données projet'!$E$11+1,1))-AVERAGE(OFFSET($H$3,0,0,'Données projet'!$E$11+1,1))</f>
        <v>475.47920969424894</v>
      </c>
      <c r="BJ30" s="60">
        <f t="shared" si="38"/>
        <v>271.73544012419364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3.6</v>
      </c>
      <c r="BY30" s="13">
        <f>IF('Données projet'!$A$114&gt;35,BY29+BX30-CG29,IF(A30&lt;'Données projet'!$A$114,$BV$205^A30,IF(A30='Données projet'!$A$114,'Données projet'!$B$114,BY29+BX30-CG29)))</f>
        <v>43.2</v>
      </c>
      <c r="BZ30" s="14">
        <f>BY30*VLOOKUP('Données projet'!$B$12,Paramètres!$A$1:$I$89,3,0)*VLOOKUP('Données projet'!$B$12,Paramètres!$A$1:$I$89,5,0)</f>
        <v>41.783040000000007</v>
      </c>
      <c r="CA30" s="14">
        <f t="shared" si="39"/>
        <v>12.470035662559953</v>
      </c>
      <c r="CB30" s="22">
        <f t="shared" si="10"/>
        <v>94.490773445625265</v>
      </c>
      <c r="CC30" s="60">
        <f t="shared" si="11"/>
        <v>384.15744011229197</v>
      </c>
      <c r="CD30" s="60">
        <f ca="1">AVERAGE(OFFSET($CC$3,0,0,'Données projet'!$E$12+1,1))-AVERAGE(OFFSET($H$3,0,0,'Données projet'!$E$12+1,1))</f>
        <v>255.59755832175625</v>
      </c>
      <c r="CE30" s="60">
        <f t="shared" si="40"/>
        <v>154.0840647586964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3.6</v>
      </c>
      <c r="CT30" s="13">
        <f>IF('Données projet'!$A$140&gt;35,CT29+CS30-DB29,IF(A30&lt;'Données projet'!$A$140,$CQ$205^A30,IF(A30='Données projet'!$A$140,'Données projet'!$B$140,CT29+CS30-DB29)))</f>
        <v>43.2</v>
      </c>
      <c r="CU30" s="18">
        <f>CT30*VLOOKUP('Données projet'!$B$13,Paramètres!$A$1:$I$89,3,0)*VLOOKUP('Données projet'!$B$13,Paramètres!$A$1:$I$89,5,0)</f>
        <v>46.500480000000003</v>
      </c>
      <c r="CV30" s="14">
        <f t="shared" si="41"/>
        <v>13.706212324429247</v>
      </c>
      <c r="CW30" s="22">
        <f t="shared" si="13"/>
        <v>104.85998913171427</v>
      </c>
      <c r="CX30" s="60">
        <f t="shared" si="14"/>
        <v>394.52665579838094</v>
      </c>
      <c r="CY30" s="60">
        <f ca="1">AVERAGE(OFFSET($CX$3,0,0,'Données projet'!$E$13+1,1))-AVERAGE(OFFSET($H$3,0,0,'Données projet'!$E$13+1,1))</f>
        <v>280.20599015000306</v>
      </c>
      <c r="CZ30" s="60">
        <f t="shared" si="42"/>
        <v>166.97658184507787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7.6923076923076907</v>
      </c>
      <c r="DO30" s="13">
        <f>IF('Données projet'!$A$166&gt;35,DO29+DN30-DW29,IF(A30&lt;'Données projet'!$A$166,$DL$205^A30,IF(A30='Données projet'!$A$166,'Données projet'!$B$166,DO29+DN30-DW29)))</f>
        <v>96.794871794871781</v>
      </c>
      <c r="DP30" s="18">
        <f>DO30*VLOOKUP('Données projet'!$B$14,Paramètres!$A$1:$I$89,3,0)*VLOOKUP('Données projet'!$B$14,Paramètres!$A$1:$I$89,5,0)</f>
        <v>64.929999999999993</v>
      </c>
      <c r="DQ30" s="14">
        <f t="shared" si="43"/>
        <v>18.408941721487473</v>
      </c>
      <c r="DR30" s="22">
        <f t="shared" si="16"/>
        <v>145.14865683159067</v>
      </c>
      <c r="DS30" s="60">
        <f t="shared" si="17"/>
        <v>434.81532349825738</v>
      </c>
      <c r="DT30" s="60">
        <f ca="1">AVERAGE(OFFSET($DS$3,0,0,'Données projet'!$E$14+1,1))-AVERAGE(OFFSET($H$3,0,0,'Données projet'!$E$14+1,1))</f>
        <v>291.18686311753402</v>
      </c>
      <c r="DU30" s="60">
        <f t="shared" si="44"/>
        <v>215.44422413249839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4</v>
      </c>
      <c r="EJ30" s="13">
        <f>IF('Données projet'!$A$192&gt;35,EJ29+EI30-ER29,IF(A30&lt;'Données projet'!$A$192,$EG$205^A30,IF(A30='Données projet'!$A$192,'Données projet'!$B$192,EJ29+EI30-ER29)))</f>
        <v>71.999999999999986</v>
      </c>
      <c r="EK30" s="18">
        <f>EJ30*VLOOKUP('Données projet'!$B$15,Paramètres!$A$1:$I$89,3,0)*VLOOKUP('Données projet'!$B$15,Paramètres!$A$1:$I$89,5,0)</f>
        <v>58.406399999999991</v>
      </c>
      <c r="EL30" s="14">
        <f t="shared" si="45"/>
        <v>16.764727871227809</v>
      </c>
      <c r="EM30" s="22">
        <f t="shared" si="19"/>
        <v>130.92304770905506</v>
      </c>
      <c r="EN30" s="60">
        <f t="shared" si="20"/>
        <v>420.58971437572177</v>
      </c>
      <c r="EO30" s="60">
        <f ca="1">AVERAGE(OFFSET($EN$3,0,0,'Données projet'!$E$15+1,1))-AVERAGE(OFFSET($H$3,0,0,'Données projet'!$E$15+1,1))</f>
        <v>236.22643401787644</v>
      </c>
      <c r="EP30" s="60">
        <f t="shared" si="46"/>
        <v>188.80444043778022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8">
        <f t="shared" si="1"/>
        <v>256.66666666666669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0" t="e">
        <f t="shared" si="0"/>
        <v>#NUM!</v>
      </c>
      <c r="S31" s="60">
        <f ca="1">AVERAGE(OFFSET($R$3,0,0,'Données projet'!$E$9+1,1))-AVERAGE(OFFSET($H$3,0,0,'Données projet'!$E$9+1,1))</f>
        <v>144.55635559713392</v>
      </c>
      <c r="T31" s="60">
        <f t="shared" si="34"/>
        <v>349.14692715126904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63.404378695290987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0.44049316378099551</v>
      </c>
      <c r="AC31" s="24">
        <f t="shared" si="3"/>
        <v>63.844871859071979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82.336799999999997</v>
      </c>
      <c r="AK31" s="14">
        <f t="shared" si="35"/>
        <v>22.707582950885364</v>
      </c>
      <c r="AL31" s="22">
        <f t="shared" si="4"/>
        <v>182.95230030612535</v>
      </c>
      <c r="AM31" s="60">
        <f t="shared" si="5"/>
        <v>473.84118919501418</v>
      </c>
      <c r="AN31" s="60">
        <f ca="1">AVERAGE(OFFSET($AM$3,0,0,'Données projet'!$E$10+1,1))-AVERAGE(OFFSET($H$3,0,0,'Données projet'!$E$10+1,1))</f>
        <v>428.8489304403459</v>
      </c>
      <c r="AO31" s="60">
        <f t="shared" si="36"/>
        <v>247.01165577562966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91</v>
      </c>
      <c r="BE31" s="14">
        <f>BD31*VLOOKUP('Données projet'!$B$11,Paramètres!$A$1:$I$89,3,0)*VLOOKUP('Données projet'!$B$11,Paramètres!$A$1:$I$89,5,0)</f>
        <v>92.274000000000001</v>
      </c>
      <c r="BF31" s="14">
        <f t="shared" si="37"/>
        <v>25.112860036087575</v>
      </c>
      <c r="BG31" s="22">
        <f t="shared" si="7"/>
        <v>204.4487812295192</v>
      </c>
      <c r="BH31" s="60">
        <f t="shared" si="8"/>
        <v>495.33767011840803</v>
      </c>
      <c r="BI31" s="60">
        <f ca="1">AVERAGE(OFFSET($BH$3,0,0,'Données projet'!$E$11+1,1))-AVERAGE(OFFSET($H$3,0,0,'Données projet'!$E$11+1,1))</f>
        <v>475.47920969424894</v>
      </c>
      <c r="BJ31" s="60">
        <f t="shared" si="38"/>
        <v>271.73544012419364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3.6</v>
      </c>
      <c r="BY31" s="13">
        <f>IF('Données projet'!$A$114&gt;35,BY30+BX31-CG30,IF(A31&lt;'Données projet'!$A$114,$BV$205^A31,IF(A31='Données projet'!$A$114,'Données projet'!$B$114,BY30+BX31-CG30)))</f>
        <v>46.800000000000004</v>
      </c>
      <c r="BZ31" s="14">
        <f>BY31*VLOOKUP('Données projet'!$B$12,Paramètres!$A$1:$I$89,3,0)*VLOOKUP('Données projet'!$B$12,Paramètres!$A$1:$I$89,5,0)</f>
        <v>45.264960000000002</v>
      </c>
      <c r="CA31" s="14">
        <f t="shared" si="39"/>
        <v>13.383924947719283</v>
      </c>
      <c r="CB31" s="22">
        <f t="shared" si="10"/>
        <v>102.14680795061109</v>
      </c>
      <c r="CC31" s="60">
        <f t="shared" si="11"/>
        <v>393.03569683949996</v>
      </c>
      <c r="CD31" s="60">
        <f ca="1">AVERAGE(OFFSET($CC$3,0,0,'Données projet'!$E$12+1,1))-AVERAGE(OFFSET($H$3,0,0,'Données projet'!$E$12+1,1))</f>
        <v>255.59755832175625</v>
      </c>
      <c r="CE31" s="60">
        <f t="shared" si="40"/>
        <v>154.0840647586964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3.6</v>
      </c>
      <c r="CT31" s="13">
        <f>IF('Données projet'!$A$140&gt;35,CT30+CS31-DB30,IF(A31&lt;'Données projet'!$A$140,$CQ$205^A31,IF(A31='Données projet'!$A$140,'Données projet'!$B$140,CT30+CS31-DB30)))</f>
        <v>46.800000000000004</v>
      </c>
      <c r="CU31" s="18">
        <f>CT31*VLOOKUP('Données projet'!$B$13,Paramètres!$A$1:$I$89,3,0)*VLOOKUP('Données projet'!$B$13,Paramètres!$A$1:$I$89,5,0)</f>
        <v>50.375520000000002</v>
      </c>
      <c r="CV31" s="14">
        <f t="shared" si="41"/>
        <v>14.710697068688855</v>
      </c>
      <c r="CW31" s="22">
        <f t="shared" si="13"/>
        <v>113.3584947279664</v>
      </c>
      <c r="CX31" s="60">
        <f t="shared" si="14"/>
        <v>404.24738361685525</v>
      </c>
      <c r="CY31" s="60">
        <f ca="1">AVERAGE(OFFSET($CX$3,0,0,'Données projet'!$E$13+1,1))-AVERAGE(OFFSET($H$3,0,0,'Données projet'!$E$13+1,1))</f>
        <v>280.20599015000306</v>
      </c>
      <c r="CZ31" s="60">
        <f t="shared" si="42"/>
        <v>166.97658184507787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7.6923076923076907</v>
      </c>
      <c r="DO31" s="13">
        <f>IF('Données projet'!$A$166&gt;35,DO30+DN31-DW30,IF(A31&lt;'Données projet'!$A$166,$DL$205^A31,IF(A31='Données projet'!$A$166,'Données projet'!$B$166,DO30+DN31-DW30)))</f>
        <v>104.48717948717947</v>
      </c>
      <c r="DP31" s="18">
        <f>DO31*VLOOKUP('Données projet'!$B$14,Paramètres!$A$1:$I$89,3,0)*VLOOKUP('Données projet'!$B$14,Paramètres!$A$1:$I$89,5,0)</f>
        <v>70.089999999999989</v>
      </c>
      <c r="DQ31" s="14">
        <f t="shared" si="43"/>
        <v>19.695806071745888</v>
      </c>
      <c r="DR31" s="22">
        <f t="shared" si="16"/>
        <v>156.3769455749574</v>
      </c>
      <c r="DS31" s="60">
        <f t="shared" si="17"/>
        <v>447.26583446384626</v>
      </c>
      <c r="DT31" s="60">
        <f ca="1">AVERAGE(OFFSET($DS$3,0,0,'Données projet'!$E$14+1,1))-AVERAGE(OFFSET($H$3,0,0,'Données projet'!$E$14+1,1))</f>
        <v>291.18686311753402</v>
      </c>
      <c r="DU31" s="60">
        <f t="shared" si="44"/>
        <v>215.44422413249839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4</v>
      </c>
      <c r="EJ31" s="13">
        <f>IF('Données projet'!$A$192&gt;35,EJ30+EI31-ER30,IF(A31&lt;'Données projet'!$A$192,$EG$205^A31,IF(A31='Données projet'!$A$192,'Données projet'!$B$192,EJ30+EI31-ER30)))</f>
        <v>75.999999999999986</v>
      </c>
      <c r="EK31" s="18">
        <f>EJ31*VLOOKUP('Données projet'!$B$15,Paramètres!$A$1:$I$89,3,0)*VLOOKUP('Données projet'!$B$15,Paramètres!$A$1:$I$89,5,0)</f>
        <v>61.651199999999996</v>
      </c>
      <c r="EL31" s="14">
        <f t="shared" si="45"/>
        <v>17.585082273674896</v>
      </c>
      <c r="EM31" s="22">
        <f t="shared" si="19"/>
        <v>138.00319162665042</v>
      </c>
      <c r="EN31" s="60">
        <f t="shared" si="20"/>
        <v>428.89208051553931</v>
      </c>
      <c r="EO31" s="60">
        <f ca="1">AVERAGE(OFFSET($EN$3,0,0,'Données projet'!$E$15+1,1))-AVERAGE(OFFSET($H$3,0,0,'Données projet'!$E$15+1,1))</f>
        <v>236.22643401787644</v>
      </c>
      <c r="EP31" s="60">
        <f t="shared" si="46"/>
        <v>188.80444043778022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8">
        <f t="shared" si="1"/>
        <v>256.66666666666669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0" t="e">
        <f t="shared" si="0"/>
        <v>#NUM!</v>
      </c>
      <c r="S32" s="60">
        <f ca="1">AVERAGE(OFFSET($R$3,0,0,'Données projet'!$E$9+1,1))-AVERAGE(OFFSET($H$3,0,0,'Données projet'!$E$9+1,1))</f>
        <v>144.55635559713392</v>
      </c>
      <c r="T32" s="60">
        <f t="shared" si="34"/>
        <v>349.14692715126904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62.16105750192871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0.31147570317585843</v>
      </c>
      <c r="AC32" s="24">
        <f t="shared" si="3"/>
        <v>62.472533205104568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88.670400000000001</v>
      </c>
      <c r="AK32" s="14">
        <f t="shared" si="35"/>
        <v>24.244280250395512</v>
      </c>
      <c r="AL32" s="22">
        <f t="shared" si="4"/>
        <v>196.65973476943884</v>
      </c>
      <c r="AM32" s="60">
        <f t="shared" si="5"/>
        <v>488.77084588054998</v>
      </c>
      <c r="AN32" s="60">
        <f ca="1">AVERAGE(OFFSET($AM$3,0,0,'Données projet'!$E$10+1,1))-AVERAGE(OFFSET($H$3,0,0,'Données projet'!$E$10+1,1))</f>
        <v>428.8489304403459</v>
      </c>
      <c r="AO32" s="60">
        <f t="shared" si="36"/>
        <v>247.01165577562966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98</v>
      </c>
      <c r="BE32" s="14">
        <f>BD32*VLOOKUP('Données projet'!$B$11,Paramètres!$A$1:$I$89,3,0)*VLOOKUP('Données projet'!$B$11,Paramètres!$A$1:$I$89,5,0)</f>
        <v>99.372000000000014</v>
      </c>
      <c r="BF32" s="14">
        <f t="shared" si="37"/>
        <v>26.812330397327713</v>
      </c>
      <c r="BG32" s="22">
        <f t="shared" si="7"/>
        <v>219.7710421086791</v>
      </c>
      <c r="BH32" s="60">
        <f t="shared" si="8"/>
        <v>511.88215321979021</v>
      </c>
      <c r="BI32" s="60">
        <f ca="1">AVERAGE(OFFSET($BH$3,0,0,'Données projet'!$E$11+1,1))-AVERAGE(OFFSET($H$3,0,0,'Données projet'!$E$11+1,1))</f>
        <v>475.47920969424894</v>
      </c>
      <c r="BJ32" s="60">
        <f t="shared" si="38"/>
        <v>271.73544012419364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3.6</v>
      </c>
      <c r="BY32" s="13">
        <f>IF('Données projet'!$A$114&gt;35,BY31+BX32-CG31,IF(A32&lt;'Données projet'!$A$114,$BV$205^A32,IF(A32='Données projet'!$A$114,'Données projet'!$B$114,BY31+BX32-CG31)))</f>
        <v>50.400000000000006</v>
      </c>
      <c r="BZ32" s="14">
        <f>BY32*VLOOKUP('Données projet'!$B$12,Paramètres!$A$1:$I$89,3,0)*VLOOKUP('Données projet'!$B$12,Paramètres!$A$1:$I$89,5,0)</f>
        <v>48.746880000000012</v>
      </c>
      <c r="CA32" s="14">
        <f t="shared" si="39"/>
        <v>14.2896594492068</v>
      </c>
      <c r="CB32" s="22">
        <f t="shared" si="10"/>
        <v>109.78863954070187</v>
      </c>
      <c r="CC32" s="60">
        <f t="shared" si="11"/>
        <v>401.89975065181301</v>
      </c>
      <c r="CD32" s="60">
        <f ca="1">AVERAGE(OFFSET($CC$3,0,0,'Données projet'!$E$12+1,1))-AVERAGE(OFFSET($H$3,0,0,'Données projet'!$E$12+1,1))</f>
        <v>255.59755832175625</v>
      </c>
      <c r="CE32" s="60">
        <f t="shared" si="40"/>
        <v>154.0840647586964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3.6</v>
      </c>
      <c r="CT32" s="13">
        <f>IF('Données projet'!$A$140&gt;35,CT31+CS32-DB31,IF(A32&lt;'Données projet'!$A$140,$CQ$205^A32,IF(A32='Données projet'!$A$140,'Données projet'!$B$140,CT31+CS32-DB31)))</f>
        <v>50.400000000000006</v>
      </c>
      <c r="CU32" s="18">
        <f>CT32*VLOOKUP('Données projet'!$B$13,Paramètres!$A$1:$I$89,3,0)*VLOOKUP('Données projet'!$B$13,Paramètres!$A$1:$I$89,5,0)</f>
        <v>54.250560000000007</v>
      </c>
      <c r="CV32" s="14">
        <f t="shared" si="41"/>
        <v>15.706218631166928</v>
      </c>
      <c r="CW32" s="22">
        <f t="shared" si="13"/>
        <v>121.84138944928242</v>
      </c>
      <c r="CX32" s="60">
        <f t="shared" si="14"/>
        <v>413.95250056039356</v>
      </c>
      <c r="CY32" s="60">
        <f ca="1">AVERAGE(OFFSET($CX$3,0,0,'Données projet'!$E$13+1,1))-AVERAGE(OFFSET($H$3,0,0,'Données projet'!$E$13+1,1))</f>
        <v>280.20599015000306</v>
      </c>
      <c r="CZ32" s="60">
        <f t="shared" si="42"/>
        <v>166.97658184507787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7.6923076923076907</v>
      </c>
      <c r="DO32" s="13">
        <f>IF('Données projet'!$A$166&gt;35,DO31+DN32-DW31,IF(A32&lt;'Données projet'!$A$166,$DL$205^A32,IF(A32='Données projet'!$A$166,'Données projet'!$B$166,DO31+DN32-DW31)))</f>
        <v>112.17948717948717</v>
      </c>
      <c r="DP32" s="18">
        <f>DO32*VLOOKUP('Données projet'!$B$14,Paramètres!$A$1:$I$89,3,0)*VLOOKUP('Données projet'!$B$14,Paramètres!$A$1:$I$89,5,0)</f>
        <v>75.25</v>
      </c>
      <c r="DQ32" s="14">
        <f t="shared" si="43"/>
        <v>20.971679502814343</v>
      </c>
      <c r="DR32" s="22">
        <f t="shared" si="16"/>
        <v>167.58609180073498</v>
      </c>
      <c r="DS32" s="60">
        <f t="shared" si="17"/>
        <v>459.69720291184615</v>
      </c>
      <c r="DT32" s="60">
        <f ca="1">AVERAGE(OFFSET($DS$3,0,0,'Données projet'!$E$14+1,1))-AVERAGE(OFFSET($H$3,0,0,'Données projet'!$E$14+1,1))</f>
        <v>291.18686311753402</v>
      </c>
      <c r="DU32" s="60">
        <f t="shared" si="44"/>
        <v>215.44422413249839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4</v>
      </c>
      <c r="EJ32" s="13">
        <f>IF('Données projet'!$A$192&gt;35,EJ31+EI32-ER31,IF(A32&lt;'Données projet'!$A$192,$EG$205^A32,IF(A32='Données projet'!$A$192,'Données projet'!$B$192,EJ31+EI32-ER31)))</f>
        <v>79.999999999999986</v>
      </c>
      <c r="EK32" s="18">
        <f>EJ32*VLOOKUP('Données projet'!$B$15,Paramètres!$A$1:$I$89,3,0)*VLOOKUP('Données projet'!$B$15,Paramètres!$A$1:$I$89,5,0)</f>
        <v>64.895999999999987</v>
      </c>
      <c r="EL32" s="14">
        <f t="shared" si="45"/>
        <v>18.400423846102949</v>
      </c>
      <c r="EM32" s="22">
        <f t="shared" si="19"/>
        <v>145.07460486529592</v>
      </c>
      <c r="EN32" s="60">
        <f t="shared" si="20"/>
        <v>437.1857159764071</v>
      </c>
      <c r="EO32" s="60">
        <f ca="1">AVERAGE(OFFSET($EN$3,0,0,'Données projet'!$E$15+1,1))-AVERAGE(OFFSET($H$3,0,0,'Données projet'!$E$15+1,1))</f>
        <v>236.22643401787644</v>
      </c>
      <c r="EP32" s="60">
        <f t="shared" si="46"/>
        <v>188.80444043778022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8">
        <f t="shared" si="1"/>
        <v>256.66666666666669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0" t="e">
        <f t="shared" si="0"/>
        <v>#NUM!</v>
      </c>
      <c r="S33" s="60">
        <f ca="1">AVERAGE(OFFSET($R$3,0,0,'Données projet'!$E$9+1,1))-AVERAGE(OFFSET($H$3,0,0,'Données projet'!$E$9+1,1))</f>
        <v>144.55635559713392</v>
      </c>
      <c r="T33" s="60">
        <f t="shared" si="34"/>
        <v>349.14692715126904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60.942117078817219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0.22024658189049776</v>
      </c>
      <c r="AC33" s="24">
        <f t="shared" si="3"/>
        <v>61.162363660707719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95.004000000000005</v>
      </c>
      <c r="AK33" s="14">
        <f t="shared" si="35"/>
        <v>25.768242550600785</v>
      </c>
      <c r="AL33" s="22">
        <f t="shared" si="4"/>
        <v>210.34498910896306</v>
      </c>
      <c r="AM33" s="60">
        <f t="shared" si="5"/>
        <v>503.67832244229635</v>
      </c>
      <c r="AN33" s="60">
        <f ca="1">AVERAGE(OFFSET($AM$3,0,0,'Données projet'!$E$10+1,1))-AVERAGE(OFFSET($H$3,0,0,'Données projet'!$E$10+1,1))</f>
        <v>428.8489304403459</v>
      </c>
      <c r="AO33" s="60">
        <f t="shared" si="36"/>
        <v>247.01165577562966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105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105</v>
      </c>
      <c r="BE33" s="14">
        <f>BD33*VLOOKUP('Données projet'!$B$11,Paramètres!$A$1:$I$89,3,0)*VLOOKUP('Données projet'!$B$11,Paramètres!$A$1:$I$89,5,0)</f>
        <v>106.47</v>
      </c>
      <c r="BF33" s="14">
        <f t="shared" si="37"/>
        <v>28.49771681771891</v>
      </c>
      <c r="BG33" s="22">
        <f t="shared" si="7"/>
        <v>235.06877345752704</v>
      </c>
      <c r="BH33" s="60">
        <f t="shared" si="8"/>
        <v>528.40210679086033</v>
      </c>
      <c r="BI33" s="60">
        <f ca="1">AVERAGE(OFFSET($BH$3,0,0,'Données projet'!$E$11+1,1))-AVERAGE(OFFSET($H$3,0,0,'Données projet'!$E$11+1,1))</f>
        <v>475.47920969424894</v>
      </c>
      <c r="BJ33" s="60">
        <f t="shared" si="38"/>
        <v>271.73544012419364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29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54</v>
      </c>
      <c r="BW33" s="13">
        <f>VLOOKUP(A33,'Données projet'!$A$113:$I$133,9,0)</f>
        <v>3.6</v>
      </c>
      <c r="BX33" s="13">
        <f t="array" ref="BX33">INDEX(BW:BW,MIN(IF(ISNUMBER(BW33:BW229),ROW(BW33:BW229),"")))</f>
        <v>3.6</v>
      </c>
      <c r="BY33" s="13">
        <f>IF('Données projet'!$A$114&gt;35,BY32+BX33-CG32,IF(A33&lt;'Données projet'!$A$114,$BV$205^A33,IF(A33='Données projet'!$A$114,'Données projet'!$B$114,BY32+BX33-CG32)))</f>
        <v>54.000000000000007</v>
      </c>
      <c r="BZ33" s="14">
        <f>BY33*VLOOKUP('Données projet'!$B$12,Paramètres!$A$1:$I$89,3,0)*VLOOKUP('Données projet'!$B$12,Paramètres!$A$1:$I$89,5,0)</f>
        <v>52.228800000000007</v>
      </c>
      <c r="CA33" s="14">
        <f t="shared" si="39"/>
        <v>15.18788789973001</v>
      </c>
      <c r="CB33" s="22">
        <f t="shared" si="10"/>
        <v>117.41739809202979</v>
      </c>
      <c r="CC33" s="60">
        <f t="shared" si="11"/>
        <v>410.75073142536309</v>
      </c>
      <c r="CD33" s="60">
        <f ca="1">AVERAGE(OFFSET($CC$3,0,0,'Données projet'!$E$12+1,1))-AVERAGE(OFFSET($H$3,0,0,'Données projet'!$E$12+1,1))</f>
        <v>255.59755832175625</v>
      </c>
      <c r="CE33" s="60">
        <f t="shared" si="40"/>
        <v>154.0840647586964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54</v>
      </c>
      <c r="CR33" s="13">
        <f>VLOOKUP(A33,'Données projet'!$A$139:$I$159,9,0)</f>
        <v>3.6</v>
      </c>
      <c r="CS33" s="13">
        <f t="array" ref="CS33">INDEX(CR:CR,MIN(IF(ISNUMBER(CR33:CR229),ROW(CR33:CR229),"")))</f>
        <v>3.6</v>
      </c>
      <c r="CT33" s="13">
        <f>IF('Données projet'!$A$140&gt;35,CT32+CS33-DB32,IF(A33&lt;'Données projet'!$A$140,$CQ$205^A33,IF(A33='Données projet'!$A$140,'Données projet'!$B$140,CT32+CS33-DB32)))</f>
        <v>54.000000000000007</v>
      </c>
      <c r="CU33" s="18">
        <f>CT33*VLOOKUP('Données projet'!$B$13,Paramètres!$A$1:$I$89,3,0)*VLOOKUP('Données projet'!$B$13,Paramètres!$A$1:$I$89,5,0)</f>
        <v>58.125600000000013</v>
      </c>
      <c r="CV33" s="14">
        <f t="shared" si="41"/>
        <v>16.693490054590175</v>
      </c>
      <c r="CW33" s="22">
        <f t="shared" si="13"/>
        <v>130.30991517841125</v>
      </c>
      <c r="CX33" s="60">
        <f t="shared" si="14"/>
        <v>423.64324851174456</v>
      </c>
      <c r="CY33" s="60">
        <f ca="1">AVERAGE(OFFSET($CX$3,0,0,'Données projet'!$E$13+1,1))-AVERAGE(OFFSET($H$3,0,0,'Données projet'!$E$13+1,1))</f>
        <v>280.20599015000306</v>
      </c>
      <c r="CZ33" s="60">
        <f t="shared" si="42"/>
        <v>166.97658184507787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119.87179487179486</v>
      </c>
      <c r="DM33" s="13">
        <f>VLOOKUP(A33,'Données projet'!$A$165:$I$185,9,0)</f>
        <v>7.6923076923076907</v>
      </c>
      <c r="DN33" s="13">
        <f t="array" ref="DN33">INDEX(DM:DM,MIN(IF(ISNUMBER(DM33:DM229),ROW(DM33:DM229),"")))</f>
        <v>7.6923076923076907</v>
      </c>
      <c r="DO33" s="13">
        <f>IF('Données projet'!$A$166&gt;35,DO32+DN33-DW32,IF(A33&lt;'Données projet'!$A$166,$DL$205^A33,IF(A33='Données projet'!$A$166,'Données projet'!$B$166,DO32+DN33-DW32)))</f>
        <v>119.87179487179486</v>
      </c>
      <c r="DP33" s="18">
        <f>DO33*VLOOKUP('Données projet'!$B$14,Paramètres!$A$1:$I$89,3,0)*VLOOKUP('Données projet'!$B$14,Paramètres!$A$1:$I$89,5,0)</f>
        <v>80.41</v>
      </c>
      <c r="DQ33" s="14">
        <f t="shared" si="43"/>
        <v>22.2374014157886</v>
      </c>
      <c r="DR33" s="22">
        <f t="shared" si="16"/>
        <v>178.77755746583179</v>
      </c>
      <c r="DS33" s="60">
        <f t="shared" si="17"/>
        <v>472.11089079916508</v>
      </c>
      <c r="DT33" s="60">
        <f ca="1">AVERAGE(OFFSET($DS$3,0,0,'Données projet'!$E$14+1,1))-AVERAGE(OFFSET($H$3,0,0,'Données projet'!$E$14+1,1))</f>
        <v>291.18686311753402</v>
      </c>
      <c r="DU33" s="60">
        <f t="shared" si="44"/>
        <v>215.44422413249839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84</v>
      </c>
      <c r="EH33" s="13">
        <f>VLOOKUP(A33,'Données projet'!$A$191:$I$211,9,0)</f>
        <v>4</v>
      </c>
      <c r="EI33" s="13">
        <f t="array" ref="EI33">INDEX(EH:EH,MIN(IF(ISNUMBER(EH33:EH229),ROW(EH33:EH229),"")))</f>
        <v>4</v>
      </c>
      <c r="EJ33" s="13">
        <f>IF('Données projet'!$A$192&gt;35,EJ32+EI33-ER32,IF(A33&lt;'Données projet'!$A$192,$EG$205^A33,IF(A33='Données projet'!$A$192,'Données projet'!$B$192,EJ32+EI33-ER32)))</f>
        <v>83.999999999999986</v>
      </c>
      <c r="EK33" s="18">
        <f>EJ33*VLOOKUP('Données projet'!$B$15,Paramètres!$A$1:$I$89,3,0)*VLOOKUP('Données projet'!$B$15,Paramètres!$A$1:$I$89,5,0)</f>
        <v>68.140799999999984</v>
      </c>
      <c r="EL33" s="14">
        <f t="shared" si="45"/>
        <v>19.21103183030446</v>
      </c>
      <c r="EM33" s="22">
        <f t="shared" si="19"/>
        <v>152.13777377111359</v>
      </c>
      <c r="EN33" s="60">
        <f t="shared" si="20"/>
        <v>445.4711071044469</v>
      </c>
      <c r="EO33" s="60">
        <f ca="1">AVERAGE(OFFSET($EN$3,0,0,'Données projet'!$E$15+1,1))-AVERAGE(OFFSET($H$3,0,0,'Données projet'!$E$15+1,1))</f>
        <v>236.22643401787644</v>
      </c>
      <c r="EP33" s="60">
        <f t="shared" si="46"/>
        <v>188.80444043778022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8">
        <f t="shared" si="1"/>
        <v>256.66666666666669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0" t="e">
        <f t="shared" si="0"/>
        <v>#NUM!</v>
      </c>
      <c r="S34" s="60">
        <f ca="1">AVERAGE(OFFSET($R$3,0,0,'Données projet'!$E$9+1,1))-AVERAGE(OFFSET($H$3,0,0,'Données projet'!$E$9+1,1))</f>
        <v>144.55635559713392</v>
      </c>
      <c r="T34" s="60">
        <f t="shared" si="34"/>
        <v>349.14692715126904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59.747079333922699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0.15573785158792922</v>
      </c>
      <c r="AC34" s="24">
        <f t="shared" si="3"/>
        <v>59.902817185510628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76.003200000000007</v>
      </c>
      <c r="AK34" s="14">
        <f t="shared" si="35"/>
        <v>21.157049992000456</v>
      </c>
      <c r="AL34" s="22">
        <f t="shared" si="4"/>
        <v>169.22076873606747</v>
      </c>
      <c r="AM34" s="60">
        <f t="shared" si="5"/>
        <v>462.55410206940076</v>
      </c>
      <c r="AN34" s="60">
        <f ca="1">AVERAGE(OFFSET($AM$3,0,0,'Données projet'!$E$10+1,1))-AVERAGE(OFFSET($H$3,0,0,'Données projet'!$E$10+1,1))</f>
        <v>428.8489304403459</v>
      </c>
      <c r="AO34" s="60">
        <f t="shared" si="36"/>
        <v>247.01165577562966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projet'!$B$11,Paramètres!$A$1:$I$89,3,0)*VLOOKUP('Données projet'!$B$11,Paramètres!$A$1:$I$89,5,0)</f>
        <v>85.176000000000002</v>
      </c>
      <c r="BF34" s="14">
        <f t="shared" si="37"/>
        <v>23.398088487656441</v>
      </c>
      <c r="BG34" s="22">
        <f t="shared" si="7"/>
        <v>189.09987078266829</v>
      </c>
      <c r="BH34" s="60">
        <f t="shared" si="8"/>
        <v>482.4332041160016</v>
      </c>
      <c r="BI34" s="60">
        <f ca="1">AVERAGE(OFFSET($BH$3,0,0,'Données projet'!$E$11+1,1))-AVERAGE(OFFSET($H$3,0,0,'Données projet'!$E$11+1,1))</f>
        <v>475.47920969424894</v>
      </c>
      <c r="BJ34" s="60">
        <f t="shared" si="38"/>
        <v>271.73544012419364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3.6</v>
      </c>
      <c r="BY34" s="13">
        <f>IF('Données projet'!$A$114&gt;35,BY33+BX34-CG33,IF(A34&lt;'Données projet'!$A$114,$BV$205^A34,IF(A34='Données projet'!$A$114,'Données projet'!$B$114,BY33+BX34-CG33)))</f>
        <v>57.600000000000009</v>
      </c>
      <c r="BZ34" s="14">
        <f>BY34*VLOOKUP('Données projet'!$B$12,Paramètres!$A$1:$I$89,3,0)*VLOOKUP('Données projet'!$B$12,Paramètres!$A$1:$I$89,5,0)</f>
        <v>55.710720000000009</v>
      </c>
      <c r="CA34" s="14">
        <f t="shared" si="39"/>
        <v>16.079167640728176</v>
      </c>
      <c r="CB34" s="22">
        <f t="shared" si="10"/>
        <v>125.03405430760159</v>
      </c>
      <c r="CC34" s="60">
        <f t="shared" si="11"/>
        <v>418.36738764093491</v>
      </c>
      <c r="CD34" s="60">
        <f ca="1">AVERAGE(OFFSET($CC$3,0,0,'Données projet'!$E$12+1,1))-AVERAGE(OFFSET($H$3,0,0,'Données projet'!$E$12+1,1))</f>
        <v>255.59755832175625</v>
      </c>
      <c r="CE34" s="60">
        <f t="shared" si="40"/>
        <v>154.0840647586964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3.6</v>
      </c>
      <c r="CT34" s="13">
        <f>IF('Données projet'!$A$140&gt;35,CT33+CS34-DB33,IF(A34&lt;'Données projet'!$A$140,$CQ$205^A34,IF(A34='Données projet'!$A$140,'Données projet'!$B$140,CT33+CS34-DB33)))</f>
        <v>57.600000000000009</v>
      </c>
      <c r="CU34" s="18">
        <f>CT34*VLOOKUP('Données projet'!$B$13,Paramètres!$A$1:$I$89,3,0)*VLOOKUP('Données projet'!$B$13,Paramètres!$A$1:$I$89,5,0)</f>
        <v>62.000640000000004</v>
      </c>
      <c r="CV34" s="14">
        <f t="shared" si="41"/>
        <v>17.6731239306392</v>
      </c>
      <c r="CW34" s="22">
        <f t="shared" si="13"/>
        <v>138.76513884586331</v>
      </c>
      <c r="CX34" s="60">
        <f t="shared" si="14"/>
        <v>432.09847217919662</v>
      </c>
      <c r="CY34" s="60">
        <f ca="1">AVERAGE(OFFSET($CX$3,0,0,'Données projet'!$E$13+1,1))-AVERAGE(OFFSET($H$3,0,0,'Données projet'!$E$13+1,1))</f>
        <v>280.20599015000306</v>
      </c>
      <c r="CZ34" s="60">
        <f t="shared" si="42"/>
        <v>166.97658184507787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7.1794871794871824</v>
      </c>
      <c r="DO34" s="13">
        <f>IF('Données projet'!$A$166&gt;35,DO33+DN34-DW33,IF(A34&lt;'Données projet'!$A$166,$DL$205^A34,IF(A34='Données projet'!$A$166,'Données projet'!$B$166,DO33+DN34-DW33)))</f>
        <v>127.05128205128204</v>
      </c>
      <c r="DP34" s="18">
        <f>DO34*VLOOKUP('Données projet'!$B$14,Paramètres!$A$1:$I$89,3,0)*VLOOKUP('Données projet'!$B$14,Paramètres!$A$1:$I$89,5,0)</f>
        <v>85.225999999999999</v>
      </c>
      <c r="DQ34" s="14">
        <f t="shared" si="43"/>
        <v>23.410224444266952</v>
      </c>
      <c r="DR34" s="22">
        <f t="shared" si="16"/>
        <v>189.20809090709827</v>
      </c>
      <c r="DS34" s="60">
        <f t="shared" si="17"/>
        <v>482.54142424043158</v>
      </c>
      <c r="DT34" s="60">
        <f ca="1">AVERAGE(OFFSET($DS$3,0,0,'Données projet'!$E$14+1,1))-AVERAGE(OFFSET($H$3,0,0,'Données projet'!$E$14+1,1))</f>
        <v>291.18686311753402</v>
      </c>
      <c r="DU34" s="60">
        <f t="shared" si="44"/>
        <v>215.44422413249839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4.8</v>
      </c>
      <c r="EJ34" s="13">
        <f>IF('Données projet'!$A$192&gt;35,EJ33+EI34-ER33,IF(A34&lt;'Données projet'!$A$192,$EG$205^A34,IF(A34='Données projet'!$A$192,'Données projet'!$B$192,EJ33+EI34-ER33)))</f>
        <v>88.799999999999983</v>
      </c>
      <c r="EK34" s="18">
        <f>EJ34*VLOOKUP('Données projet'!$B$15,Paramètres!$A$1:$I$89,3,0)*VLOOKUP('Données projet'!$B$15,Paramètres!$A$1:$I$89,5,0)</f>
        <v>72.034559999999999</v>
      </c>
      <c r="EL34" s="14">
        <f t="shared" si="45"/>
        <v>20.177864949465988</v>
      </c>
      <c r="EM34" s="22">
        <f t="shared" si="19"/>
        <v>160.60330678698656</v>
      </c>
      <c r="EN34" s="60">
        <f t="shared" si="20"/>
        <v>453.93664012031991</v>
      </c>
      <c r="EO34" s="60">
        <f ca="1">AVERAGE(OFFSET($EN$3,0,0,'Données projet'!$E$15+1,1))-AVERAGE(OFFSET($H$3,0,0,'Données projet'!$E$15+1,1))</f>
        <v>236.22643401787644</v>
      </c>
      <c r="EP34" s="60">
        <f t="shared" si="46"/>
        <v>188.80444043778022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8">
        <f t="shared" si="1"/>
        <v>256.66666666666669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0" t="e">
        <f t="shared" si="0"/>
        <v>#NUM!</v>
      </c>
      <c r="S35" s="60">
        <f ca="1">AVERAGE(OFFSET($R$3,0,0,'Données projet'!$E$9+1,1))-AVERAGE(OFFSET($H$3,0,0,'Données projet'!$E$9+1,1))</f>
        <v>144.55635559713392</v>
      </c>
      <c r="T35" s="60">
        <f t="shared" si="34"/>
        <v>349.14692715126904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58.57547555030451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0.11012329094524888</v>
      </c>
      <c r="AC35" s="24">
        <f t="shared" si="3"/>
        <v>58.685598841249757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83.241600000000005</v>
      </c>
      <c r="AK35" s="14">
        <f t="shared" si="35"/>
        <v>22.927930643846508</v>
      </c>
      <c r="AL35" s="22">
        <f t="shared" si="4"/>
        <v>184.91193253803269</v>
      </c>
      <c r="AM35" s="60">
        <f t="shared" si="5"/>
        <v>478.24526587136597</v>
      </c>
      <c r="AN35" s="60">
        <f ca="1">AVERAGE(OFFSET($AM$3,0,0,'Données projet'!$E$10+1,1))-AVERAGE(OFFSET($H$3,0,0,'Données projet'!$E$10+1,1))</f>
        <v>428.8489304403459</v>
      </c>
      <c r="AO35" s="60">
        <f t="shared" si="36"/>
        <v>247.01165577562966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projet'!$B$11,Paramètres!$A$1:$I$89,3,0)*VLOOKUP('Données projet'!$B$11,Paramètres!$A$1:$I$89,5,0)</f>
        <v>93.288000000000011</v>
      </c>
      <c r="BF35" s="14">
        <f t="shared" si="37"/>
        <v>25.356547829040977</v>
      </c>
      <c r="BG35" s="22">
        <f t="shared" si="7"/>
        <v>206.63925413557971</v>
      </c>
      <c r="BH35" s="60">
        <f t="shared" si="8"/>
        <v>499.97258746891305</v>
      </c>
      <c r="BI35" s="60">
        <f ca="1">AVERAGE(OFFSET($BH$3,0,0,'Données projet'!$E$11+1,1))-AVERAGE(OFFSET($H$3,0,0,'Données projet'!$E$11+1,1))</f>
        <v>475.47920969424894</v>
      </c>
      <c r="BJ35" s="60">
        <f t="shared" si="38"/>
        <v>271.73544012419364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3.6</v>
      </c>
      <c r="BY35" s="13">
        <f>IF('Données projet'!$A$114&gt;35,BY34+BX35-CG34,IF(A35&lt;'Données projet'!$A$114,$BV$205^A35,IF(A35='Données projet'!$A$114,'Données projet'!$B$114,BY34+BX35-CG34)))</f>
        <v>61.20000000000001</v>
      </c>
      <c r="BZ35" s="14">
        <f>BY35*VLOOKUP('Données projet'!$B$12,Paramètres!$A$1:$I$89,3,0)*VLOOKUP('Données projet'!$B$12,Paramètres!$A$1:$I$89,5,0)</f>
        <v>59.192640000000004</v>
      </c>
      <c r="CA35" s="14">
        <f t="shared" si="39"/>
        <v>16.963982408330725</v>
      </c>
      <c r="CB35" s="22">
        <f t="shared" si="10"/>
        <v>132.63945069450935</v>
      </c>
      <c r="CC35" s="60">
        <f t="shared" si="11"/>
        <v>425.97278402784264</v>
      </c>
      <c r="CD35" s="60">
        <f ca="1">AVERAGE(OFFSET($CC$3,0,0,'Données projet'!$E$12+1,1))-AVERAGE(OFFSET($H$3,0,0,'Données projet'!$E$12+1,1))</f>
        <v>255.59755832175625</v>
      </c>
      <c r="CE35" s="60">
        <f t="shared" si="40"/>
        <v>154.0840647586964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3.6</v>
      </c>
      <c r="CT35" s="13">
        <f>IF('Données projet'!$A$140&gt;35,CT34+CS35-DB34,IF(A35&lt;'Données projet'!$A$140,$CQ$205^A35,IF(A35='Données projet'!$A$140,'Données projet'!$B$140,CT34+CS35-DB34)))</f>
        <v>61.20000000000001</v>
      </c>
      <c r="CU35" s="18">
        <f>CT35*VLOOKUP('Données projet'!$B$13,Paramètres!$A$1:$I$89,3,0)*VLOOKUP('Données projet'!$B$13,Paramètres!$A$1:$I$89,5,0)</f>
        <v>65.875680000000003</v>
      </c>
      <c r="CV35" s="14">
        <f t="shared" si="41"/>
        <v>18.64565194906039</v>
      </c>
      <c r="CW35" s="22">
        <f t="shared" si="13"/>
        <v>147.20798647794683</v>
      </c>
      <c r="CX35" s="60">
        <f t="shared" si="14"/>
        <v>440.54131981128012</v>
      </c>
      <c r="CY35" s="60">
        <f ca="1">AVERAGE(OFFSET($CX$3,0,0,'Données projet'!$E$13+1,1))-AVERAGE(OFFSET($H$3,0,0,'Données projet'!$E$13+1,1))</f>
        <v>280.20599015000306</v>
      </c>
      <c r="CZ35" s="60">
        <f t="shared" si="42"/>
        <v>166.97658184507787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7.1794871794871824</v>
      </c>
      <c r="DO35" s="13">
        <f>IF('Données projet'!$A$166&gt;35,DO34+DN35-DW34,IF(A35&lt;'Données projet'!$A$166,$DL$205^A35,IF(A35='Données projet'!$A$166,'Données projet'!$B$166,DO34+DN35-DW34)))</f>
        <v>134.23076923076923</v>
      </c>
      <c r="DP35" s="18">
        <f>DO35*VLOOKUP('Données projet'!$B$14,Paramètres!$A$1:$I$89,3,0)*VLOOKUP('Données projet'!$B$14,Paramètres!$A$1:$I$89,5,0)</f>
        <v>90.042000000000002</v>
      </c>
      <c r="DQ35" s="14">
        <f t="shared" si="43"/>
        <v>24.575354107485161</v>
      </c>
      <c r="DR35" s="22">
        <f t="shared" si="16"/>
        <v>199.62522507053666</v>
      </c>
      <c r="DS35" s="60">
        <f t="shared" si="17"/>
        <v>492.95855840386997</v>
      </c>
      <c r="DT35" s="60">
        <f ca="1">AVERAGE(OFFSET($DS$3,0,0,'Données projet'!$E$14+1,1))-AVERAGE(OFFSET($H$3,0,0,'Données projet'!$E$14+1,1))</f>
        <v>291.18686311753402</v>
      </c>
      <c r="DU35" s="60">
        <f t="shared" si="44"/>
        <v>215.44422413249839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4.8</v>
      </c>
      <c r="EJ35" s="13">
        <f>IF('Données projet'!$A$192&gt;35,EJ34+EI35-ER34,IF(A35&lt;'Données projet'!$A$192,$EG$205^A35,IF(A35='Données projet'!$A$192,'Données projet'!$B$192,EJ34+EI35-ER34)))</f>
        <v>93.59999999999998</v>
      </c>
      <c r="EK35" s="18">
        <f>EJ35*VLOOKUP('Données projet'!$B$15,Paramètres!$A$1:$I$89,3,0)*VLOOKUP('Données projet'!$B$15,Paramètres!$A$1:$I$89,5,0)</f>
        <v>75.928319999999985</v>
      </c>
      <c r="EL35" s="14">
        <f t="shared" si="45"/>
        <v>21.138630837616763</v>
      </c>
      <c r="EM35" s="22">
        <f t="shared" si="19"/>
        <v>169.05827270884916</v>
      </c>
      <c r="EN35" s="60">
        <f t="shared" si="20"/>
        <v>462.3916060421825</v>
      </c>
      <c r="EO35" s="60">
        <f ca="1">AVERAGE(OFFSET($EN$3,0,0,'Données projet'!$E$15+1,1))-AVERAGE(OFFSET($H$3,0,0,'Données projet'!$E$15+1,1))</f>
        <v>236.22643401787644</v>
      </c>
      <c r="EP35" s="60">
        <f t="shared" si="46"/>
        <v>188.80444043778022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8">
        <f t="shared" si="1"/>
        <v>256.66666666666669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0" t="e">
        <f t="shared" si="0"/>
        <v>#NUM!</v>
      </c>
      <c r="S36" s="60">
        <f ca="1">AVERAGE(OFFSET($R$3,0,0,'Données projet'!$E$9+1,1))-AVERAGE(OFFSET($H$3,0,0,'Données projet'!$E$9+1,1))</f>
        <v>144.55635559713392</v>
      </c>
      <c r="T36" s="60">
        <f t="shared" si="34"/>
        <v>349.14692715126904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57.426846202275328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7.7868925793964608E-2</v>
      </c>
      <c r="AC36" s="24">
        <f t="shared" si="3"/>
        <v>57.504715128069293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90.47999999999999</v>
      </c>
      <c r="AK36" s="14">
        <f t="shared" si="35"/>
        <v>24.680953573367994</v>
      </c>
      <c r="AL36" s="22">
        <f t="shared" si="4"/>
        <v>200.57199414028256</v>
      </c>
      <c r="AM36" s="60">
        <f t="shared" si="5"/>
        <v>493.9053274736159</v>
      </c>
      <c r="AN36" s="60">
        <f ca="1">AVERAGE(OFFSET($AM$3,0,0,'Données projet'!$E$10+1,1))-AVERAGE(OFFSET($H$3,0,0,'Données projet'!$E$10+1,1))</f>
        <v>428.8489304403459</v>
      </c>
      <c r="AO36" s="60">
        <f t="shared" si="36"/>
        <v>247.01165577562966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projet'!$B$11,Paramètres!$A$1:$I$89,3,0)*VLOOKUP('Données projet'!$B$11,Paramètres!$A$1:$I$89,5,0)</f>
        <v>101.4</v>
      </c>
      <c r="BF36" s="14">
        <f t="shared" si="37"/>
        <v>27.295257887453797</v>
      </c>
      <c r="BG36" s="22">
        <f t="shared" si="7"/>
        <v>224.14424082064872</v>
      </c>
      <c r="BH36" s="60">
        <f t="shared" si="8"/>
        <v>517.477574153982</v>
      </c>
      <c r="BI36" s="60">
        <f ca="1">AVERAGE(OFFSET($BH$3,0,0,'Données projet'!$E$11+1,1))-AVERAGE(OFFSET($H$3,0,0,'Données projet'!$E$11+1,1))</f>
        <v>475.47920969424894</v>
      </c>
      <c r="BJ36" s="60">
        <f t="shared" si="38"/>
        <v>271.73544012419364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3.6</v>
      </c>
      <c r="BY36" s="13">
        <f>IF('Données projet'!$A$114&gt;35,BY35+BX36-CG35,IF(A36&lt;'Données projet'!$A$114,$BV$205^A36,IF(A36='Données projet'!$A$114,'Données projet'!$B$114,BY35+BX36-CG35)))</f>
        <v>64.800000000000011</v>
      </c>
      <c r="BZ36" s="14">
        <f>BY36*VLOOKUP('Données projet'!$B$12,Paramètres!$A$1:$I$89,3,0)*VLOOKUP('Données projet'!$B$12,Paramètres!$A$1:$I$89,5,0)</f>
        <v>62.674560000000014</v>
      </c>
      <c r="CA36" s="14">
        <f t="shared" si="39"/>
        <v>17.8427558136393</v>
      </c>
      <c r="CB36" s="22">
        <f t="shared" si="10"/>
        <v>140.23432504208844</v>
      </c>
      <c r="CC36" s="60">
        <f t="shared" si="11"/>
        <v>433.56765837542173</v>
      </c>
      <c r="CD36" s="60">
        <f ca="1">AVERAGE(OFFSET($CC$3,0,0,'Données projet'!$E$12+1,1))-AVERAGE(OFFSET($H$3,0,0,'Données projet'!$E$12+1,1))</f>
        <v>255.59755832175625</v>
      </c>
      <c r="CE36" s="60">
        <f t="shared" si="40"/>
        <v>154.0840647586964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3.6</v>
      </c>
      <c r="CT36" s="13">
        <f>IF('Données projet'!$A$140&gt;35,CT35+CS36-DB35,IF(A36&lt;'Données projet'!$A$140,$CQ$205^A36,IF(A36='Données projet'!$A$140,'Données projet'!$B$140,CT35+CS36-DB35)))</f>
        <v>64.800000000000011</v>
      </c>
      <c r="CU36" s="18">
        <f>CT36*VLOOKUP('Données projet'!$B$13,Paramètres!$A$1:$I$89,3,0)*VLOOKUP('Données projet'!$B$13,Paramètres!$A$1:$I$89,5,0)</f>
        <v>69.750720000000001</v>
      </c>
      <c r="CV36" s="14">
        <f t="shared" si="41"/>
        <v>19.611539714272144</v>
      </c>
      <c r="CW36" s="22">
        <f t="shared" si="13"/>
        <v>155.63926900235728</v>
      </c>
      <c r="CX36" s="60">
        <f t="shared" si="14"/>
        <v>448.97260233569057</v>
      </c>
      <c r="CY36" s="60">
        <f ca="1">AVERAGE(OFFSET($CX$3,0,0,'Données projet'!$E$13+1,1))-AVERAGE(OFFSET($H$3,0,0,'Données projet'!$E$13+1,1))</f>
        <v>280.20599015000306</v>
      </c>
      <c r="CZ36" s="60">
        <f t="shared" si="42"/>
        <v>166.97658184507787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7.1794871794871824</v>
      </c>
      <c r="DO36" s="13">
        <f>IF('Données projet'!$A$166&gt;35,DO35+DN36-DW35,IF(A36&lt;'Données projet'!$A$166,$DL$205^A36,IF(A36='Données projet'!$A$166,'Données projet'!$B$166,DO35+DN36-DW35)))</f>
        <v>141.41025641025641</v>
      </c>
      <c r="DP36" s="18">
        <f>DO36*VLOOKUP('Données projet'!$B$14,Paramètres!$A$1:$I$89,3,0)*VLOOKUP('Données projet'!$B$14,Paramètres!$A$1:$I$89,5,0)</f>
        <v>94.858000000000004</v>
      </c>
      <c r="DQ36" s="14">
        <f t="shared" si="43"/>
        <v>25.733248812615624</v>
      </c>
      <c r="DR36" s="22">
        <f t="shared" si="16"/>
        <v>210.02975834863889</v>
      </c>
      <c r="DS36" s="60">
        <f t="shared" si="17"/>
        <v>503.36309168197221</v>
      </c>
      <c r="DT36" s="60">
        <f ca="1">AVERAGE(OFFSET($DS$3,0,0,'Données projet'!$E$14+1,1))-AVERAGE(OFFSET($H$3,0,0,'Données projet'!$E$14+1,1))</f>
        <v>291.18686311753402</v>
      </c>
      <c r="DU36" s="60">
        <f t="shared" si="44"/>
        <v>215.44422413249839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4.8</v>
      </c>
      <c r="EJ36" s="13">
        <f>IF('Données projet'!$A$192&gt;35,EJ35+EI36-ER35,IF(A36&lt;'Données projet'!$A$192,$EG$205^A36,IF(A36='Données projet'!$A$192,'Données projet'!$B$192,EJ35+EI36-ER35)))</f>
        <v>98.399999999999977</v>
      </c>
      <c r="EK36" s="18">
        <f>EJ36*VLOOKUP('Données projet'!$B$15,Paramètres!$A$1:$I$89,3,0)*VLOOKUP('Données projet'!$B$15,Paramètres!$A$1:$I$89,5,0)</f>
        <v>79.822079999999985</v>
      </c>
      <c r="EL36" s="14">
        <f t="shared" si="45"/>
        <v>22.093676128235838</v>
      </c>
      <c r="EM36" s="22">
        <f t="shared" si="19"/>
        <v>177.5032752566774</v>
      </c>
      <c r="EN36" s="60">
        <f t="shared" si="20"/>
        <v>470.83660859001071</v>
      </c>
      <c r="EO36" s="60">
        <f ca="1">AVERAGE(OFFSET($EN$3,0,0,'Données projet'!$E$15+1,1))-AVERAGE(OFFSET($H$3,0,0,'Données projet'!$E$15+1,1))</f>
        <v>236.22643401787644</v>
      </c>
      <c r="EP36" s="60">
        <f t="shared" si="46"/>
        <v>188.80444043778022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8">
        <f t="shared" si="1"/>
        <v>256.66666666666669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0" t="e">
        <f t="shared" si="0"/>
        <v>#NUM!</v>
      </c>
      <c r="S37" s="60">
        <f ca="1">AVERAGE(OFFSET($R$3,0,0,'Données projet'!$E$9+1,1))-AVERAGE(OFFSET($H$3,0,0,'Données projet'!$E$9+1,1))</f>
        <v>144.55635559713392</v>
      </c>
      <c r="T37" s="60">
        <f t="shared" si="34"/>
        <v>349.14692715126904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56.300740775166268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5.5061645472624439E-2</v>
      </c>
      <c r="AC37" s="24">
        <f t="shared" si="3"/>
        <v>56.355802420638895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97.718399999999988</v>
      </c>
      <c r="AK37" s="14">
        <f t="shared" si="35"/>
        <v>26.417709819192194</v>
      </c>
      <c r="AL37" s="22">
        <f t="shared" si="4"/>
        <v>216.20372460175972</v>
      </c>
      <c r="AM37" s="60">
        <f t="shared" si="5"/>
        <v>509.537057935093</v>
      </c>
      <c r="AN37" s="60">
        <f ca="1">AVERAGE(OFFSET($AM$3,0,0,'Données projet'!$E$10+1,1))-AVERAGE(OFFSET($H$3,0,0,'Données projet'!$E$10+1,1))</f>
        <v>428.8489304403459</v>
      </c>
      <c r="AO37" s="60">
        <f t="shared" si="36"/>
        <v>247.01165577562966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projet'!$B$11,Paramètres!$A$1:$I$89,3,0)*VLOOKUP('Données projet'!$B$11,Paramètres!$A$1:$I$89,5,0)</f>
        <v>109.51200000000001</v>
      </c>
      <c r="BF37" s="14">
        <f t="shared" si="37"/>
        <v>29.215978230632555</v>
      </c>
      <c r="BG37" s="22">
        <f t="shared" si="7"/>
        <v>241.61789541835174</v>
      </c>
      <c r="BH37" s="60">
        <f t="shared" si="8"/>
        <v>534.95122875168499</v>
      </c>
      <c r="BI37" s="60">
        <f ca="1">AVERAGE(OFFSET($BH$3,0,0,'Données projet'!$E$11+1,1))-AVERAGE(OFFSET($H$3,0,0,'Données projet'!$E$11+1,1))</f>
        <v>475.47920969424894</v>
      </c>
      <c r="BJ37" s="60">
        <f t="shared" si="38"/>
        <v>271.73544012419364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3.6</v>
      </c>
      <c r="BY37" s="13">
        <f>IF('Données projet'!$A$114&gt;35,BY36+BX37-CG36,IF(A37&lt;'Données projet'!$A$114,$BV$205^A37,IF(A37='Données projet'!$A$114,'Données projet'!$B$114,BY36+BX37-CG36)))</f>
        <v>68.400000000000006</v>
      </c>
      <c r="BZ37" s="14">
        <f>BY37*VLOOKUP('Données projet'!$B$12,Paramètres!$A$1:$I$89,3,0)*VLOOKUP('Données projet'!$B$12,Paramètres!$A$1:$I$89,5,0)</f>
        <v>66.156480000000002</v>
      </c>
      <c r="CA37" s="14">
        <f t="shared" si="39"/>
        <v>18.71586174150994</v>
      </c>
      <c r="CB37" s="22">
        <f t="shared" si="10"/>
        <v>147.81932853312981</v>
      </c>
      <c r="CC37" s="60">
        <f t="shared" si="11"/>
        <v>441.15266186646312</v>
      </c>
      <c r="CD37" s="60">
        <f ca="1">AVERAGE(OFFSET($CC$3,0,0,'Données projet'!$E$12+1,1))-AVERAGE(OFFSET($H$3,0,0,'Données projet'!$E$12+1,1))</f>
        <v>255.59755832175625</v>
      </c>
      <c r="CE37" s="60">
        <f t="shared" si="40"/>
        <v>154.0840647586964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3.6</v>
      </c>
      <c r="CT37" s="13">
        <f>IF('Données projet'!$A$140&gt;35,CT36+CS37-DB36,IF(A37&lt;'Données projet'!$A$140,$CQ$205^A37,IF(A37='Données projet'!$A$140,'Données projet'!$B$140,CT36+CS37-DB36)))</f>
        <v>68.400000000000006</v>
      </c>
      <c r="CU37" s="18">
        <f>CT37*VLOOKUP('Données projet'!$B$13,Paramètres!$A$1:$I$89,3,0)*VLOOKUP('Données projet'!$B$13,Paramètres!$A$1:$I$89,5,0)</f>
        <v>73.62576</v>
      </c>
      <c r="CV37" s="14">
        <f t="shared" si="41"/>
        <v>20.571198174996731</v>
      </c>
      <c r="CW37" s="22">
        <f t="shared" si="13"/>
        <v>164.05970215478595</v>
      </c>
      <c r="CX37" s="60">
        <f t="shared" si="14"/>
        <v>457.39303548811927</v>
      </c>
      <c r="CY37" s="60">
        <f ca="1">AVERAGE(OFFSET($CX$3,0,0,'Données projet'!$E$13+1,1))-AVERAGE(OFFSET($H$3,0,0,'Données projet'!$E$13+1,1))</f>
        <v>280.20599015000306</v>
      </c>
      <c r="CZ37" s="60">
        <f t="shared" si="42"/>
        <v>166.97658184507787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7.1794871794871824</v>
      </c>
      <c r="DO37" s="13">
        <f>IF('Données projet'!$A$166&gt;35,DO36+DN37-DW36,IF(A37&lt;'Données projet'!$A$166,$DL$205^A37,IF(A37='Données projet'!$A$166,'Données projet'!$B$166,DO36+DN37-DW36)))</f>
        <v>148.58974358974359</v>
      </c>
      <c r="DP37" s="18">
        <f>DO37*VLOOKUP('Données projet'!$B$14,Paramètres!$A$1:$I$89,3,0)*VLOOKUP('Données projet'!$B$14,Paramètres!$A$1:$I$89,5,0)</f>
        <v>99.674000000000007</v>
      </c>
      <c r="DQ37" s="14">
        <f t="shared" si="43"/>
        <v>26.884317790337015</v>
      </c>
      <c r="DR37" s="22">
        <f t="shared" si="16"/>
        <v>220.42240348483696</v>
      </c>
      <c r="DS37" s="60">
        <f t="shared" si="17"/>
        <v>513.75573681817025</v>
      </c>
      <c r="DT37" s="60">
        <f ca="1">AVERAGE(OFFSET($DS$3,0,0,'Données projet'!$E$14+1,1))-AVERAGE(OFFSET($H$3,0,0,'Données projet'!$E$14+1,1))</f>
        <v>291.18686311753402</v>
      </c>
      <c r="DU37" s="60">
        <f t="shared" si="44"/>
        <v>215.44422413249839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4.8</v>
      </c>
      <c r="EJ37" s="13">
        <f>IF('Données projet'!$A$192&gt;35,EJ36+EI37-ER36,IF(A37&lt;'Données projet'!$A$192,$EG$205^A37,IF(A37='Données projet'!$A$192,'Données projet'!$B$192,EJ36+EI37-ER36)))</f>
        <v>103.19999999999997</v>
      </c>
      <c r="EK37" s="18">
        <f>EJ37*VLOOKUP('Données projet'!$B$15,Paramètres!$A$1:$I$89,3,0)*VLOOKUP('Données projet'!$B$15,Paramètres!$A$1:$I$89,5,0)</f>
        <v>83.715839999999986</v>
      </c>
      <c r="EL37" s="14">
        <f t="shared" si="45"/>
        <v>23.043311726295538</v>
      </c>
      <c r="EM37" s="22">
        <f t="shared" si="19"/>
        <v>185.93885592329801</v>
      </c>
      <c r="EN37" s="60">
        <f t="shared" si="20"/>
        <v>479.27218925663135</v>
      </c>
      <c r="EO37" s="60">
        <f ca="1">AVERAGE(OFFSET($EN$3,0,0,'Données projet'!$E$15+1,1))-AVERAGE(OFFSET($H$3,0,0,'Données projet'!$E$15+1,1))</f>
        <v>236.22643401787644</v>
      </c>
      <c r="EP37" s="60">
        <f t="shared" si="46"/>
        <v>188.80444043778022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8">
        <f t="shared" si="1"/>
        <v>256.66666666666669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0" t="e">
        <f t="shared" si="0"/>
        <v>#NUM!</v>
      </c>
      <c r="S38" s="60">
        <f ca="1">AVERAGE(OFFSET($R$3,0,0,'Données projet'!$E$9+1,1))-AVERAGE(OFFSET($H$3,0,0,'Données projet'!$E$9+1,1))</f>
        <v>144.55635559713392</v>
      </c>
      <c r="T38" s="60">
        <f t="shared" si="34"/>
        <v>349.14692715126904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55.196717588626328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3.8934462896982304E-2</v>
      </c>
      <c r="AC38" s="24">
        <f t="shared" si="3"/>
        <v>55.23565205152331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104.9568</v>
      </c>
      <c r="AK38" s="14">
        <f t="shared" si="35"/>
        <v>28.139541339232373</v>
      </c>
      <c r="AL38" s="22">
        <f t="shared" si="4"/>
        <v>231.8094611658297</v>
      </c>
      <c r="AM38" s="60">
        <f t="shared" si="5"/>
        <v>525.14279449916307</v>
      </c>
      <c r="AN38" s="60">
        <f ca="1">AVERAGE(OFFSET($AM$3,0,0,'Données projet'!$E$10+1,1))-AVERAGE(OFFSET($H$3,0,0,'Données projet'!$E$10+1,1))</f>
        <v>428.8489304403459</v>
      </c>
      <c r="AO38" s="60">
        <f t="shared" si="36"/>
        <v>247.01165577562966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projet'!$B$11,Paramètres!$A$1:$I$89,3,0)*VLOOKUP('Données projet'!$B$11,Paramètres!$A$1:$I$89,5,0)</f>
        <v>117.62400000000001</v>
      </c>
      <c r="BF38" s="14">
        <f t="shared" si="37"/>
        <v>31.120192961985413</v>
      </c>
      <c r="BG38" s="22">
        <f t="shared" si="7"/>
        <v>259.06280274212457</v>
      </c>
      <c r="BH38" s="60">
        <f t="shared" si="8"/>
        <v>552.39613607545789</v>
      </c>
      <c r="BI38" s="60">
        <f ca="1">AVERAGE(OFFSET($BH$3,0,0,'Données projet'!$E$11+1,1))-AVERAGE(OFFSET($H$3,0,0,'Données projet'!$E$11+1,1))</f>
        <v>475.47920969424894</v>
      </c>
      <c r="BJ38" s="60">
        <f t="shared" si="38"/>
        <v>271.73544012419364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72</v>
      </c>
      <c r="BW38" s="13">
        <f>VLOOKUP(A38,'Données projet'!$A$113:$I$133,9,0)</f>
        <v>3.6</v>
      </c>
      <c r="BX38" s="13">
        <f t="array" ref="BX38">INDEX(BW:BW,MIN(IF(ISNUMBER(BW38:BW234),ROW(BW38:BW234),"")))</f>
        <v>3.6</v>
      </c>
      <c r="BY38" s="13">
        <f>IF('Données projet'!$A$114&gt;35,BY37+BX38-CG37,IF(A38&lt;'Données projet'!$A$114,$BV$205^A38,IF(A38='Données projet'!$A$114,'Données projet'!$B$114,BY37+BX38-CG37)))</f>
        <v>72</v>
      </c>
      <c r="BZ38" s="14">
        <f>BY38*VLOOKUP('Données projet'!$B$12,Paramètres!$A$1:$I$89,3,0)*VLOOKUP('Données projet'!$B$12,Paramètres!$A$1:$I$89,5,0)</f>
        <v>69.638400000000004</v>
      </c>
      <c r="CA38" s="14">
        <f t="shared" si="39"/>
        <v>19.583632497664617</v>
      </c>
      <c r="CB38" s="22">
        <f t="shared" si="10"/>
        <v>155.39503993343254</v>
      </c>
      <c r="CC38" s="60">
        <f t="shared" si="11"/>
        <v>448.72837326676586</v>
      </c>
      <c r="CD38" s="60">
        <f ca="1">AVERAGE(OFFSET($CC$3,0,0,'Données projet'!$E$12+1,1))-AVERAGE(OFFSET($H$3,0,0,'Données projet'!$E$12+1,1))</f>
        <v>255.59755832175625</v>
      </c>
      <c r="CE38" s="60">
        <f t="shared" si="40"/>
        <v>154.0840647586964</v>
      </c>
      <c r="CF38" s="16">
        <f>IF(ISNA(VLOOKUP(A38,'Données projet'!$A$113:$I$133,3,0)),0,VLOOKUP(A38,'Données projet'!$A$113:$I$133,3,0))</f>
        <v>1</v>
      </c>
      <c r="CG38" s="16">
        <f>IF(ISNA(VLOOKUP(A38,'Données projet'!$A$113:$I$133,4,0)),0,VLOOKUP(A38,'Données projet'!$A$113:$I$133,4,0))</f>
        <v>17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72</v>
      </c>
      <c r="CR38" s="13">
        <f>VLOOKUP(A38,'Données projet'!$A$139:$I$159,9,0)</f>
        <v>3.6</v>
      </c>
      <c r="CS38" s="13">
        <f t="array" ref="CS38">INDEX(CR:CR,MIN(IF(ISNUMBER(CR38:CR234),ROW(CR38:CR234),"")))</f>
        <v>3.6</v>
      </c>
      <c r="CT38" s="13">
        <f>IF('Données projet'!$A$140&gt;35,CT37+CS38-DB37,IF(A38&lt;'Données projet'!$A$140,$CQ$205^A38,IF(A38='Données projet'!$A$140,'Données projet'!$B$140,CT37+CS38-DB37)))</f>
        <v>72</v>
      </c>
      <c r="CU38" s="18">
        <f>CT38*VLOOKUP('Données projet'!$B$13,Paramètres!$A$1:$I$89,3,0)*VLOOKUP('Données projet'!$B$13,Paramètres!$A$1:$I$89,5,0)</f>
        <v>77.500799999999998</v>
      </c>
      <c r="CV38" s="14">
        <f t="shared" si="41"/>
        <v>21.524992579009275</v>
      </c>
      <c r="CW38" s="22">
        <f t="shared" si="13"/>
        <v>172.4699220751078</v>
      </c>
      <c r="CX38" s="60">
        <f t="shared" si="14"/>
        <v>465.80325540844115</v>
      </c>
      <c r="CY38" s="60">
        <f ca="1">AVERAGE(OFFSET($CX$3,0,0,'Données projet'!$E$13+1,1))-AVERAGE(OFFSET($H$3,0,0,'Données projet'!$E$13+1,1))</f>
        <v>280.20599015000306</v>
      </c>
      <c r="CZ38" s="60">
        <f t="shared" si="42"/>
        <v>166.97658184507787</v>
      </c>
      <c r="DA38" s="16">
        <f>IF(ISNA(VLOOKUP(A38,'Données projet'!$A$139:$I$159,3,0)),0,VLOOKUP(A38,'Données projet'!$A$139:$I$159,3,0))</f>
        <v>1</v>
      </c>
      <c r="DB38" s="16">
        <f>IF(ISNA(VLOOKUP(A38,'Données projet'!$A$139:$I$159,4,0)),0,VLOOKUP(A38,'Données projet'!$A$139:$I$159,4,0))</f>
        <v>17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155.76923076923077</v>
      </c>
      <c r="DM38" s="13">
        <f>VLOOKUP(A38,'Données projet'!$A$165:$I$185,9,0)</f>
        <v>7.1794871794871824</v>
      </c>
      <c r="DN38" s="13">
        <f t="array" ref="DN38">INDEX(DM:DM,MIN(IF(ISNUMBER(DM38:DM234),ROW(DM38:DM234),"")))</f>
        <v>7.1794871794871824</v>
      </c>
      <c r="DO38" s="13">
        <f>IF('Données projet'!$A$166&gt;35,DO37+DN38-DW37,IF(A38&lt;'Données projet'!$A$166,$DL$205^A38,IF(A38='Données projet'!$A$166,'Données projet'!$B$166,DO37+DN38-DW37)))</f>
        <v>155.76923076923077</v>
      </c>
      <c r="DP38" s="18">
        <f>DO38*VLOOKUP('Données projet'!$B$14,Paramètres!$A$1:$I$89,3,0)*VLOOKUP('Données projet'!$B$14,Paramètres!$A$1:$I$89,5,0)</f>
        <v>104.49</v>
      </c>
      <c r="DQ38" s="14">
        <f t="shared" si="43"/>
        <v>28.028928490951767</v>
      </c>
      <c r="DR38" s="22">
        <f t="shared" si="16"/>
        <v>230.80380045507431</v>
      </c>
      <c r="DS38" s="60">
        <f t="shared" si="17"/>
        <v>524.1371337884076</v>
      </c>
      <c r="DT38" s="60">
        <f ca="1">AVERAGE(OFFSET($DS$3,0,0,'Données projet'!$E$14+1,1))-AVERAGE(OFFSET($H$3,0,0,'Données projet'!$E$14+1,1))</f>
        <v>291.18686311753402</v>
      </c>
      <c r="DU38" s="60">
        <f t="shared" si="44"/>
        <v>215.44422413249839</v>
      </c>
      <c r="DV38" s="16">
        <f>IF(ISNA(VLOOKUP(A38,'Données projet'!$A$165:$I$185,3,0)),0,VLOOKUP(A38,'Données projet'!$A$165:$I$185,3,0))</f>
        <v>2</v>
      </c>
      <c r="DW38" s="16">
        <f>IF(ISNA(VLOOKUP(A38,'Données projet'!$A$165:$I$185,4,0)),0,VLOOKUP(A38,'Données projet'!$A$165:$I$185,4,0))</f>
        <v>31.410256410256409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108</v>
      </c>
      <c r="EH38" s="13">
        <f>VLOOKUP(A38,'Données projet'!$A$191:$I$211,9,0)</f>
        <v>4.8</v>
      </c>
      <c r="EI38" s="13">
        <f t="array" ref="EI38">INDEX(EH:EH,MIN(IF(ISNUMBER(EH38:EH234),ROW(EH38:EH234),"")))</f>
        <v>4.8</v>
      </c>
      <c r="EJ38" s="13">
        <f>IF('Données projet'!$A$192&gt;35,EJ37+EI38-ER37,IF(A38&lt;'Données projet'!$A$192,$EG$205^A38,IF(A38='Données projet'!$A$192,'Données projet'!$B$192,EJ37+EI38-ER37)))</f>
        <v>107.99999999999997</v>
      </c>
      <c r="EK38" s="18">
        <f>EJ38*VLOOKUP('Données projet'!$B$15,Paramètres!$A$1:$I$89,3,0)*VLOOKUP('Données projet'!$B$15,Paramètres!$A$1:$I$89,5,0)</f>
        <v>87.609599999999986</v>
      </c>
      <c r="EL38" s="14">
        <f t="shared" si="45"/>
        <v>23.987817980868787</v>
      </c>
      <c r="EM38" s="22">
        <f t="shared" si="19"/>
        <v>194.36550298334643</v>
      </c>
      <c r="EN38" s="60">
        <f t="shared" si="20"/>
        <v>487.69883631667972</v>
      </c>
      <c r="EO38" s="60">
        <f ca="1">AVERAGE(OFFSET($EN$3,0,0,'Données projet'!$E$15+1,1))-AVERAGE(OFFSET($H$3,0,0,'Données projet'!$E$15+1,1))</f>
        <v>236.22643401787644</v>
      </c>
      <c r="EP38" s="60">
        <f t="shared" si="46"/>
        <v>188.80444043778022</v>
      </c>
      <c r="EQ38" s="16">
        <f>IF(ISNA(VLOOKUP(A38,'Données projet'!$A$191:$I$211,3,0)),0,VLOOKUP(A38,'Données projet'!$A$191:$I$211,3,0))</f>
        <v>2</v>
      </c>
      <c r="ER38" s="16">
        <f>IF(ISNA(VLOOKUP(A38,'Données projet'!$A$191:$I$211,4,0)),0,VLOOKUP(A38,'Données projet'!$A$191:$I$211,4,0))</f>
        <v>19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8">
        <f t="shared" si="1"/>
        <v>256.66666666666669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0" t="e">
        <f t="shared" si="0"/>
        <v>#NUM!</v>
      </c>
      <c r="S39" s="60">
        <f ca="1">AVERAGE(OFFSET($R$3,0,0,'Données projet'!$E$9+1,1))-AVERAGE(OFFSET($H$3,0,0,'Données projet'!$E$9+1,1))</f>
        <v>144.55635559713392</v>
      </c>
      <c r="T39" s="60">
        <f t="shared" si="34"/>
        <v>349.14692715126904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54.114343623386787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2.7530822736312219E-2</v>
      </c>
      <c r="AC39" s="24">
        <f t="shared" si="3"/>
        <v>54.141874446123097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112.55712000000001</v>
      </c>
      <c r="AK39" s="14">
        <f t="shared" si="35"/>
        <v>29.932653834140599</v>
      </c>
      <c r="AL39" s="22">
        <f t="shared" si="4"/>
        <v>248.16968942779488</v>
      </c>
      <c r="AM39" s="60">
        <f t="shared" si="5"/>
        <v>541.50302276112825</v>
      </c>
      <c r="AN39" s="60">
        <f ca="1">AVERAGE(OFFSET($AM$3,0,0,'Données projet'!$E$10+1,1))-AVERAGE(OFFSET($H$3,0,0,'Données projet'!$E$10+1,1))</f>
        <v>428.8489304403459</v>
      </c>
      <c r="AO39" s="60">
        <f t="shared" si="36"/>
        <v>247.01165577562966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124.4</v>
      </c>
      <c r="BE39" s="14">
        <f>BD39*VLOOKUP('Données projet'!$B$11,Paramètres!$A$1:$I$89,3,0)*VLOOKUP('Données projet'!$B$11,Paramètres!$A$1:$I$89,5,0)</f>
        <v>126.1416</v>
      </c>
      <c r="BF39" s="14">
        <f t="shared" si="37"/>
        <v>33.10323903126482</v>
      </c>
      <c r="BG39" s="22">
        <f t="shared" si="7"/>
        <v>277.35142797945286</v>
      </c>
      <c r="BH39" s="60">
        <f t="shared" si="8"/>
        <v>570.68476131278612</v>
      </c>
      <c r="BI39" s="60">
        <f ca="1">AVERAGE(OFFSET($BH$3,0,0,'Données projet'!$E$11+1,1))-AVERAGE(OFFSET($H$3,0,0,'Données projet'!$E$11+1,1))</f>
        <v>475.47920969424894</v>
      </c>
      <c r="BJ39" s="60">
        <f t="shared" si="38"/>
        <v>271.73544012419364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4</v>
      </c>
      <c r="BY39" s="13">
        <f>IF('Données projet'!$A$114&gt;35,BY38+BX39-CG38,IF(A39&lt;'Données projet'!$A$114,$BV$205^A39,IF(A39='Données projet'!$A$114,'Données projet'!$B$114,BY38+BX39-CG38)))</f>
        <v>59</v>
      </c>
      <c r="BZ39" s="14">
        <f>BY39*VLOOKUP('Données projet'!$B$12,Paramètres!$A$1:$I$89,3,0)*VLOOKUP('Données projet'!$B$12,Paramètres!$A$1:$I$89,5,0)</f>
        <v>57.064799999999998</v>
      </c>
      <c r="CA39" s="14">
        <f t="shared" si="39"/>
        <v>16.424005972947381</v>
      </c>
      <c r="CB39" s="22">
        <f t="shared" si="10"/>
        <v>127.99300373621668</v>
      </c>
      <c r="CC39" s="60">
        <f t="shared" si="11"/>
        <v>421.32633706954999</v>
      </c>
      <c r="CD39" s="60">
        <f ca="1">AVERAGE(OFFSET($CC$3,0,0,'Données projet'!$E$12+1,1))-AVERAGE(OFFSET($H$3,0,0,'Données projet'!$E$12+1,1))</f>
        <v>255.59755832175625</v>
      </c>
      <c r="CE39" s="60">
        <f t="shared" si="40"/>
        <v>154.0840647586964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4</v>
      </c>
      <c r="CT39" s="13">
        <f>IF('Données projet'!$A$140&gt;35,CT38+CS39-DB38,IF(A39&lt;'Données projet'!$A$140,$CQ$205^A39,IF(A39='Données projet'!$A$140,'Données projet'!$B$140,CT38+CS39-DB38)))</f>
        <v>59</v>
      </c>
      <c r="CU39" s="18">
        <f>CT39*VLOOKUP('Données projet'!$B$13,Paramètres!$A$1:$I$89,3,0)*VLOOKUP('Données projet'!$B$13,Paramètres!$A$1:$I$89,5,0)</f>
        <v>63.507599999999989</v>
      </c>
      <c r="CV39" s="14">
        <f t="shared" si="41"/>
        <v>18.052146695841799</v>
      </c>
      <c r="CW39" s="22">
        <f t="shared" si="13"/>
        <v>142.04989216192445</v>
      </c>
      <c r="CX39" s="60">
        <f t="shared" si="14"/>
        <v>435.38322549525776</v>
      </c>
      <c r="CY39" s="60">
        <f ca="1">AVERAGE(OFFSET($CX$3,0,0,'Données projet'!$E$13+1,1))-AVERAGE(OFFSET($H$3,0,0,'Données projet'!$E$13+1,1))</f>
        <v>280.20599015000306</v>
      </c>
      <c r="CZ39" s="60">
        <f t="shared" si="42"/>
        <v>166.97658184507787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6.9230769230769225</v>
      </c>
      <c r="DO39" s="13">
        <f>IF('Données projet'!$A$166&gt;35,DO38+DN39-DW38,IF(A39&lt;'Données projet'!$A$166,$DL$205^A39,IF(A39='Données projet'!$A$166,'Données projet'!$B$166,DO38+DN39-DW38)))</f>
        <v>131.2820512820513</v>
      </c>
      <c r="DP39" s="18">
        <f>DO39*VLOOKUP('Données projet'!$B$14,Paramètres!$A$1:$I$89,3,0)*VLOOKUP('Données projet'!$B$14,Paramètres!$A$1:$I$89,5,0)</f>
        <v>88.064000000000007</v>
      </c>
      <c r="DQ39" s="14">
        <f t="shared" si="43"/>
        <v>24.097719124688673</v>
      </c>
      <c r="DR39" s="22">
        <f t="shared" si="16"/>
        <v>195.34832747549947</v>
      </c>
      <c r="DS39" s="60">
        <f t="shared" si="17"/>
        <v>488.68166080883282</v>
      </c>
      <c r="DT39" s="60">
        <f ca="1">AVERAGE(OFFSET($DS$3,0,0,'Données projet'!$E$14+1,1))-AVERAGE(OFFSET($H$3,0,0,'Données projet'!$E$14+1,1))</f>
        <v>291.18686311753402</v>
      </c>
      <c r="DU39" s="60">
        <f t="shared" si="44"/>
        <v>215.44422413249839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4.8</v>
      </c>
      <c r="EJ39" s="13">
        <f>IF('Données projet'!$A$192&gt;35,EJ38+EI39-ER38,IF(A39&lt;'Données projet'!$A$192,$EG$205^A39,IF(A39='Données projet'!$A$192,'Données projet'!$B$192,EJ38+EI39-ER38)))</f>
        <v>93.799999999999969</v>
      </c>
      <c r="EK39" s="18">
        <f>EJ39*VLOOKUP('Données projet'!$B$15,Paramètres!$A$1:$I$89,3,0)*VLOOKUP('Données projet'!$B$15,Paramètres!$A$1:$I$89,5,0)</f>
        <v>76.090559999999968</v>
      </c>
      <c r="EL39" s="14">
        <f t="shared" si="45"/>
        <v>21.178536336044907</v>
      </c>
      <c r="EM39" s="22">
        <f t="shared" si="19"/>
        <v>169.41034278527815</v>
      </c>
      <c r="EN39" s="60">
        <f t="shared" si="20"/>
        <v>462.74367611861146</v>
      </c>
      <c r="EO39" s="60">
        <f ca="1">AVERAGE(OFFSET($EN$3,0,0,'Données projet'!$E$15+1,1))-AVERAGE(OFFSET($H$3,0,0,'Données projet'!$E$15+1,1))</f>
        <v>236.22643401787644</v>
      </c>
      <c r="EP39" s="60">
        <f t="shared" si="46"/>
        <v>188.80444043778022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8">
        <f t="shared" si="1"/>
        <v>256.66666666666669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0" t="e">
        <f t="shared" si="0"/>
        <v>#NUM!</v>
      </c>
      <c r="S40" s="60">
        <f ca="1">AVERAGE(OFFSET($R$3,0,0,'Données projet'!$E$9+1,1))-AVERAGE(OFFSET($H$3,0,0,'Données projet'!$E$9+1,1))</f>
        <v>144.55635559713392</v>
      </c>
      <c r="T40" s="60">
        <f t="shared" si="34"/>
        <v>349.14692715126904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53.053194351422661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1.9467231448491152E-2</v>
      </c>
      <c r="AC40" s="24">
        <f t="shared" si="3"/>
        <v>53.072661582871149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120.15744000000001</v>
      </c>
      <c r="AK40" s="14">
        <f t="shared" si="35"/>
        <v>31.711716786129845</v>
      </c>
      <c r="AL40" s="22">
        <f t="shared" si="4"/>
        <v>264.50544806917611</v>
      </c>
      <c r="AM40" s="60">
        <f t="shared" si="5"/>
        <v>557.83878140250943</v>
      </c>
      <c r="AN40" s="60">
        <f ca="1">AVERAGE(OFFSET($AM$3,0,0,'Données projet'!$E$10+1,1))-AVERAGE(OFFSET($H$3,0,0,'Données projet'!$E$10+1,1))</f>
        <v>428.8489304403459</v>
      </c>
      <c r="AO40" s="60">
        <f t="shared" si="36"/>
        <v>247.01165577562966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132.80000000000001</v>
      </c>
      <c r="BE40" s="14">
        <f>BD40*VLOOKUP('Données projet'!$B$11,Paramètres!$A$1:$I$89,3,0)*VLOOKUP('Données projet'!$B$11,Paramètres!$A$1:$I$89,5,0)</f>
        <v>134.65920000000003</v>
      </c>
      <c r="BF40" s="14">
        <f t="shared" si="37"/>
        <v>35.07074737441733</v>
      </c>
      <c r="BG40" s="22">
        <f t="shared" si="7"/>
        <v>295.61299167711019</v>
      </c>
      <c r="BH40" s="60">
        <f t="shared" si="8"/>
        <v>588.9463250104435</v>
      </c>
      <c r="BI40" s="60">
        <f ca="1">AVERAGE(OFFSET($BH$3,0,0,'Données projet'!$E$11+1,1))-AVERAGE(OFFSET($H$3,0,0,'Données projet'!$E$11+1,1))</f>
        <v>475.47920969424894</v>
      </c>
      <c r="BJ40" s="60">
        <f t="shared" si="38"/>
        <v>271.73544012419364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4</v>
      </c>
      <c r="BY40" s="13">
        <f>IF('Données projet'!$A$114&gt;35,BY39+BX40-CG39,IF(A40&lt;'Données projet'!$A$114,$BV$205^A40,IF(A40='Données projet'!$A$114,'Données projet'!$B$114,BY39+BX40-CG39)))</f>
        <v>63</v>
      </c>
      <c r="BZ40" s="14">
        <f>BY40*VLOOKUP('Données projet'!$B$12,Paramètres!$A$1:$I$89,3,0)*VLOOKUP('Données projet'!$B$12,Paramètres!$A$1:$I$89,5,0)</f>
        <v>60.933600000000006</v>
      </c>
      <c r="CA40" s="14">
        <f t="shared" si="39"/>
        <v>17.404099852856145</v>
      </c>
      <c r="CB40" s="22">
        <f t="shared" si="10"/>
        <v>136.4381605770578</v>
      </c>
      <c r="CC40" s="60">
        <f t="shared" si="11"/>
        <v>429.77149391039109</v>
      </c>
      <c r="CD40" s="60">
        <f ca="1">AVERAGE(OFFSET($CC$3,0,0,'Données projet'!$E$12+1,1))-AVERAGE(OFFSET($H$3,0,0,'Données projet'!$E$12+1,1))</f>
        <v>255.59755832175625</v>
      </c>
      <c r="CE40" s="60">
        <f t="shared" si="40"/>
        <v>154.0840647586964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4</v>
      </c>
      <c r="CT40" s="13">
        <f>IF('Données projet'!$A$140&gt;35,CT39+CS40-DB39,IF(A40&lt;'Données projet'!$A$140,$CQ$205^A40,IF(A40='Données projet'!$A$140,'Données projet'!$B$140,CT39+CS40-DB39)))</f>
        <v>63</v>
      </c>
      <c r="CU40" s="18">
        <f>CT40*VLOOKUP('Données projet'!$B$13,Paramètres!$A$1:$I$89,3,0)*VLOOKUP('Données projet'!$B$13,Paramètres!$A$1:$I$89,5,0)</f>
        <v>67.813199999999995</v>
      </c>
      <c r="CV40" s="14">
        <f t="shared" si="41"/>
        <v>19.12939901326985</v>
      </c>
      <c r="CW40" s="22">
        <f t="shared" si="13"/>
        <v>151.42502661477829</v>
      </c>
      <c r="CX40" s="60">
        <f t="shared" si="14"/>
        <v>444.7583599481116</v>
      </c>
      <c r="CY40" s="60">
        <f ca="1">AVERAGE(OFFSET($CX$3,0,0,'Données projet'!$E$13+1,1))-AVERAGE(OFFSET($H$3,0,0,'Données projet'!$E$13+1,1))</f>
        <v>280.20599015000306</v>
      </c>
      <c r="CZ40" s="60">
        <f t="shared" si="42"/>
        <v>166.97658184507787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6.9230769230769225</v>
      </c>
      <c r="DO40" s="13">
        <f>IF('Données projet'!$A$166&gt;35,DO39+DN40-DW39,IF(A40&lt;'Données projet'!$A$166,$DL$205^A40,IF(A40='Données projet'!$A$166,'Données projet'!$B$166,DO39+DN40-DW39)))</f>
        <v>138.20512820512823</v>
      </c>
      <c r="DP40" s="18">
        <f>DO40*VLOOKUP('Données projet'!$B$14,Paramètres!$A$1:$I$89,3,0)*VLOOKUP('Données projet'!$B$14,Paramètres!$A$1:$I$89,5,0)</f>
        <v>92.708000000000027</v>
      </c>
      <c r="DQ40" s="14">
        <f t="shared" si="43"/>
        <v>25.217198292374437</v>
      </c>
      <c r="DR40" s="22">
        <f t="shared" si="16"/>
        <v>205.38638702588551</v>
      </c>
      <c r="DS40" s="60">
        <f t="shared" si="17"/>
        <v>498.71972035921885</v>
      </c>
      <c r="DT40" s="60">
        <f ca="1">AVERAGE(OFFSET($DS$3,0,0,'Données projet'!$E$14+1,1))-AVERAGE(OFFSET($H$3,0,0,'Données projet'!$E$14+1,1))</f>
        <v>291.18686311753402</v>
      </c>
      <c r="DU40" s="60">
        <f t="shared" si="44"/>
        <v>215.44422413249839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4.8</v>
      </c>
      <c r="EJ40" s="13">
        <f>IF('Données projet'!$A$192&gt;35,EJ39+EI40-ER39,IF(A40&lt;'Données projet'!$A$192,$EG$205^A40,IF(A40='Données projet'!$A$192,'Données projet'!$B$192,EJ39+EI40-ER39)))</f>
        <v>98.599999999999966</v>
      </c>
      <c r="EK40" s="18">
        <f>EJ40*VLOOKUP('Données projet'!$B$15,Paramètres!$A$1:$I$89,3,0)*VLOOKUP('Données projet'!$B$15,Paramètres!$A$1:$I$89,5,0)</f>
        <v>79.984319999999983</v>
      </c>
      <c r="EL40" s="14">
        <f t="shared" si="45"/>
        <v>22.133350243409112</v>
      </c>
      <c r="EM40" s="22">
        <f t="shared" si="19"/>
        <v>177.85494234060414</v>
      </c>
      <c r="EN40" s="60">
        <f t="shared" si="20"/>
        <v>471.18827567393748</v>
      </c>
      <c r="EO40" s="60">
        <f ca="1">AVERAGE(OFFSET($EN$3,0,0,'Données projet'!$E$15+1,1))-AVERAGE(OFFSET($H$3,0,0,'Données projet'!$E$15+1,1))</f>
        <v>236.22643401787644</v>
      </c>
      <c r="EP40" s="60">
        <f t="shared" si="46"/>
        <v>188.80444043778022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8">
        <f t="shared" si="1"/>
        <v>256.66666666666669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0" t="e">
        <f t="shared" si="0"/>
        <v>#NUM!</v>
      </c>
      <c r="S41" s="60">
        <f ca="1">AVERAGE(OFFSET($R$3,0,0,'Données projet'!$E$9+1,1))-AVERAGE(OFFSET($H$3,0,0,'Données projet'!$E$9+1,1))</f>
        <v>144.55635559713392</v>
      </c>
      <c r="T41" s="60">
        <f t="shared" si="34"/>
        <v>349.14692715126904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52.012853569444609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1.376541136815611E-2</v>
      </c>
      <c r="AC41" s="24">
        <f t="shared" si="3"/>
        <v>52.026618980812763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127.75776</v>
      </c>
      <c r="AK41" s="14">
        <f t="shared" si="35"/>
        <v>33.477720030956604</v>
      </c>
      <c r="AL41" s="22">
        <f t="shared" si="4"/>
        <v>280.81846105391611</v>
      </c>
      <c r="AM41" s="60">
        <f t="shared" si="5"/>
        <v>574.15179438724942</v>
      </c>
      <c r="AN41" s="60">
        <f ca="1">AVERAGE(OFFSET($AM$3,0,0,'Données projet'!$E$10+1,1))-AVERAGE(OFFSET($H$3,0,0,'Données projet'!$E$10+1,1))</f>
        <v>428.8489304403459</v>
      </c>
      <c r="AO41" s="60">
        <f t="shared" si="36"/>
        <v>247.01165577562966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141.20000000000002</v>
      </c>
      <c r="BE41" s="14">
        <f>BD41*VLOOKUP('Données projet'!$B$11,Paramètres!$A$1:$I$89,3,0)*VLOOKUP('Données projet'!$B$11,Paramètres!$A$1:$I$89,5,0)</f>
        <v>143.17680000000004</v>
      </c>
      <c r="BF41" s="14">
        <f t="shared" si="37"/>
        <v>37.023812674521515</v>
      </c>
      <c r="BG41" s="22">
        <f t="shared" si="7"/>
        <v>313.84940040812506</v>
      </c>
      <c r="BH41" s="60">
        <f t="shared" si="8"/>
        <v>607.18273374145838</v>
      </c>
      <c r="BI41" s="60">
        <f ca="1">AVERAGE(OFFSET($BH$3,0,0,'Données projet'!$E$11+1,1))-AVERAGE(OFFSET($H$3,0,0,'Données projet'!$E$11+1,1))</f>
        <v>475.47920969424894</v>
      </c>
      <c r="BJ41" s="60">
        <f t="shared" si="38"/>
        <v>271.73544012419364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4</v>
      </c>
      <c r="BY41" s="13">
        <f>IF('Données projet'!$A$114&gt;35,BY40+BX41-CG40,IF(A41&lt;'Données projet'!$A$114,$BV$205^A41,IF(A41='Données projet'!$A$114,'Données projet'!$B$114,BY40+BX41-CG40)))</f>
        <v>67</v>
      </c>
      <c r="BZ41" s="14">
        <f>BY41*VLOOKUP('Données projet'!$B$12,Paramètres!$A$1:$I$89,3,0)*VLOOKUP('Données projet'!$B$12,Paramètres!$A$1:$I$89,5,0)</f>
        <v>64.802400000000006</v>
      </c>
      <c r="CA41" s="14">
        <f t="shared" si="39"/>
        <v>18.376971951830182</v>
      </c>
      <c r="CB41" s="22">
        <f t="shared" si="10"/>
        <v>144.87073948277092</v>
      </c>
      <c r="CC41" s="60">
        <f t="shared" si="11"/>
        <v>438.20407281610426</v>
      </c>
      <c r="CD41" s="60">
        <f ca="1">AVERAGE(OFFSET($CC$3,0,0,'Données projet'!$E$12+1,1))-AVERAGE(OFFSET($H$3,0,0,'Données projet'!$E$12+1,1))</f>
        <v>255.59755832175625</v>
      </c>
      <c r="CE41" s="60">
        <f t="shared" si="40"/>
        <v>154.0840647586964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4</v>
      </c>
      <c r="CT41" s="13">
        <f>IF('Données projet'!$A$140&gt;35,CT40+CS41-DB40,IF(A41&lt;'Données projet'!$A$140,$CQ$205^A41,IF(A41='Données projet'!$A$140,'Données projet'!$B$140,CT40+CS41-DB40)))</f>
        <v>67</v>
      </c>
      <c r="CU41" s="18">
        <f>CT41*VLOOKUP('Données projet'!$B$13,Paramètres!$A$1:$I$89,3,0)*VLOOKUP('Données projet'!$B$13,Paramètres!$A$1:$I$89,5,0)</f>
        <v>72.118799999999993</v>
      </c>
      <c r="CV41" s="14">
        <f t="shared" si="41"/>
        <v>20.198713641862817</v>
      </c>
      <c r="CW41" s="22">
        <f t="shared" si="13"/>
        <v>160.78633625957769</v>
      </c>
      <c r="CX41" s="60">
        <f t="shared" si="14"/>
        <v>454.11966959291101</v>
      </c>
      <c r="CY41" s="60">
        <f ca="1">AVERAGE(OFFSET($CX$3,0,0,'Données projet'!$E$13+1,1))-AVERAGE(OFFSET($H$3,0,0,'Données projet'!$E$13+1,1))</f>
        <v>280.20599015000306</v>
      </c>
      <c r="CZ41" s="60">
        <f t="shared" si="42"/>
        <v>166.97658184507787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6.9230769230769225</v>
      </c>
      <c r="DO41" s="13">
        <f>IF('Données projet'!$A$166&gt;35,DO40+DN41-DW40,IF(A41&lt;'Données projet'!$A$166,$DL$205^A41,IF(A41='Données projet'!$A$166,'Données projet'!$B$166,DO40+DN41-DW40)))</f>
        <v>145.12820512820517</v>
      </c>
      <c r="DP41" s="18">
        <f>DO41*VLOOKUP('Données projet'!$B$14,Paramètres!$A$1:$I$89,3,0)*VLOOKUP('Données projet'!$B$14,Paramètres!$A$1:$I$89,5,0)</f>
        <v>97.352000000000032</v>
      </c>
      <c r="DQ41" s="14">
        <f t="shared" si="43"/>
        <v>26.330166121651178</v>
      </c>
      <c r="DR41" s="22">
        <f t="shared" si="16"/>
        <v>215.41310599520918</v>
      </c>
      <c r="DS41" s="60">
        <f t="shared" si="17"/>
        <v>508.74643932854246</v>
      </c>
      <c r="DT41" s="60">
        <f ca="1">AVERAGE(OFFSET($DS$3,0,0,'Données projet'!$E$14+1,1))-AVERAGE(OFFSET($H$3,0,0,'Données projet'!$E$14+1,1))</f>
        <v>291.18686311753402</v>
      </c>
      <c r="DU41" s="60">
        <f t="shared" si="44"/>
        <v>215.44422413249839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4.8</v>
      </c>
      <c r="EJ41" s="13">
        <f>IF('Données projet'!$A$192&gt;35,EJ40+EI41-ER40,IF(A41&lt;'Données projet'!$A$192,$EG$205^A41,IF(A41='Données projet'!$A$192,'Données projet'!$B$192,EJ40+EI41-ER40)))</f>
        <v>103.39999999999996</v>
      </c>
      <c r="EK41" s="18">
        <f>EJ41*VLOOKUP('Données projet'!$B$15,Paramètres!$A$1:$I$89,3,0)*VLOOKUP('Données projet'!$B$15,Paramètres!$A$1:$I$89,5,0)</f>
        <v>83.878079999999969</v>
      </c>
      <c r="EL41" s="14">
        <f t="shared" si="45"/>
        <v>23.082766717296661</v>
      </c>
      <c r="EM41" s="22">
        <f t="shared" si="19"/>
        <v>186.29014136595831</v>
      </c>
      <c r="EN41" s="60">
        <f t="shared" si="20"/>
        <v>479.62347469929159</v>
      </c>
      <c r="EO41" s="60">
        <f ca="1">AVERAGE(OFFSET($EN$3,0,0,'Données projet'!$E$15+1,1))-AVERAGE(OFFSET($H$3,0,0,'Données projet'!$E$15+1,1))</f>
        <v>236.22643401787644</v>
      </c>
      <c r="EP41" s="60">
        <f t="shared" si="46"/>
        <v>188.80444043778022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8">
        <f t="shared" si="1"/>
        <v>256.66666666666669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0" t="e">
        <f t="shared" si="0"/>
        <v>#NUM!</v>
      </c>
      <c r="S42" s="60">
        <f ca="1">AVERAGE(OFFSET($R$3,0,0,'Données projet'!$E$9+1,1))-AVERAGE(OFFSET($H$3,0,0,'Données projet'!$E$9+1,1))</f>
        <v>144.55635559713392</v>
      </c>
      <c r="T42" s="60">
        <f t="shared" si="34"/>
        <v>349.14692715126904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50.992913235655919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9.733615724245576E-3</v>
      </c>
      <c r="AC42" s="24">
        <f t="shared" si="3"/>
        <v>51.002646851380163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135.35808</v>
      </c>
      <c r="AK42" s="14">
        <f t="shared" si="35"/>
        <v>35.231528980112834</v>
      </c>
      <c r="AL42" s="22">
        <f t="shared" si="4"/>
        <v>297.11023564036316</v>
      </c>
      <c r="AM42" s="60">
        <f t="shared" si="5"/>
        <v>590.44356897369653</v>
      </c>
      <c r="AN42" s="60">
        <f ca="1">AVERAGE(OFFSET($AM$3,0,0,'Données projet'!$E$10+1,1))-AVERAGE(OFFSET($H$3,0,0,'Données projet'!$E$10+1,1))</f>
        <v>428.8489304403459</v>
      </c>
      <c r="AO42" s="60">
        <f t="shared" si="36"/>
        <v>247.01165577562966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149.60000000000002</v>
      </c>
      <c r="BE42" s="14">
        <f>BD42*VLOOKUP('Données projet'!$B$11,Paramètres!$A$1:$I$89,3,0)*VLOOKUP('Données projet'!$B$11,Paramètres!$A$1:$I$89,5,0)</f>
        <v>151.69440000000003</v>
      </c>
      <c r="BF42" s="14">
        <f t="shared" si="37"/>
        <v>38.963392010880654</v>
      </c>
      <c r="BG42" s="22">
        <f t="shared" si="7"/>
        <v>332.06232108561716</v>
      </c>
      <c r="BH42" s="60">
        <f t="shared" si="8"/>
        <v>625.39565441895047</v>
      </c>
      <c r="BI42" s="60">
        <f ca="1">AVERAGE(OFFSET($BH$3,0,0,'Données projet'!$E$11+1,1))-AVERAGE(OFFSET($H$3,0,0,'Données projet'!$E$11+1,1))</f>
        <v>475.47920969424894</v>
      </c>
      <c r="BJ42" s="60">
        <f t="shared" si="38"/>
        <v>271.73544012419364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4</v>
      </c>
      <c r="BY42" s="13">
        <f>IF('Données projet'!$A$114&gt;35,BY41+BX42-CG41,IF(A42&lt;'Données projet'!$A$114,$BV$205^A42,IF(A42='Données projet'!$A$114,'Données projet'!$B$114,BY41+BX42-CG41)))</f>
        <v>71</v>
      </c>
      <c r="BZ42" s="14">
        <f>BY42*VLOOKUP('Données projet'!$B$12,Paramètres!$A$1:$I$89,3,0)*VLOOKUP('Données projet'!$B$12,Paramètres!$A$1:$I$89,5,0)</f>
        <v>68.671200000000013</v>
      </c>
      <c r="CA42" s="14">
        <f t="shared" si="39"/>
        <v>19.343102525659866</v>
      </c>
      <c r="CB42" s="22">
        <f t="shared" si="10"/>
        <v>153.29157689885758</v>
      </c>
      <c r="CC42" s="60">
        <f t="shared" si="11"/>
        <v>446.62491023219093</v>
      </c>
      <c r="CD42" s="60">
        <f ca="1">AVERAGE(OFFSET($CC$3,0,0,'Données projet'!$E$12+1,1))-AVERAGE(OFFSET($H$3,0,0,'Données projet'!$E$12+1,1))</f>
        <v>255.59755832175625</v>
      </c>
      <c r="CE42" s="60">
        <f t="shared" si="40"/>
        <v>154.0840647586964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4</v>
      </c>
      <c r="CT42" s="13">
        <f>IF('Données projet'!$A$140&gt;35,CT41+CS42-DB41,IF(A42&lt;'Données projet'!$A$140,$CQ$205^A42,IF(A42='Données projet'!$A$140,'Données projet'!$B$140,CT41+CS42-DB41)))</f>
        <v>71</v>
      </c>
      <c r="CU42" s="18">
        <f>CT42*VLOOKUP('Données projet'!$B$13,Paramètres!$A$1:$I$89,3,0)*VLOOKUP('Données projet'!$B$13,Paramètres!$A$1:$I$89,5,0)</f>
        <v>76.424399999999991</v>
      </c>
      <c r="CV42" s="14">
        <f t="shared" si="41"/>
        <v>21.260618446015851</v>
      </c>
      <c r="CW42" s="22">
        <f t="shared" si="13"/>
        <v>170.13474046014426</v>
      </c>
      <c r="CX42" s="60">
        <f t="shared" si="14"/>
        <v>463.46807379347757</v>
      </c>
      <c r="CY42" s="60">
        <f ca="1">AVERAGE(OFFSET($CX$3,0,0,'Données projet'!$E$13+1,1))-AVERAGE(OFFSET($H$3,0,0,'Données projet'!$E$13+1,1))</f>
        <v>280.20599015000306</v>
      </c>
      <c r="CZ42" s="60">
        <f t="shared" si="42"/>
        <v>166.97658184507787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6.9230769230769225</v>
      </c>
      <c r="DO42" s="13">
        <f>IF('Données projet'!$A$166&gt;35,DO41+DN42-DW41,IF(A42&lt;'Données projet'!$A$166,$DL$205^A42,IF(A42='Données projet'!$A$166,'Données projet'!$B$166,DO41+DN42-DW41)))</f>
        <v>152.0512820512821</v>
      </c>
      <c r="DP42" s="18">
        <f>DO42*VLOOKUP('Données projet'!$B$14,Paramètres!$A$1:$I$89,3,0)*VLOOKUP('Données projet'!$B$14,Paramètres!$A$1:$I$89,5,0)</f>
        <v>101.99600000000004</v>
      </c>
      <c r="DQ42" s="14">
        <f t="shared" si="43"/>
        <v>27.436968686812364</v>
      </c>
      <c r="DR42" s="22">
        <f t="shared" si="16"/>
        <v>225.42908712953158</v>
      </c>
      <c r="DS42" s="60">
        <f t="shared" si="17"/>
        <v>518.76242046286484</v>
      </c>
      <c r="DT42" s="60">
        <f ca="1">AVERAGE(OFFSET($DS$3,0,0,'Données projet'!$E$14+1,1))-AVERAGE(OFFSET($H$3,0,0,'Données projet'!$E$14+1,1))</f>
        <v>291.18686311753402</v>
      </c>
      <c r="DU42" s="60">
        <f t="shared" si="44"/>
        <v>215.44422413249839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4.8</v>
      </c>
      <c r="EJ42" s="13">
        <f>IF('Données projet'!$A$192&gt;35,EJ41+EI42-ER41,IF(A42&lt;'Données projet'!$A$192,$EG$205^A42,IF(A42='Données projet'!$A$192,'Données projet'!$B$192,EJ41+EI42-ER41)))</f>
        <v>108.19999999999996</v>
      </c>
      <c r="EK42" s="18">
        <f>EJ42*VLOOKUP('Données projet'!$B$15,Paramètres!$A$1:$I$89,3,0)*VLOOKUP('Données projet'!$B$15,Paramètres!$A$1:$I$89,5,0)</f>
        <v>87.771839999999969</v>
      </c>
      <c r="EL42" s="14">
        <f t="shared" si="45"/>
        <v>24.027064931094866</v>
      </c>
      <c r="EM42" s="22">
        <f t="shared" si="19"/>
        <v>194.71642608832349</v>
      </c>
      <c r="EN42" s="60">
        <f t="shared" si="20"/>
        <v>488.0497594216568</v>
      </c>
      <c r="EO42" s="60">
        <f ca="1">AVERAGE(OFFSET($EN$3,0,0,'Données projet'!$E$15+1,1))-AVERAGE(OFFSET($H$3,0,0,'Données projet'!$E$15+1,1))</f>
        <v>236.22643401787644</v>
      </c>
      <c r="EP42" s="60">
        <f t="shared" si="46"/>
        <v>188.80444043778022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8">
        <f t="shared" si="1"/>
        <v>256.66666666666669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0" t="e">
        <f t="shared" si="0"/>
        <v>#NUM!</v>
      </c>
      <c r="S43" s="60">
        <f ca="1">AVERAGE(OFFSET($R$3,0,0,'Données projet'!$E$9+1,1))-AVERAGE(OFFSET($H$3,0,0,'Données projet'!$E$9+1,1))</f>
        <v>144.55635559713392</v>
      </c>
      <c r="T43" s="60">
        <f t="shared" si="34"/>
        <v>349.14692715126904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49.992973309710656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6.8827056840780549E-3</v>
      </c>
      <c r="AC43" s="24">
        <f t="shared" si="3"/>
        <v>49.999856015394734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142.95840000000004</v>
      </c>
      <c r="AK43" s="14">
        <f t="shared" si="35"/>
        <v>36.973906370811264</v>
      </c>
      <c r="AL43" s="22">
        <f t="shared" si="4"/>
        <v>313.38210026249641</v>
      </c>
      <c r="AM43" s="60">
        <f t="shared" si="5"/>
        <v>606.71543359582972</v>
      </c>
      <c r="AN43" s="60">
        <f ca="1">AVERAGE(OFFSET($AM$3,0,0,'Données projet'!$E$10+1,1))-AVERAGE(OFFSET($H$3,0,0,'Données projet'!$E$10+1,1))</f>
        <v>428.8489304403459</v>
      </c>
      <c r="AO43" s="60">
        <f t="shared" si="36"/>
        <v>247.01165577562966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158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158.00000000000003</v>
      </c>
      <c r="BE43" s="14">
        <f>BD43*VLOOKUP('Données projet'!$B$11,Paramètres!$A$1:$I$89,3,0)*VLOOKUP('Données projet'!$B$11,Paramètres!$A$1:$I$89,5,0)</f>
        <v>160.21200000000005</v>
      </c>
      <c r="BF43" s="14">
        <f t="shared" si="37"/>
        <v>40.890328912852695</v>
      </c>
      <c r="BG43" s="22">
        <f t="shared" si="7"/>
        <v>350.25322285655176</v>
      </c>
      <c r="BH43" s="60">
        <f t="shared" si="8"/>
        <v>643.58655618988507</v>
      </c>
      <c r="BI43" s="60">
        <f ca="1">AVERAGE(OFFSET($BH$3,0,0,'Données projet'!$E$11+1,1))-AVERAGE(OFFSET($H$3,0,0,'Données projet'!$E$11+1,1))</f>
        <v>475.47920969424894</v>
      </c>
      <c r="BJ43" s="60">
        <f t="shared" si="38"/>
        <v>271.73544012419364</v>
      </c>
      <c r="BK43" s="16">
        <f>IF(ISNA(VLOOKUP(A43,'Données projet'!$A$87:$I$107,3,0)),0,VLOOKUP(A43,'Données projet'!$A$87:$I$107,3,0))</f>
        <v>2</v>
      </c>
      <c r="BL43" s="16">
        <f>IF(ISNA(VLOOKUP(A43,'Données projet'!$A$87:$I$107,4,0)),0,VLOOKUP(A43,'Données projet'!$A$87:$I$107,4,0))</f>
        <v>42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75</v>
      </c>
      <c r="BW43" s="13">
        <f>VLOOKUP(A43,'Données projet'!$A$113:$I$133,9,0)</f>
        <v>4</v>
      </c>
      <c r="BX43" s="13">
        <f t="array" ref="BX43">INDEX(BW:BW,MIN(IF(ISNUMBER(BW43:BW239),ROW(BW43:BW239),"")))</f>
        <v>4</v>
      </c>
      <c r="BY43" s="13">
        <f>IF('Données projet'!$A$114&gt;35,BY42+BX43-CG42,IF(A43&lt;'Données projet'!$A$114,$BV$205^A43,IF(A43='Données projet'!$A$114,'Données projet'!$B$114,BY42+BX43-CG42)))</f>
        <v>75</v>
      </c>
      <c r="BZ43" s="14">
        <f>BY43*VLOOKUP('Données projet'!$B$12,Paramètres!$A$1:$I$89,3,0)*VLOOKUP('Données projet'!$B$12,Paramètres!$A$1:$I$89,5,0)</f>
        <v>72.540000000000006</v>
      </c>
      <c r="CA43" s="14">
        <f t="shared" si="39"/>
        <v>20.302914660456786</v>
      </c>
      <c r="CB43" s="22">
        <f t="shared" si="10"/>
        <v>161.70140970029556</v>
      </c>
      <c r="CC43" s="60">
        <f t="shared" si="11"/>
        <v>455.03474303362884</v>
      </c>
      <c r="CD43" s="60">
        <f ca="1">AVERAGE(OFFSET($CC$3,0,0,'Données projet'!$E$12+1,1))-AVERAGE(OFFSET($H$3,0,0,'Données projet'!$E$12+1,1))</f>
        <v>255.59755832175625</v>
      </c>
      <c r="CE43" s="60">
        <f t="shared" si="40"/>
        <v>154.0840647586964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75</v>
      </c>
      <c r="CR43" s="13">
        <f>VLOOKUP(A43,'Données projet'!$A$139:$I$159,9,0)</f>
        <v>4</v>
      </c>
      <c r="CS43" s="13">
        <f t="array" ref="CS43">INDEX(CR:CR,MIN(IF(ISNUMBER(CR43:CR239),ROW(CR43:CR239),"")))</f>
        <v>4</v>
      </c>
      <c r="CT43" s="13">
        <f>IF('Données projet'!$A$140&gt;35,CT42+CS43-DB42,IF(A43&lt;'Données projet'!$A$140,$CQ$205^A43,IF(A43='Données projet'!$A$140,'Données projet'!$B$140,CT42+CS43-DB42)))</f>
        <v>75</v>
      </c>
      <c r="CU43" s="18">
        <f>CT43*VLOOKUP('Données projet'!$B$13,Paramètres!$A$1:$I$89,3,0)*VLOOKUP('Données projet'!$B$13,Paramètres!$A$1:$I$89,5,0)</f>
        <v>80.72999999999999</v>
      </c>
      <c r="CV43" s="14">
        <f t="shared" si="41"/>
        <v>22.315578453114171</v>
      </c>
      <c r="CW43" s="22">
        <f t="shared" si="13"/>
        <v>179.47104913917383</v>
      </c>
      <c r="CX43" s="60">
        <f t="shared" si="14"/>
        <v>472.80438247250714</v>
      </c>
      <c r="CY43" s="60">
        <f ca="1">AVERAGE(OFFSET($CX$3,0,0,'Données projet'!$E$13+1,1))-AVERAGE(OFFSET($H$3,0,0,'Données projet'!$E$13+1,1))</f>
        <v>280.20599015000306</v>
      </c>
      <c r="CZ43" s="60">
        <f t="shared" si="42"/>
        <v>166.97658184507787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158.97435897435898</v>
      </c>
      <c r="DM43" s="13">
        <f>VLOOKUP(A43,'Données projet'!$A$165:$I$185,9,0)</f>
        <v>6.9230769230769225</v>
      </c>
      <c r="DN43" s="13">
        <f t="array" ref="DN43">INDEX(DM:DM,MIN(IF(ISNUMBER(DM43:DM239),ROW(DM43:DM239),"")))</f>
        <v>6.9230769230769225</v>
      </c>
      <c r="DO43" s="13">
        <f>IF('Données projet'!$A$166&gt;35,DO42+DN43-DW42,IF(A43&lt;'Données projet'!$A$166,$DL$205^A43,IF(A43='Données projet'!$A$166,'Données projet'!$B$166,DO42+DN43-DW42)))</f>
        <v>158.97435897435903</v>
      </c>
      <c r="DP43" s="18">
        <f>DO43*VLOOKUP('Données projet'!$B$14,Paramètres!$A$1:$I$89,3,0)*VLOOKUP('Données projet'!$B$14,Paramètres!$A$1:$I$89,5,0)</f>
        <v>106.64000000000003</v>
      </c>
      <c r="DQ43" s="14">
        <f t="shared" si="43"/>
        <v>28.537918766434618</v>
      </c>
      <c r="DR43" s="22">
        <f t="shared" si="16"/>
        <v>235.4348751848737</v>
      </c>
      <c r="DS43" s="60">
        <f t="shared" si="17"/>
        <v>528.76820851820708</v>
      </c>
      <c r="DT43" s="60">
        <f ca="1">AVERAGE(OFFSET($DS$3,0,0,'Données projet'!$E$14+1,1))-AVERAGE(OFFSET($H$3,0,0,'Données projet'!$E$14+1,1))</f>
        <v>291.18686311753402</v>
      </c>
      <c r="DU43" s="60">
        <f t="shared" si="44"/>
        <v>215.44422413249839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113</v>
      </c>
      <c r="EH43" s="13">
        <f>VLOOKUP(A43,'Données projet'!$A$191:$I$211,9,0)</f>
        <v>4.8</v>
      </c>
      <c r="EI43" s="13">
        <f t="array" ref="EI43">INDEX(EH:EH,MIN(IF(ISNUMBER(EH43:EH239),ROW(EH43:EH239),"")))</f>
        <v>4.8</v>
      </c>
      <c r="EJ43" s="13">
        <f>IF('Données projet'!$A$192&gt;35,EJ42+EI43-ER42,IF(A43&lt;'Données projet'!$A$192,$EG$205^A43,IF(A43='Données projet'!$A$192,'Données projet'!$B$192,EJ42+EI43-ER42)))</f>
        <v>112.99999999999996</v>
      </c>
      <c r="EK43" s="18">
        <f>EJ43*VLOOKUP('Données projet'!$B$15,Paramètres!$A$1:$I$89,3,0)*VLOOKUP('Données projet'!$B$15,Paramètres!$A$1:$I$89,5,0)</f>
        <v>91.665599999999969</v>
      </c>
      <c r="EL43" s="14">
        <f t="shared" si="45"/>
        <v>24.966497888207439</v>
      </c>
      <c r="EM43" s="22">
        <f t="shared" si="19"/>
        <v>203.13423715529458</v>
      </c>
      <c r="EN43" s="60">
        <f t="shared" si="20"/>
        <v>496.46757048862787</v>
      </c>
      <c r="EO43" s="60">
        <f ca="1">AVERAGE(OFFSET($EN$3,0,0,'Données projet'!$E$15+1,1))-AVERAGE(OFFSET($H$3,0,0,'Données projet'!$E$15+1,1))</f>
        <v>236.22643401787644</v>
      </c>
      <c r="EP43" s="60">
        <f t="shared" si="46"/>
        <v>188.80444043778022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8">
        <f t="shared" si="1"/>
        <v>256.66666666666669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0" t="e">
        <f t="shared" si="0"/>
        <v>#NUM!</v>
      </c>
      <c r="S44" s="60">
        <f ca="1">AVERAGE(OFFSET($R$3,0,0,'Données projet'!$E$9+1,1))-AVERAGE(OFFSET($H$3,0,0,'Données projet'!$E$9+1,1))</f>
        <v>144.55635559713392</v>
      </c>
      <c r="T44" s="60">
        <f t="shared" si="34"/>
        <v>349.14692715126904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49.012641595810045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4.866807862122788E-3</v>
      </c>
      <c r="AC44" s="24">
        <f t="shared" si="3"/>
        <v>49.017508403672167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112.55712000000003</v>
      </c>
      <c r="AK44" s="14">
        <f t="shared" si="35"/>
        <v>29.932653834140599</v>
      </c>
      <c r="AL44" s="22">
        <f t="shared" si="4"/>
        <v>248.16968942779496</v>
      </c>
      <c r="AM44" s="60">
        <f t="shared" si="5"/>
        <v>541.50302276112825</v>
      </c>
      <c r="AN44" s="60">
        <f ca="1">AVERAGE(OFFSET($AM$3,0,0,'Données projet'!$E$10+1,1))-AVERAGE(OFFSET($H$3,0,0,'Données projet'!$E$10+1,1))</f>
        <v>428.8489304403459</v>
      </c>
      <c r="AO44" s="60">
        <f t="shared" si="36"/>
        <v>247.01165577562966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projet'!$B$11,Paramètres!$A$1:$I$89,3,0)*VLOOKUP('Données projet'!$B$11,Paramètres!$A$1:$I$89,5,0)</f>
        <v>126.14160000000005</v>
      </c>
      <c r="BF44" s="14">
        <f t="shared" si="37"/>
        <v>33.10323903126482</v>
      </c>
      <c r="BG44" s="22">
        <f t="shared" si="7"/>
        <v>277.35142797945298</v>
      </c>
      <c r="BH44" s="60">
        <f t="shared" si="8"/>
        <v>570.68476131278635</v>
      </c>
      <c r="BI44" s="60">
        <f ca="1">AVERAGE(OFFSET($BH$3,0,0,'Données projet'!$E$11+1,1))-AVERAGE(OFFSET($H$3,0,0,'Données projet'!$E$11+1,1))</f>
        <v>475.47920969424894</v>
      </c>
      <c r="BJ44" s="60">
        <f t="shared" si="38"/>
        <v>271.73544012419364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3.8</v>
      </c>
      <c r="BY44" s="13">
        <f>IF('Données projet'!$A$114&gt;35,BY43+BX44-CG43,IF(A44&lt;'Données projet'!$A$114,$BV$205^A44,IF(A44='Données projet'!$A$114,'Données projet'!$B$114,BY43+BX44-CG43)))</f>
        <v>78.8</v>
      </c>
      <c r="BZ44" s="14">
        <f>BY44*VLOOKUP('Données projet'!$B$12,Paramètres!$A$1:$I$89,3,0)*VLOOKUP('Données projet'!$B$12,Paramètres!$A$1:$I$89,5,0)</f>
        <v>76.21535999999999</v>
      </c>
      <c r="CA44" s="14">
        <f t="shared" si="39"/>
        <v>21.209226133452251</v>
      </c>
      <c r="CB44" s="22">
        <f t="shared" si="10"/>
        <v>169.68115418242931</v>
      </c>
      <c r="CC44" s="60">
        <f t="shared" si="11"/>
        <v>463.01448751576265</v>
      </c>
      <c r="CD44" s="60">
        <f ca="1">AVERAGE(OFFSET($CC$3,0,0,'Données projet'!$E$12+1,1))-AVERAGE(OFFSET($H$3,0,0,'Données projet'!$E$12+1,1))</f>
        <v>255.59755832175625</v>
      </c>
      <c r="CE44" s="60">
        <f t="shared" si="40"/>
        <v>154.0840647586964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3.8</v>
      </c>
      <c r="CT44" s="13">
        <f>IF('Données projet'!$A$140&gt;35,CT43+CS44-DB43,IF(A44&lt;'Données projet'!$A$140,$CQ$205^A44,IF(A44='Données projet'!$A$140,'Données projet'!$B$140,CT43+CS44-DB43)))</f>
        <v>78.8</v>
      </c>
      <c r="CU44" s="18">
        <f>CT44*VLOOKUP('Données projet'!$B$13,Paramètres!$A$1:$I$89,3,0)*VLOOKUP('Données projet'!$B$13,Paramètres!$A$1:$I$89,5,0)</f>
        <v>84.820319999999995</v>
      </c>
      <c r="CV44" s="14">
        <f t="shared" si="41"/>
        <v>23.311734183304917</v>
      </c>
      <c r="CW44" s="22">
        <f t="shared" si="13"/>
        <v>188.32999436925604</v>
      </c>
      <c r="CX44" s="60">
        <f t="shared" si="14"/>
        <v>481.66332770258936</v>
      </c>
      <c r="CY44" s="60">
        <f ca="1">AVERAGE(OFFSET($CX$3,0,0,'Données projet'!$E$13+1,1))-AVERAGE(OFFSET($H$3,0,0,'Données projet'!$E$13+1,1))</f>
        <v>280.20599015000306</v>
      </c>
      <c r="CZ44" s="60">
        <f t="shared" si="42"/>
        <v>166.97658184507787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6.2820512820512819</v>
      </c>
      <c r="DO44" s="13">
        <f>IF('Données projet'!$A$166&gt;35,DO43+DN44-DW43,IF(A44&lt;'Données projet'!$A$166,$DL$205^A44,IF(A44='Données projet'!$A$166,'Données projet'!$B$166,DO43+DN44-DW43)))</f>
        <v>165.25641025641031</v>
      </c>
      <c r="DP44" s="18">
        <f>DO44*VLOOKUP('Données projet'!$B$14,Paramètres!$A$1:$I$89,3,0)*VLOOKUP('Données projet'!$B$14,Paramètres!$A$1:$I$89,5,0)</f>
        <v>110.85400000000003</v>
      </c>
      <c r="DQ44" s="14">
        <f t="shared" si="43"/>
        <v>29.532102980068863</v>
      </c>
      <c r="DR44" s="22">
        <f t="shared" si="16"/>
        <v>244.50579602361998</v>
      </c>
      <c r="DS44" s="60">
        <f t="shared" si="17"/>
        <v>537.83912935695332</v>
      </c>
      <c r="DT44" s="60">
        <f ca="1">AVERAGE(OFFSET($DS$3,0,0,'Données projet'!$E$14+1,1))-AVERAGE(OFFSET($H$3,0,0,'Données projet'!$E$14+1,1))</f>
        <v>291.18686311753402</v>
      </c>
      <c r="DU44" s="60">
        <f t="shared" si="44"/>
        <v>215.44422413249839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4.8</v>
      </c>
      <c r="EJ44" s="13">
        <f>IF('Données projet'!$A$192&gt;35,EJ43+EI44-ER43,IF(A44&lt;'Données projet'!$A$192,$EG$205^A44,IF(A44='Données projet'!$A$192,'Données projet'!$B$192,EJ43+EI44-ER43)))</f>
        <v>117.79999999999995</v>
      </c>
      <c r="EK44" s="18">
        <f>EJ44*VLOOKUP('Données projet'!$B$15,Paramètres!$A$1:$I$89,3,0)*VLOOKUP('Données projet'!$B$15,Paramètres!$A$1:$I$89,5,0)</f>
        <v>95.55935999999997</v>
      </c>
      <c r="EL44" s="14">
        <f t="shared" si="45"/>
        <v>25.901295882154653</v>
      </c>
      <c r="EM44" s="22">
        <f t="shared" si="19"/>
        <v>211.5439756614193</v>
      </c>
      <c r="EN44" s="60">
        <f t="shared" si="20"/>
        <v>504.87730899475264</v>
      </c>
      <c r="EO44" s="60">
        <f ca="1">AVERAGE(OFFSET($EN$3,0,0,'Données projet'!$E$15+1,1))-AVERAGE(OFFSET($H$3,0,0,'Données projet'!$E$15+1,1))</f>
        <v>236.22643401787644</v>
      </c>
      <c r="EP44" s="60">
        <f t="shared" si="46"/>
        <v>188.80444043778022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8">
        <f t="shared" si="1"/>
        <v>256.66666666666669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0" t="e">
        <f t="shared" si="0"/>
        <v>#NUM!</v>
      </c>
      <c r="S45" s="60">
        <f ca="1">AVERAGE(OFFSET($R$3,0,0,'Données projet'!$E$9+1,1))-AVERAGE(OFFSET($H$3,0,0,'Données projet'!$E$9+1,1))</f>
        <v>144.55635559713392</v>
      </c>
      <c r="T45" s="60">
        <f t="shared" si="34"/>
        <v>349.14692715126904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48.051533588875721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3.4413528420390274E-3</v>
      </c>
      <c r="AC45" s="24">
        <f t="shared" si="3"/>
        <v>48.054974941717759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120.15744000000002</v>
      </c>
      <c r="AK45" s="14">
        <f t="shared" si="35"/>
        <v>31.711716786129845</v>
      </c>
      <c r="AL45" s="22">
        <f t="shared" si="4"/>
        <v>264.50544806917623</v>
      </c>
      <c r="AM45" s="60">
        <f t="shared" si="5"/>
        <v>557.83878140250954</v>
      </c>
      <c r="AN45" s="60">
        <f ca="1">AVERAGE(OFFSET($AM$3,0,0,'Données projet'!$E$10+1,1))-AVERAGE(OFFSET($H$3,0,0,'Données projet'!$E$10+1,1))</f>
        <v>428.8489304403459</v>
      </c>
      <c r="AO45" s="60">
        <f t="shared" si="36"/>
        <v>247.01165577562966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projet'!$B$11,Paramètres!$A$1:$I$89,3,0)*VLOOKUP('Données projet'!$B$11,Paramètres!$A$1:$I$89,5,0)</f>
        <v>134.65920000000006</v>
      </c>
      <c r="BF45" s="14">
        <f t="shared" si="37"/>
        <v>35.07074737441733</v>
      </c>
      <c r="BG45" s="22">
        <f t="shared" si="7"/>
        <v>295.61299167711024</v>
      </c>
      <c r="BH45" s="60">
        <f t="shared" si="8"/>
        <v>588.94632501044362</v>
      </c>
      <c r="BI45" s="60">
        <f ca="1">AVERAGE(OFFSET($BH$3,0,0,'Données projet'!$E$11+1,1))-AVERAGE(OFFSET($H$3,0,0,'Données projet'!$E$11+1,1))</f>
        <v>475.47920969424894</v>
      </c>
      <c r="BJ45" s="60">
        <f t="shared" si="38"/>
        <v>271.73544012419364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3.8</v>
      </c>
      <c r="BY45" s="13">
        <f>IF('Données projet'!$A$114&gt;35,BY44+BX45-CG44,IF(A45&lt;'Données projet'!$A$114,$BV$205^A45,IF(A45='Données projet'!$A$114,'Données projet'!$B$114,BY44+BX45-CG44)))</f>
        <v>82.6</v>
      </c>
      <c r="BZ45" s="14">
        <f>BY45*VLOOKUP('Données projet'!$B$12,Paramètres!$A$1:$I$89,3,0)*VLOOKUP('Données projet'!$B$12,Paramètres!$A$1:$I$89,5,0)</f>
        <v>79.890720000000002</v>
      </c>
      <c r="CA45" s="14">
        <f t="shared" si="39"/>
        <v>22.110462475232147</v>
      </c>
      <c r="CB45" s="22">
        <f t="shared" si="10"/>
        <v>177.65205947769599</v>
      </c>
      <c r="CC45" s="60">
        <f t="shared" si="11"/>
        <v>470.98539281102933</v>
      </c>
      <c r="CD45" s="60">
        <f ca="1">AVERAGE(OFFSET($CC$3,0,0,'Données projet'!$E$12+1,1))-AVERAGE(OFFSET($H$3,0,0,'Données projet'!$E$12+1,1))</f>
        <v>255.59755832175625</v>
      </c>
      <c r="CE45" s="60">
        <f t="shared" si="40"/>
        <v>154.0840647586964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3.8</v>
      </c>
      <c r="CT45" s="13">
        <f>IF('Données projet'!$A$140&gt;35,CT44+CS45-DB44,IF(A45&lt;'Données projet'!$A$140,$CQ$205^A45,IF(A45='Données projet'!$A$140,'Données projet'!$B$140,CT44+CS45-DB44)))</f>
        <v>82.6</v>
      </c>
      <c r="CU45" s="18">
        <f>CT45*VLOOKUP('Données projet'!$B$13,Paramètres!$A$1:$I$89,3,0)*VLOOKUP('Données projet'!$B$13,Paramètres!$A$1:$I$89,5,0)</f>
        <v>88.910639999999987</v>
      </c>
      <c r="CV45" s="14">
        <f t="shared" si="41"/>
        <v>24.302311675558148</v>
      </c>
      <c r="CW45" s="22">
        <f t="shared" si="13"/>
        <v>197.17922416826374</v>
      </c>
      <c r="CX45" s="60">
        <f t="shared" si="14"/>
        <v>490.51255750159703</v>
      </c>
      <c r="CY45" s="60">
        <f ca="1">AVERAGE(OFFSET($CX$3,0,0,'Données projet'!$E$13+1,1))-AVERAGE(OFFSET($H$3,0,0,'Données projet'!$E$13+1,1))</f>
        <v>280.20599015000306</v>
      </c>
      <c r="CZ45" s="60">
        <f t="shared" si="42"/>
        <v>166.97658184507787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6.2820512820512819</v>
      </c>
      <c r="DO45" s="13">
        <f>IF('Données projet'!$A$166&gt;35,DO44+DN45-DW44,IF(A45&lt;'Données projet'!$A$166,$DL$205^A45,IF(A45='Données projet'!$A$166,'Données projet'!$B$166,DO44+DN45-DW44)))</f>
        <v>171.53846153846158</v>
      </c>
      <c r="DP45" s="18">
        <f>DO45*VLOOKUP('Données projet'!$B$14,Paramètres!$A$1:$I$89,3,0)*VLOOKUP('Données projet'!$B$14,Paramètres!$A$1:$I$89,5,0)</f>
        <v>115.06800000000003</v>
      </c>
      <c r="DQ45" s="14">
        <f t="shared" si="43"/>
        <v>30.521896703482735</v>
      </c>
      <c r="DR45" s="22">
        <f t="shared" si="16"/>
        <v>253.56907009189914</v>
      </c>
      <c r="DS45" s="60">
        <f t="shared" si="17"/>
        <v>546.90240342523248</v>
      </c>
      <c r="DT45" s="60">
        <f ca="1">AVERAGE(OFFSET($DS$3,0,0,'Données projet'!$E$14+1,1))-AVERAGE(OFFSET($H$3,0,0,'Données projet'!$E$14+1,1))</f>
        <v>291.18686311753402</v>
      </c>
      <c r="DU45" s="60">
        <f t="shared" si="44"/>
        <v>215.44422413249839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4.8</v>
      </c>
      <c r="EJ45" s="13">
        <f>IF('Données projet'!$A$192&gt;35,EJ44+EI45-ER44,IF(A45&lt;'Données projet'!$A$192,$EG$205^A45,IF(A45='Données projet'!$A$192,'Données projet'!$B$192,EJ44+EI45-ER44)))</f>
        <v>122.59999999999995</v>
      </c>
      <c r="EK45" s="18">
        <f>EJ45*VLOOKUP('Données projet'!$B$15,Paramètres!$A$1:$I$89,3,0)*VLOOKUP('Données projet'!$B$15,Paramètres!$A$1:$I$89,5,0)</f>
        <v>99.453119999999956</v>
      </c>
      <c r="EL45" s="14">
        <f t="shared" si="45"/>
        <v>26.831669376836924</v>
      </c>
      <c r="EM45" s="22">
        <f t="shared" si="19"/>
        <v>219.94600816465757</v>
      </c>
      <c r="EN45" s="60">
        <f t="shared" si="20"/>
        <v>513.27934149799091</v>
      </c>
      <c r="EO45" s="60">
        <f ca="1">AVERAGE(OFFSET($EN$3,0,0,'Données projet'!$E$15+1,1))-AVERAGE(OFFSET($H$3,0,0,'Données projet'!$E$15+1,1))</f>
        <v>236.22643401787644</v>
      </c>
      <c r="EP45" s="60">
        <f t="shared" si="46"/>
        <v>188.80444043778022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8">
        <f t="shared" si="1"/>
        <v>256.66666666666669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0" t="e">
        <f t="shared" si="0"/>
        <v>#NUM!</v>
      </c>
      <c r="S46" s="60">
        <f ca="1">AVERAGE(OFFSET($R$3,0,0,'Données projet'!$E$9+1,1))-AVERAGE(OFFSET($H$3,0,0,'Données projet'!$E$9+1,1))</f>
        <v>144.55635559713392</v>
      </c>
      <c r="T46" s="60">
        <f t="shared" si="34"/>
        <v>349.14692715126904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47.109272323739376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2.433403931061394E-3</v>
      </c>
      <c r="AC46" s="24">
        <f t="shared" si="3"/>
        <v>47.11170572767044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127.75776000000003</v>
      </c>
      <c r="AK46" s="14">
        <f t="shared" si="35"/>
        <v>33.477720030956604</v>
      </c>
      <c r="AL46" s="22">
        <f t="shared" si="4"/>
        <v>280.81846105391611</v>
      </c>
      <c r="AM46" s="60">
        <f t="shared" si="5"/>
        <v>574.15179438724942</v>
      </c>
      <c r="AN46" s="60">
        <f ca="1">AVERAGE(OFFSET($AM$3,0,0,'Données projet'!$E$10+1,1))-AVERAGE(OFFSET($H$3,0,0,'Données projet'!$E$10+1,1))</f>
        <v>428.8489304403459</v>
      </c>
      <c r="AO46" s="60">
        <f t="shared" si="36"/>
        <v>247.01165577562966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projet'!$B$11,Paramètres!$A$1:$I$89,3,0)*VLOOKUP('Données projet'!$B$11,Paramètres!$A$1:$I$89,5,0)</f>
        <v>143.17680000000004</v>
      </c>
      <c r="BF46" s="14">
        <f t="shared" si="37"/>
        <v>37.023812674521515</v>
      </c>
      <c r="BG46" s="22">
        <f t="shared" si="7"/>
        <v>313.84940040812506</v>
      </c>
      <c r="BH46" s="60">
        <f t="shared" si="8"/>
        <v>607.18273374145838</v>
      </c>
      <c r="BI46" s="60">
        <f ca="1">AVERAGE(OFFSET($BH$3,0,0,'Données projet'!$E$11+1,1))-AVERAGE(OFFSET($H$3,0,0,'Données projet'!$E$11+1,1))</f>
        <v>475.47920969424894</v>
      </c>
      <c r="BJ46" s="60">
        <f t="shared" si="38"/>
        <v>271.73544012419364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3.8</v>
      </c>
      <c r="BY46" s="13">
        <f>IF('Données projet'!$A$114&gt;35,BY45+BX46-CG45,IF(A46&lt;'Données projet'!$A$114,$BV$205^A46,IF(A46='Données projet'!$A$114,'Données projet'!$B$114,BY45+BX46-CG45)))</f>
        <v>86.399999999999991</v>
      </c>
      <c r="BZ46" s="14">
        <f>BY46*VLOOKUP('Données projet'!$B$12,Paramètres!$A$1:$I$89,3,0)*VLOOKUP('Données projet'!$B$12,Paramètres!$A$1:$I$89,5,0)</f>
        <v>83.566079999999999</v>
      </c>
      <c r="CA46" s="14">
        <f t="shared" si="39"/>
        <v>23.006883834459444</v>
      </c>
      <c r="CB46" s="22">
        <f t="shared" si="10"/>
        <v>185.6145786783502</v>
      </c>
      <c r="CC46" s="60">
        <f t="shared" si="11"/>
        <v>478.94791201168351</v>
      </c>
      <c r="CD46" s="60">
        <f ca="1">AVERAGE(OFFSET($CC$3,0,0,'Données projet'!$E$12+1,1))-AVERAGE(OFFSET($H$3,0,0,'Données projet'!$E$12+1,1))</f>
        <v>255.59755832175625</v>
      </c>
      <c r="CE46" s="60">
        <f t="shared" si="40"/>
        <v>154.0840647586964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3.8</v>
      </c>
      <c r="CT46" s="13">
        <f>IF('Données projet'!$A$140&gt;35,CT45+CS46-DB45,IF(A46&lt;'Données projet'!$A$140,$CQ$205^A46,IF(A46='Données projet'!$A$140,'Données projet'!$B$140,CT45+CS46-DB45)))</f>
        <v>86.399999999999991</v>
      </c>
      <c r="CU46" s="18">
        <f>CT46*VLOOKUP('Données projet'!$B$13,Paramètres!$A$1:$I$89,3,0)*VLOOKUP('Données projet'!$B$13,Paramètres!$A$1:$I$89,5,0)</f>
        <v>93.000959999999992</v>
      </c>
      <c r="CV46" s="14">
        <f t="shared" si="41"/>
        <v>25.28759686753336</v>
      </c>
      <c r="CW46" s="22">
        <f t="shared" si="13"/>
        <v>206.01923654428722</v>
      </c>
      <c r="CX46" s="60">
        <f t="shared" si="14"/>
        <v>499.35256987762057</v>
      </c>
      <c r="CY46" s="60">
        <f ca="1">AVERAGE(OFFSET($CX$3,0,0,'Données projet'!$E$13+1,1))-AVERAGE(OFFSET($H$3,0,0,'Données projet'!$E$13+1,1))</f>
        <v>280.20599015000306</v>
      </c>
      <c r="CZ46" s="60">
        <f t="shared" si="42"/>
        <v>166.97658184507787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6.2820512820512819</v>
      </c>
      <c r="DO46" s="13">
        <f>IF('Données projet'!$A$166&gt;35,DO45+DN46-DW45,IF(A46&lt;'Données projet'!$A$166,$DL$205^A46,IF(A46='Données projet'!$A$166,'Données projet'!$B$166,DO45+DN46-DW45)))</f>
        <v>177.82051282051285</v>
      </c>
      <c r="DP46" s="18">
        <f>DO46*VLOOKUP('Données projet'!$B$14,Paramètres!$A$1:$I$89,3,0)*VLOOKUP('Données projet'!$B$14,Paramètres!$A$1:$I$89,5,0)</f>
        <v>119.28200000000002</v>
      </c>
      <c r="DQ46" s="14">
        <f t="shared" si="43"/>
        <v>31.507479139573579</v>
      </c>
      <c r="DR46" s="22">
        <f t="shared" si="16"/>
        <v>262.62500950142402</v>
      </c>
      <c r="DS46" s="60">
        <f t="shared" si="17"/>
        <v>555.95834283475733</v>
      </c>
      <c r="DT46" s="60">
        <f ca="1">AVERAGE(OFFSET($DS$3,0,0,'Données projet'!$E$14+1,1))-AVERAGE(OFFSET($H$3,0,0,'Données projet'!$E$14+1,1))</f>
        <v>291.18686311753402</v>
      </c>
      <c r="DU46" s="60">
        <f t="shared" si="44"/>
        <v>215.44422413249839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4.8</v>
      </c>
      <c r="EJ46" s="13">
        <f>IF('Données projet'!$A$192&gt;35,EJ45+EI46-ER45,IF(A46&lt;'Données projet'!$A$192,$EG$205^A46,IF(A46='Données projet'!$A$192,'Données projet'!$B$192,EJ45+EI46-ER45)))</f>
        <v>127.39999999999995</v>
      </c>
      <c r="EK46" s="18">
        <f>EJ46*VLOOKUP('Données projet'!$B$15,Paramètres!$A$1:$I$89,3,0)*VLOOKUP('Données projet'!$B$15,Paramètres!$A$1:$I$89,5,0)</f>
        <v>103.34687999999997</v>
      </c>
      <c r="EL46" s="14">
        <f t="shared" si="45"/>
        <v>27.757811423037616</v>
      </c>
      <c r="EM46" s="22">
        <f t="shared" si="19"/>
        <v>228.34067089512379</v>
      </c>
      <c r="EN46" s="60">
        <f t="shared" si="20"/>
        <v>521.67400422845708</v>
      </c>
      <c r="EO46" s="60">
        <f ca="1">AVERAGE(OFFSET($EN$3,0,0,'Données projet'!$E$15+1,1))-AVERAGE(OFFSET($H$3,0,0,'Données projet'!$E$15+1,1))</f>
        <v>236.22643401787644</v>
      </c>
      <c r="EP46" s="60">
        <f t="shared" si="46"/>
        <v>188.80444043778022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8">
        <f t="shared" si="1"/>
        <v>256.66666666666669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0" t="e">
        <f t="shared" si="0"/>
        <v>#NUM!</v>
      </c>
      <c r="S47" s="60">
        <f ca="1">AVERAGE(OFFSET($R$3,0,0,'Données projet'!$E$9+1,1))-AVERAGE(OFFSET($H$3,0,0,'Données projet'!$E$9+1,1))</f>
        <v>144.55635559713392</v>
      </c>
      <c r="T47" s="60">
        <f t="shared" si="34"/>
        <v>349.14692715126904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46.185488227289738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1.7206764210195137E-3</v>
      </c>
      <c r="AC47" s="24">
        <f t="shared" si="3"/>
        <v>46.187208903710761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135.35808000000006</v>
      </c>
      <c r="AK47" s="14">
        <f t="shared" si="35"/>
        <v>35.231528980112834</v>
      </c>
      <c r="AL47" s="22">
        <f t="shared" si="4"/>
        <v>297.11023564036327</v>
      </c>
      <c r="AM47" s="60">
        <f t="shared" si="5"/>
        <v>590.44356897369653</v>
      </c>
      <c r="AN47" s="60">
        <f ca="1">AVERAGE(OFFSET($AM$3,0,0,'Données projet'!$E$10+1,1))-AVERAGE(OFFSET($H$3,0,0,'Données projet'!$E$10+1,1))</f>
        <v>428.8489304403459</v>
      </c>
      <c r="AO47" s="60">
        <f t="shared" si="36"/>
        <v>247.01165577562966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projet'!$B$11,Paramètres!$A$1:$I$89,3,0)*VLOOKUP('Données projet'!$B$11,Paramètres!$A$1:$I$89,5,0)</f>
        <v>151.69440000000006</v>
      </c>
      <c r="BF47" s="14">
        <f t="shared" si="37"/>
        <v>38.963392010880654</v>
      </c>
      <c r="BG47" s="22">
        <f t="shared" si="7"/>
        <v>332.06232108561721</v>
      </c>
      <c r="BH47" s="60">
        <f t="shared" si="8"/>
        <v>625.39565441895047</v>
      </c>
      <c r="BI47" s="60">
        <f ca="1">AVERAGE(OFFSET($BH$3,0,0,'Données projet'!$E$11+1,1))-AVERAGE(OFFSET($H$3,0,0,'Données projet'!$E$11+1,1))</f>
        <v>475.47920969424894</v>
      </c>
      <c r="BJ47" s="60">
        <f t="shared" si="38"/>
        <v>271.73544012419364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3.8</v>
      </c>
      <c r="BY47" s="13">
        <f>IF('Données projet'!$A$114&gt;35,BY46+BX47-CG46,IF(A47&lt;'Données projet'!$A$114,$BV$205^A47,IF(A47='Données projet'!$A$114,'Données projet'!$B$114,BY46+BX47-CG46)))</f>
        <v>90.199999999999989</v>
      </c>
      <c r="BZ47" s="14">
        <f>BY47*VLOOKUP('Données projet'!$B$12,Paramètres!$A$1:$I$89,3,0)*VLOOKUP('Données projet'!$B$12,Paramètres!$A$1:$I$89,5,0)</f>
        <v>87.241439999999997</v>
      </c>
      <c r="CA47" s="14">
        <f t="shared" si="39"/>
        <v>23.898726182438701</v>
      </c>
      <c r="CB47" s="22">
        <f t="shared" si="10"/>
        <v>193.56912276774736</v>
      </c>
      <c r="CC47" s="60">
        <f t="shared" si="11"/>
        <v>486.9024561010807</v>
      </c>
      <c r="CD47" s="60">
        <f ca="1">AVERAGE(OFFSET($CC$3,0,0,'Données projet'!$E$12+1,1))-AVERAGE(OFFSET($H$3,0,0,'Données projet'!$E$12+1,1))</f>
        <v>255.59755832175625</v>
      </c>
      <c r="CE47" s="60">
        <f t="shared" si="40"/>
        <v>154.0840647586964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3.8</v>
      </c>
      <c r="CT47" s="13">
        <f>IF('Données projet'!$A$140&gt;35,CT46+CS47-DB46,IF(A47&lt;'Données projet'!$A$140,$CQ$205^A47,IF(A47='Données projet'!$A$140,'Données projet'!$B$140,CT46+CS47-DB46)))</f>
        <v>90.199999999999989</v>
      </c>
      <c r="CU47" s="18">
        <f>CT47*VLOOKUP('Données projet'!$B$13,Paramètres!$A$1:$I$89,3,0)*VLOOKUP('Données projet'!$B$13,Paramètres!$A$1:$I$89,5,0)</f>
        <v>97.091279999999983</v>
      </c>
      <c r="CV47" s="14">
        <f t="shared" si="41"/>
        <v>26.267849122787243</v>
      </c>
      <c r="CW47" s="22">
        <f t="shared" si="13"/>
        <v>214.85048322218776</v>
      </c>
      <c r="CX47" s="60">
        <f t="shared" si="14"/>
        <v>508.18381655552105</v>
      </c>
      <c r="CY47" s="60">
        <f ca="1">AVERAGE(OFFSET($CX$3,0,0,'Données projet'!$E$13+1,1))-AVERAGE(OFFSET($H$3,0,0,'Données projet'!$E$13+1,1))</f>
        <v>280.20599015000306</v>
      </c>
      <c r="CZ47" s="60">
        <f t="shared" si="42"/>
        <v>166.97658184507787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6.2820512820512819</v>
      </c>
      <c r="DO47" s="13">
        <f>IF('Données projet'!$A$166&gt;35,DO46+DN47-DW46,IF(A47&lt;'Données projet'!$A$166,$DL$205^A47,IF(A47='Données projet'!$A$166,'Données projet'!$B$166,DO46+DN47-DW46)))</f>
        <v>184.10256410256412</v>
      </c>
      <c r="DP47" s="18">
        <f>DO47*VLOOKUP('Données projet'!$B$14,Paramètres!$A$1:$I$89,3,0)*VLOOKUP('Données projet'!$B$14,Paramètres!$A$1:$I$89,5,0)</f>
        <v>123.49600000000001</v>
      </c>
      <c r="DQ47" s="14">
        <f t="shared" si="43"/>
        <v>32.489016111577364</v>
      </c>
      <c r="DR47" s="22">
        <f t="shared" si="16"/>
        <v>271.67390306099725</v>
      </c>
      <c r="DS47" s="60">
        <f t="shared" si="17"/>
        <v>565.00723639433056</v>
      </c>
      <c r="DT47" s="60">
        <f ca="1">AVERAGE(OFFSET($DS$3,0,0,'Données projet'!$E$14+1,1))-AVERAGE(OFFSET($H$3,0,0,'Données projet'!$E$14+1,1))</f>
        <v>291.18686311753402</v>
      </c>
      <c r="DU47" s="60">
        <f t="shared" si="44"/>
        <v>215.44422413249839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4.8</v>
      </c>
      <c r="EJ47" s="13">
        <f>IF('Données projet'!$A$192&gt;35,EJ46+EI47-ER46,IF(A47&lt;'Données projet'!$A$192,$EG$205^A47,IF(A47='Données projet'!$A$192,'Données projet'!$B$192,EJ46+EI47-ER46)))</f>
        <v>132.19999999999996</v>
      </c>
      <c r="EK47" s="18">
        <f>EJ47*VLOOKUP('Données projet'!$B$15,Paramètres!$A$1:$I$89,3,0)*VLOOKUP('Données projet'!$B$15,Paramètres!$A$1:$I$89,5,0)</f>
        <v>107.24063999999998</v>
      </c>
      <c r="EL47" s="14">
        <f t="shared" si="45"/>
        <v>28.679899700503601</v>
      </c>
      <c r="EM47" s="22">
        <f t="shared" si="19"/>
        <v>236.72827331171041</v>
      </c>
      <c r="EN47" s="60">
        <f t="shared" si="20"/>
        <v>530.06160664504375</v>
      </c>
      <c r="EO47" s="60">
        <f ca="1">AVERAGE(OFFSET($EN$3,0,0,'Données projet'!$E$15+1,1))-AVERAGE(OFFSET($H$3,0,0,'Données projet'!$E$15+1,1))</f>
        <v>236.22643401787644</v>
      </c>
      <c r="EP47" s="60">
        <f t="shared" si="46"/>
        <v>188.80444043778022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8">
        <f t="shared" si="1"/>
        <v>256.66666666666669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0" t="e">
        <f t="shared" si="0"/>
        <v>#NUM!</v>
      </c>
      <c r="S48" s="60">
        <f ca="1">AVERAGE(OFFSET($R$3,0,0,'Données projet'!$E$9+1,1))-AVERAGE(OFFSET($H$3,0,0,'Données projet'!$E$9+1,1))</f>
        <v>144.55635559713392</v>
      </c>
      <c r="T48" s="60">
        <f t="shared" si="34"/>
        <v>349.14692715126904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45.279818973518815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1.216701965530697E-3</v>
      </c>
      <c r="AC48" s="24">
        <f t="shared" si="3"/>
        <v>45.281035675484347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0">
        <f t="shared" si="5"/>
        <v>606.71543359582972</v>
      </c>
      <c r="AN48" s="60">
        <f ca="1">AVERAGE(OFFSET($AM$3,0,0,'Données projet'!$E$10+1,1))-AVERAGE(OFFSET($H$3,0,0,'Données projet'!$E$10+1,1))</f>
        <v>428.8489304403459</v>
      </c>
      <c r="AO48" s="60">
        <f t="shared" si="36"/>
        <v>247.01165577562966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projet'!$B$11,Paramètres!$A$1:$I$89,3,0)*VLOOKUP('Données projet'!$B$11,Paramètres!$A$1:$I$89,5,0)</f>
        <v>160.21200000000007</v>
      </c>
      <c r="BF48" s="14">
        <f t="shared" si="37"/>
        <v>40.890328912852731</v>
      </c>
      <c r="BG48" s="22">
        <f t="shared" si="7"/>
        <v>350.25322285655193</v>
      </c>
      <c r="BH48" s="60">
        <f t="shared" si="8"/>
        <v>643.58655618988519</v>
      </c>
      <c r="BI48" s="60">
        <f ca="1">AVERAGE(OFFSET($BH$3,0,0,'Données projet'!$E$11+1,1))-AVERAGE(OFFSET($H$3,0,0,'Données projet'!$E$11+1,1))</f>
        <v>475.47920969424894</v>
      </c>
      <c r="BJ48" s="60">
        <f t="shared" si="38"/>
        <v>271.73544012419364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94</v>
      </c>
      <c r="BW48" s="13">
        <f>VLOOKUP(A48,'Données projet'!$A$113:$I$133,9,0)</f>
        <v>3.8</v>
      </c>
      <c r="BX48" s="13">
        <f t="array" ref="BX48">INDEX(BW:BW,MIN(IF(ISNUMBER(BW48:BW244),ROW(BW48:BW244),"")))</f>
        <v>3.8</v>
      </c>
      <c r="BY48" s="13">
        <f>IF('Données projet'!$A$114&gt;35,BY47+BX48-CG47,IF(A48&lt;'Données projet'!$A$114,$BV$205^A48,IF(A48='Données projet'!$A$114,'Données projet'!$B$114,BY47+BX48-CG47)))</f>
        <v>93.999999999999986</v>
      </c>
      <c r="BZ48" s="14">
        <f>BY48*VLOOKUP('Données projet'!$B$12,Paramètres!$A$1:$I$89,3,0)*VLOOKUP('Données projet'!$B$12,Paramètres!$A$1:$I$89,5,0)</f>
        <v>90.916799999999995</v>
      </c>
      <c r="CA48" s="14">
        <f t="shared" si="39"/>
        <v>24.786204483471451</v>
      </c>
      <c r="CB48" s="22">
        <f t="shared" si="10"/>
        <v>201.51606614204607</v>
      </c>
      <c r="CC48" s="60">
        <f t="shared" si="11"/>
        <v>494.84939947537941</v>
      </c>
      <c r="CD48" s="60">
        <f ca="1">AVERAGE(OFFSET($CC$3,0,0,'Données projet'!$E$12+1,1))-AVERAGE(OFFSET($H$3,0,0,'Données projet'!$E$12+1,1))</f>
        <v>255.59755832175625</v>
      </c>
      <c r="CE48" s="60">
        <f t="shared" si="40"/>
        <v>154.0840647586964</v>
      </c>
      <c r="CF48" s="16">
        <f>IF(ISNA(VLOOKUP(A48,'Données projet'!$A$113:$I$133,3,0)),0,VLOOKUP(A48,'Données projet'!$A$113:$I$133,3,0))</f>
        <v>2</v>
      </c>
      <c r="CG48" s="16">
        <f>IF(ISNA(VLOOKUP(A48,'Données projet'!$A$113:$I$133,4,0)),0,VLOOKUP(A48,'Données projet'!$A$113:$I$133,4,0))</f>
        <v>18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94</v>
      </c>
      <c r="CR48" s="13">
        <f>VLOOKUP(A48,'Données projet'!$A$139:$I$159,9,0)</f>
        <v>3.8</v>
      </c>
      <c r="CS48" s="13">
        <f t="array" ref="CS48">INDEX(CR:CR,MIN(IF(ISNUMBER(CR48:CR244),ROW(CR48:CR244),"")))</f>
        <v>3.8</v>
      </c>
      <c r="CT48" s="13">
        <f>IF('Données projet'!$A$140&gt;35,CT47+CS48-DB47,IF(A48&lt;'Données projet'!$A$140,$CQ$205^A48,IF(A48='Données projet'!$A$140,'Données projet'!$B$140,CT47+CS48-DB47)))</f>
        <v>93.999999999999986</v>
      </c>
      <c r="CU48" s="18">
        <f>CT48*VLOOKUP('Données projet'!$B$13,Paramètres!$A$1:$I$89,3,0)*VLOOKUP('Données projet'!$B$13,Paramètres!$A$1:$I$89,5,0)</f>
        <v>101.18159999999997</v>
      </c>
      <c r="CV48" s="14">
        <f t="shared" si="41"/>
        <v>27.243304715412336</v>
      </c>
      <c r="CW48" s="22">
        <f t="shared" si="13"/>
        <v>223.6733757126764</v>
      </c>
      <c r="CX48" s="60">
        <f t="shared" si="14"/>
        <v>517.00670904600975</v>
      </c>
      <c r="CY48" s="60">
        <f ca="1">AVERAGE(OFFSET($CX$3,0,0,'Données projet'!$E$13+1,1))-AVERAGE(OFFSET($H$3,0,0,'Données projet'!$E$13+1,1))</f>
        <v>280.20599015000306</v>
      </c>
      <c r="CZ48" s="60">
        <f t="shared" si="42"/>
        <v>166.97658184507787</v>
      </c>
      <c r="DA48" s="16">
        <f>IF(ISNA(VLOOKUP(A48,'Données projet'!$A$139:$I$159,3,0)),0,VLOOKUP(A48,'Données projet'!$A$139:$I$159,3,0))</f>
        <v>2</v>
      </c>
      <c r="DB48" s="16">
        <f>IF(ISNA(VLOOKUP(A48,'Données projet'!$A$139:$I$159,4,0)),0,VLOOKUP(A48,'Données projet'!$A$139:$I$159,4,0))</f>
        <v>18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190.38461538461539</v>
      </c>
      <c r="DM48" s="13">
        <f>VLOOKUP(A48,'Données projet'!$A$165:$I$185,9,0)</f>
        <v>6.2820512820512819</v>
      </c>
      <c r="DN48" s="13">
        <f t="array" ref="DN48">INDEX(DM:DM,MIN(IF(ISNUMBER(DM48:DM244),ROW(DM48:DM244),"")))</f>
        <v>6.2820512820512819</v>
      </c>
      <c r="DO48" s="13">
        <f>IF('Données projet'!$A$166&gt;35,DO47+DN48-DW47,IF(A48&lt;'Données projet'!$A$166,$DL$205^A48,IF(A48='Données projet'!$A$166,'Données projet'!$B$166,DO47+DN48-DW47)))</f>
        <v>190.38461538461539</v>
      </c>
      <c r="DP48" s="18">
        <f>DO48*VLOOKUP('Données projet'!$B$14,Paramètres!$A$1:$I$89,3,0)*VLOOKUP('Données projet'!$B$14,Paramètres!$A$1:$I$89,5,0)</f>
        <v>127.71000000000001</v>
      </c>
      <c r="DQ48" s="14">
        <f t="shared" si="43"/>
        <v>33.466661484162984</v>
      </c>
      <c r="DR48" s="22">
        <f t="shared" si="16"/>
        <v>280.71601875158382</v>
      </c>
      <c r="DS48" s="60">
        <f t="shared" si="17"/>
        <v>574.04935208491713</v>
      </c>
      <c r="DT48" s="60">
        <f ca="1">AVERAGE(OFFSET($DS$3,0,0,'Données projet'!$E$14+1,1))-AVERAGE(OFFSET($H$3,0,0,'Données projet'!$E$14+1,1))</f>
        <v>291.18686311753402</v>
      </c>
      <c r="DU48" s="60">
        <f t="shared" si="44"/>
        <v>215.44422413249839</v>
      </c>
      <c r="DV48" s="16">
        <f>IF(ISNA(VLOOKUP(A48,'Données projet'!$A$165:$I$185,3,0)),0,VLOOKUP(A48,'Données projet'!$A$165:$I$185,3,0))</f>
        <v>3</v>
      </c>
      <c r="DW48" s="16">
        <f>IF(ISNA(VLOOKUP(A48,'Données projet'!$A$165:$I$185,4,0)),0,VLOOKUP(A48,'Données projet'!$A$165:$I$185,4,0))</f>
        <v>31.410256410256409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137</v>
      </c>
      <c r="EH48" s="13">
        <f>VLOOKUP(A48,'Données projet'!$A$191:$I$211,9,0)</f>
        <v>4.8</v>
      </c>
      <c r="EI48" s="13">
        <f t="array" ref="EI48">INDEX(EH:EH,MIN(IF(ISNUMBER(EH48:EH244),ROW(EH48:EH244),"")))</f>
        <v>4.8</v>
      </c>
      <c r="EJ48" s="13">
        <f>IF('Données projet'!$A$192&gt;35,EJ47+EI48-ER47,IF(A48&lt;'Données projet'!$A$192,$EG$205^A48,IF(A48='Données projet'!$A$192,'Données projet'!$B$192,EJ47+EI48-ER47)))</f>
        <v>136.99999999999997</v>
      </c>
      <c r="EK48" s="18">
        <f>EJ48*VLOOKUP('Données projet'!$B$15,Paramètres!$A$1:$I$89,3,0)*VLOOKUP('Données projet'!$B$15,Paramètres!$A$1:$I$89,5,0)</f>
        <v>111.13439999999997</v>
      </c>
      <c r="EL48" s="14">
        <f t="shared" si="45"/>
        <v>29.598098255109335</v>
      </c>
      <c r="EM48" s="22">
        <f t="shared" si="19"/>
        <v>245.10910112764864</v>
      </c>
      <c r="EN48" s="60">
        <f t="shared" si="20"/>
        <v>538.44243446098199</v>
      </c>
      <c r="EO48" s="60">
        <f ca="1">AVERAGE(OFFSET($EN$3,0,0,'Données projet'!$E$15+1,1))-AVERAGE(OFFSET($H$3,0,0,'Données projet'!$E$15+1,1))</f>
        <v>236.22643401787644</v>
      </c>
      <c r="EP48" s="60">
        <f t="shared" si="46"/>
        <v>188.80444043778022</v>
      </c>
      <c r="EQ48" s="16">
        <f>IF(ISNA(VLOOKUP(A48,'Données projet'!$A$191:$I$211,3,0)),0,VLOOKUP(A48,'Données projet'!$A$191:$I$211,3,0))</f>
        <v>3</v>
      </c>
      <c r="ER48" s="16">
        <f>IF(ISNA(VLOOKUP(A48,'Données projet'!$A$191:$I$211,4,0)),0,VLOOKUP(A48,'Données projet'!$A$191:$I$211,4,0))</f>
        <v>21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8">
        <f t="shared" si="1"/>
        <v>256.66666666666669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0" t="e">
        <f t="shared" si="0"/>
        <v>#NUM!</v>
      </c>
      <c r="S49" s="60">
        <f ca="1">AVERAGE(OFFSET($R$3,0,0,'Données projet'!$E$9+1,1))-AVERAGE(OFFSET($H$3,0,0,'Données projet'!$E$9+1,1))</f>
        <v>144.55635559713392</v>
      </c>
      <c r="T49" s="60">
        <f t="shared" si="34"/>
        <v>349.14692715126904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44.391909341410638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8.6033821050975686E-4</v>
      </c>
      <c r="AC49" s="24">
        <f t="shared" si="3"/>
        <v>44.392769679621146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150.37776000000002</v>
      </c>
      <c r="AK49" s="14">
        <f t="shared" si="35"/>
        <v>38.664420365454049</v>
      </c>
      <c r="AL49" s="22">
        <f t="shared" si="4"/>
        <v>329.24846413649914</v>
      </c>
      <c r="AM49" s="60">
        <f t="shared" si="5"/>
        <v>622.58179746983251</v>
      </c>
      <c r="AN49" s="60">
        <f ca="1">AVERAGE(OFFSET($AM$3,0,0,'Données projet'!$E$10+1,1))-AVERAGE(OFFSET($H$3,0,0,'Données projet'!$E$10+1,1))</f>
        <v>428.8489304403459</v>
      </c>
      <c r="AO49" s="60">
        <f t="shared" si="36"/>
        <v>247.01165577562966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166.20000000000005</v>
      </c>
      <c r="BE49" s="14">
        <f>BD49*VLOOKUP('Données projet'!$B$11,Paramètres!$A$1:$I$89,3,0)*VLOOKUP('Données projet'!$B$11,Paramètres!$A$1:$I$89,5,0)</f>
        <v>168.52680000000007</v>
      </c>
      <c r="BF49" s="14">
        <f t="shared" si="37"/>
        <v>42.759908842532369</v>
      </c>
      <c r="BG49" s="22">
        <f t="shared" si="7"/>
        <v>367.991017900744</v>
      </c>
      <c r="BH49" s="60">
        <f t="shared" si="8"/>
        <v>661.32435123407731</v>
      </c>
      <c r="BI49" s="60">
        <f ca="1">AVERAGE(OFFSET($BH$3,0,0,'Données projet'!$E$11+1,1))-AVERAGE(OFFSET($H$3,0,0,'Données projet'!$E$11+1,1))</f>
        <v>475.47920969424894</v>
      </c>
      <c r="BJ49" s="60">
        <f t="shared" si="38"/>
        <v>271.73544012419364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3.8</v>
      </c>
      <c r="BY49" s="13">
        <f>IF('Données projet'!$A$114&gt;35,BY48+BX49-CG48,IF(A49&lt;'Données projet'!$A$114,$BV$205^A49,IF(A49='Données projet'!$A$114,'Données projet'!$B$114,BY48+BX49-CG48)))</f>
        <v>79.799999999999983</v>
      </c>
      <c r="BZ49" s="14">
        <f>BY49*VLOOKUP('Données projet'!$B$12,Paramètres!$A$1:$I$89,3,0)*VLOOKUP('Données projet'!$B$12,Paramètres!$A$1:$I$89,5,0)</f>
        <v>77.182559999999995</v>
      </c>
      <c r="CA49" s="14">
        <f t="shared" si="39"/>
        <v>21.446874557671695</v>
      </c>
      <c r="CB49" s="22">
        <f t="shared" si="10"/>
        <v>171.77959852127819</v>
      </c>
      <c r="CC49" s="60">
        <f t="shared" si="11"/>
        <v>465.11293185461147</v>
      </c>
      <c r="CD49" s="60">
        <f ca="1">AVERAGE(OFFSET($CC$3,0,0,'Données projet'!$E$12+1,1))-AVERAGE(OFFSET($H$3,0,0,'Données projet'!$E$12+1,1))</f>
        <v>255.59755832175625</v>
      </c>
      <c r="CE49" s="60">
        <f t="shared" si="40"/>
        <v>154.0840647586964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3.8</v>
      </c>
      <c r="CT49" s="13">
        <f>IF('Données projet'!$A$140&gt;35,CT48+CS49-DB48,IF(A49&lt;'Données projet'!$A$140,$CQ$205^A49,IF(A49='Données projet'!$A$140,'Données projet'!$B$140,CT48+CS49-DB48)))</f>
        <v>79.799999999999983</v>
      </c>
      <c r="CU49" s="18">
        <f>CT49*VLOOKUP('Données projet'!$B$13,Paramètres!$A$1:$I$89,3,0)*VLOOKUP('Données projet'!$B$13,Paramètres!$A$1:$I$89,5,0)</f>
        <v>85.896719999999974</v>
      </c>
      <c r="CV49" s="14">
        <f t="shared" si="41"/>
        <v>23.572941115591171</v>
      </c>
      <c r="CW49" s="22">
        <f t="shared" si="13"/>
        <v>190.65965977632126</v>
      </c>
      <c r="CX49" s="60">
        <f t="shared" si="14"/>
        <v>483.99299310965455</v>
      </c>
      <c r="CY49" s="60">
        <f ca="1">AVERAGE(OFFSET($CX$3,0,0,'Données projet'!$E$13+1,1))-AVERAGE(OFFSET($H$3,0,0,'Données projet'!$E$13+1,1))</f>
        <v>280.20599015000306</v>
      </c>
      <c r="CZ49" s="60">
        <f t="shared" si="42"/>
        <v>166.97658184507787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5.8974358974358951</v>
      </c>
      <c r="DO49" s="13">
        <f>IF('Données projet'!$A$166&gt;35,DO48+DN49-DW48,IF(A49&lt;'Données projet'!$A$166,$DL$205^A49,IF(A49='Données projet'!$A$166,'Données projet'!$B$166,DO48+DN49-DW48)))</f>
        <v>164.87179487179486</v>
      </c>
      <c r="DP49" s="18">
        <f>DO49*VLOOKUP('Données projet'!$B$14,Paramètres!$A$1:$I$89,3,0)*VLOOKUP('Données projet'!$B$14,Paramètres!$A$1:$I$89,5,0)</f>
        <v>110.59599999999999</v>
      </c>
      <c r="DQ49" s="14">
        <f t="shared" si="43"/>
        <v>29.471362629717831</v>
      </c>
      <c r="DR49" s="22">
        <f t="shared" si="16"/>
        <v>243.95065658009185</v>
      </c>
      <c r="DS49" s="60">
        <f t="shared" si="17"/>
        <v>537.2839899134251</v>
      </c>
      <c r="DT49" s="60">
        <f ca="1">AVERAGE(OFFSET($DS$3,0,0,'Données projet'!$E$14+1,1))-AVERAGE(OFFSET($H$3,0,0,'Données projet'!$E$14+1,1))</f>
        <v>291.18686311753402</v>
      </c>
      <c r="DU49" s="60">
        <f t="shared" si="44"/>
        <v>215.44422413249839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4.5999999999999996</v>
      </c>
      <c r="EJ49" s="13">
        <f>IF('Données projet'!$A$192&gt;35,EJ48+EI49-ER48,IF(A49&lt;'Données projet'!$A$192,$EG$205^A49,IF(A49='Données projet'!$A$192,'Données projet'!$B$192,EJ48+EI49-ER48)))</f>
        <v>120.59999999999997</v>
      </c>
      <c r="EK49" s="18">
        <f>EJ49*VLOOKUP('Données projet'!$B$15,Paramètres!$A$1:$I$89,3,0)*VLOOKUP('Données projet'!$B$15,Paramètres!$A$1:$I$89,5,0)</f>
        <v>97.830719999999971</v>
      </c>
      <c r="EL49" s="14">
        <f t="shared" si="45"/>
        <v>26.444538701397263</v>
      </c>
      <c r="EM49" s="22">
        <f t="shared" si="19"/>
        <v>216.44607557160018</v>
      </c>
      <c r="EN49" s="60">
        <f t="shared" si="20"/>
        <v>509.77940890493346</v>
      </c>
      <c r="EO49" s="60">
        <f ca="1">AVERAGE(OFFSET($EN$3,0,0,'Données projet'!$E$15+1,1))-AVERAGE(OFFSET($H$3,0,0,'Données projet'!$E$15+1,1))</f>
        <v>236.22643401787644</v>
      </c>
      <c r="EP49" s="60">
        <f t="shared" si="46"/>
        <v>188.80444043778022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8">
        <f t="shared" si="1"/>
        <v>256.66666666666669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0" t="e">
        <f t="shared" si="0"/>
        <v>#NUM!</v>
      </c>
      <c r="S50" s="60">
        <f ca="1">AVERAGE(OFFSET($R$3,0,0,'Données projet'!$E$9+1,1))-AVERAGE(OFFSET($H$3,0,0,'Données projet'!$E$9+1,1))</f>
        <v>144.55635559713392</v>
      </c>
      <c r="T50" s="60">
        <f t="shared" si="34"/>
        <v>349.14692715126904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43.521411075616705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6.083509827653485E-4</v>
      </c>
      <c r="AC50" s="24">
        <f t="shared" si="3"/>
        <v>43.522019426599471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157.79712000000004</v>
      </c>
      <c r="AK50" s="14">
        <f t="shared" si="35"/>
        <v>40.345249481546155</v>
      </c>
      <c r="AL50" s="22">
        <f t="shared" si="4"/>
        <v>345.09796018035962</v>
      </c>
      <c r="AM50" s="60">
        <f t="shared" si="5"/>
        <v>638.43129351369294</v>
      </c>
      <c r="AN50" s="60">
        <f ca="1">AVERAGE(OFFSET($AM$3,0,0,'Données projet'!$E$10+1,1))-AVERAGE(OFFSET($H$3,0,0,'Données projet'!$E$10+1,1))</f>
        <v>428.8489304403459</v>
      </c>
      <c r="AO50" s="60">
        <f t="shared" si="36"/>
        <v>247.01165577562966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174.40000000000003</v>
      </c>
      <c r="BE50" s="14">
        <f>BD50*VLOOKUP('Données projet'!$B$11,Paramètres!$A$1:$I$89,3,0)*VLOOKUP('Données projet'!$B$11,Paramètres!$A$1:$I$89,5,0)</f>
        <v>176.84160000000006</v>
      </c>
      <c r="BF50" s="14">
        <f t="shared" si="37"/>
        <v>44.618778032982952</v>
      </c>
      <c r="BG50" s="22">
        <f t="shared" si="7"/>
        <v>385.71015840744536</v>
      </c>
      <c r="BH50" s="60">
        <f t="shared" si="8"/>
        <v>679.04349174077868</v>
      </c>
      <c r="BI50" s="60">
        <f ca="1">AVERAGE(OFFSET($BH$3,0,0,'Données projet'!$E$11+1,1))-AVERAGE(OFFSET($H$3,0,0,'Données projet'!$E$11+1,1))</f>
        <v>475.47920969424894</v>
      </c>
      <c r="BJ50" s="60">
        <f t="shared" si="38"/>
        <v>271.73544012419364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3.8</v>
      </c>
      <c r="BY50" s="13">
        <f>IF('Données projet'!$A$114&gt;35,BY49+BX50-CG49,IF(A50&lt;'Données projet'!$A$114,$BV$205^A50,IF(A50='Données projet'!$A$114,'Données projet'!$B$114,BY49+BX50-CG49)))</f>
        <v>83.59999999999998</v>
      </c>
      <c r="BZ50" s="14">
        <f>BY50*VLOOKUP('Données projet'!$B$12,Paramètres!$A$1:$I$89,3,0)*VLOOKUP('Données projet'!$B$12,Paramètres!$A$1:$I$89,5,0)</f>
        <v>80.857919999999979</v>
      </c>
      <c r="CA50" s="14">
        <f t="shared" si="39"/>
        <v>22.346819625648891</v>
      </c>
      <c r="CB50" s="22">
        <f t="shared" si="10"/>
        <v>179.7482548480051</v>
      </c>
      <c r="CC50" s="60">
        <f t="shared" si="11"/>
        <v>473.08158818133842</v>
      </c>
      <c r="CD50" s="60">
        <f ca="1">AVERAGE(OFFSET($CC$3,0,0,'Données projet'!$E$12+1,1))-AVERAGE(OFFSET($H$3,0,0,'Données projet'!$E$12+1,1))</f>
        <v>255.59755832175625</v>
      </c>
      <c r="CE50" s="60">
        <f t="shared" si="40"/>
        <v>154.0840647586964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3.8</v>
      </c>
      <c r="CT50" s="13">
        <f>IF('Données projet'!$A$140&gt;35,CT49+CS50-DB49,IF(A50&lt;'Données projet'!$A$140,$CQ$205^A50,IF(A50='Données projet'!$A$140,'Données projet'!$B$140,CT49+CS50-DB49)))</f>
        <v>83.59999999999998</v>
      </c>
      <c r="CU50" s="18">
        <f>CT50*VLOOKUP('Données projet'!$B$13,Paramètres!$A$1:$I$89,3,0)*VLOOKUP('Données projet'!$B$13,Paramètres!$A$1:$I$89,5,0)</f>
        <v>89.987039999999979</v>
      </c>
      <c r="CV50" s="14">
        <f t="shared" si="41"/>
        <v>24.56209932778879</v>
      </c>
      <c r="CW50" s="22">
        <f t="shared" si="13"/>
        <v>199.50641766256544</v>
      </c>
      <c r="CX50" s="60">
        <f t="shared" si="14"/>
        <v>492.83975099589873</v>
      </c>
      <c r="CY50" s="60">
        <f ca="1">AVERAGE(OFFSET($CX$3,0,0,'Données projet'!$E$13+1,1))-AVERAGE(OFFSET($H$3,0,0,'Données projet'!$E$13+1,1))</f>
        <v>280.20599015000306</v>
      </c>
      <c r="CZ50" s="60">
        <f t="shared" si="42"/>
        <v>166.97658184507787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5.8974358974358951</v>
      </c>
      <c r="DO50" s="13">
        <f>IF('Données projet'!$A$166&gt;35,DO49+DN50-DW49,IF(A50&lt;'Données projet'!$A$166,$DL$205^A50,IF(A50='Données projet'!$A$166,'Données projet'!$B$166,DO49+DN50-DW49)))</f>
        <v>170.76923076923075</v>
      </c>
      <c r="DP50" s="18">
        <f>DO50*VLOOKUP('Données projet'!$B$14,Paramètres!$A$1:$I$89,3,0)*VLOOKUP('Données projet'!$B$14,Paramètres!$A$1:$I$89,5,0)</f>
        <v>114.55199999999998</v>
      </c>
      <c r="DQ50" s="14">
        <f t="shared" si="43"/>
        <v>30.400927204443946</v>
      </c>
      <c r="DR50" s="22">
        <f t="shared" si="16"/>
        <v>252.45968154773985</v>
      </c>
      <c r="DS50" s="60">
        <f t="shared" si="17"/>
        <v>545.79301488107319</v>
      </c>
      <c r="DT50" s="60">
        <f ca="1">AVERAGE(OFFSET($DS$3,0,0,'Données projet'!$E$14+1,1))-AVERAGE(OFFSET($H$3,0,0,'Données projet'!$E$14+1,1))</f>
        <v>291.18686311753402</v>
      </c>
      <c r="DU50" s="60">
        <f t="shared" si="44"/>
        <v>215.44422413249839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4.5999999999999996</v>
      </c>
      <c r="EJ50" s="13">
        <f>IF('Données projet'!$A$192&gt;35,EJ49+EI50-ER49,IF(A50&lt;'Données projet'!$A$192,$EG$205^A50,IF(A50='Données projet'!$A$192,'Données projet'!$B$192,EJ49+EI50-ER49)))</f>
        <v>125.19999999999996</v>
      </c>
      <c r="EK50" s="18">
        <f>EJ50*VLOOKUP('Données projet'!$B$15,Paramètres!$A$1:$I$89,3,0)*VLOOKUP('Données projet'!$B$15,Paramètres!$A$1:$I$89,5,0)</f>
        <v>101.56223999999997</v>
      </c>
      <c r="EL50" s="14">
        <f t="shared" si="45"/>
        <v>27.333843239980062</v>
      </c>
      <c r="EM50" s="22">
        <f t="shared" si="19"/>
        <v>224.49401164296523</v>
      </c>
      <c r="EN50" s="60">
        <f t="shared" si="20"/>
        <v>517.82734497629849</v>
      </c>
      <c r="EO50" s="60">
        <f ca="1">AVERAGE(OFFSET($EN$3,0,0,'Données projet'!$E$15+1,1))-AVERAGE(OFFSET($H$3,0,0,'Données projet'!$E$15+1,1))</f>
        <v>236.22643401787644</v>
      </c>
      <c r="EP50" s="60">
        <f t="shared" si="46"/>
        <v>188.80444043778022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8">
        <f t="shared" si="1"/>
        <v>256.66666666666669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0" t="e">
        <f t="shared" si="0"/>
        <v>#NUM!</v>
      </c>
      <c r="S51" s="60">
        <f ca="1">AVERAGE(OFFSET($R$3,0,0,'Données projet'!$E$9+1,1))-AVERAGE(OFFSET($H$3,0,0,'Données projet'!$E$9+1,1))</f>
        <v>144.55635559713392</v>
      </c>
      <c r="T51" s="60">
        <f t="shared" si="34"/>
        <v>349.14692715126904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42.667982749863469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4.3016910525487843E-4</v>
      </c>
      <c r="AC51" s="24">
        <f t="shared" si="3"/>
        <v>42.668412918968727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165.21648000000002</v>
      </c>
      <c r="AK51" s="14">
        <f t="shared" si="35"/>
        <v>42.016901084500397</v>
      </c>
      <c r="AL51" s="22">
        <f t="shared" si="4"/>
        <v>360.93147205550491</v>
      </c>
      <c r="AM51" s="60">
        <f t="shared" si="5"/>
        <v>654.26480538883823</v>
      </c>
      <c r="AN51" s="60">
        <f ca="1">AVERAGE(OFFSET($AM$3,0,0,'Données projet'!$E$10+1,1))-AVERAGE(OFFSET($H$3,0,0,'Données projet'!$E$10+1,1))</f>
        <v>428.8489304403459</v>
      </c>
      <c r="AO51" s="60">
        <f t="shared" si="36"/>
        <v>247.01165577562966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182.60000000000002</v>
      </c>
      <c r="BE51" s="14">
        <f>BD51*VLOOKUP('Données projet'!$B$11,Paramètres!$A$1:$I$89,3,0)*VLOOKUP('Données projet'!$B$11,Paramètres!$A$1:$I$89,5,0)</f>
        <v>185.15640000000002</v>
      </c>
      <c r="BF51" s="14">
        <f t="shared" si="37"/>
        <v>46.467497591770453</v>
      </c>
      <c r="BG51" s="22">
        <f t="shared" si="7"/>
        <v>403.4116216390002</v>
      </c>
      <c r="BH51" s="60">
        <f t="shared" si="8"/>
        <v>696.74495497233352</v>
      </c>
      <c r="BI51" s="60">
        <f ca="1">AVERAGE(OFFSET($BH$3,0,0,'Données projet'!$E$11+1,1))-AVERAGE(OFFSET($H$3,0,0,'Données projet'!$E$11+1,1))</f>
        <v>475.47920969424894</v>
      </c>
      <c r="BJ51" s="60">
        <f t="shared" si="38"/>
        <v>271.73544012419364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3.8</v>
      </c>
      <c r="BY51" s="13">
        <f>IF('Données projet'!$A$114&gt;35,BY50+BX51-CG50,IF(A51&lt;'Données projet'!$A$114,$BV$205^A51,IF(A51='Données projet'!$A$114,'Données projet'!$B$114,BY50+BX51-CG50)))</f>
        <v>87.399999999999977</v>
      </c>
      <c r="BZ51" s="14">
        <f>BY51*VLOOKUP('Données projet'!$B$12,Paramètres!$A$1:$I$89,3,0)*VLOOKUP('Données projet'!$B$12,Paramètres!$A$1:$I$89,5,0)</f>
        <v>84.533279999999991</v>
      </c>
      <c r="CA51" s="14">
        <f t="shared" si="39"/>
        <v>23.242014012893971</v>
      </c>
      <c r="CB51" s="22">
        <f t="shared" si="10"/>
        <v>187.70863707245698</v>
      </c>
      <c r="CC51" s="60">
        <f t="shared" si="11"/>
        <v>481.04197040579027</v>
      </c>
      <c r="CD51" s="60">
        <f ca="1">AVERAGE(OFFSET($CC$3,0,0,'Données projet'!$E$12+1,1))-AVERAGE(OFFSET($H$3,0,0,'Données projet'!$E$12+1,1))</f>
        <v>255.59755832175625</v>
      </c>
      <c r="CE51" s="60">
        <f t="shared" si="40"/>
        <v>154.0840647586964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3.8</v>
      </c>
      <c r="CT51" s="13">
        <f>IF('Données projet'!$A$140&gt;35,CT50+CS51-DB50,IF(A51&lt;'Données projet'!$A$140,$CQ$205^A51,IF(A51='Données projet'!$A$140,'Données projet'!$B$140,CT50+CS51-DB50)))</f>
        <v>87.399999999999977</v>
      </c>
      <c r="CU51" s="18">
        <f>CT51*VLOOKUP('Données projet'!$B$13,Paramètres!$A$1:$I$89,3,0)*VLOOKUP('Données projet'!$B$13,Paramètres!$A$1:$I$89,5,0)</f>
        <v>94.07735999999997</v>
      </c>
      <c r="CV51" s="14">
        <f t="shared" si="41"/>
        <v>25.546035915881891</v>
      </c>
      <c r="CW51" s="22">
        <f t="shared" si="13"/>
        <v>208.34408122016089</v>
      </c>
      <c r="CX51" s="60">
        <f t="shared" si="14"/>
        <v>501.6774145534942</v>
      </c>
      <c r="CY51" s="60">
        <f ca="1">AVERAGE(OFFSET($CX$3,0,0,'Données projet'!$E$13+1,1))-AVERAGE(OFFSET($H$3,0,0,'Données projet'!$E$13+1,1))</f>
        <v>280.20599015000306</v>
      </c>
      <c r="CZ51" s="60">
        <f t="shared" si="42"/>
        <v>166.97658184507787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5.8974358974358951</v>
      </c>
      <c r="DO51" s="13">
        <f>IF('Données projet'!$A$166&gt;35,DO50+DN51-DW50,IF(A51&lt;'Données projet'!$A$166,$DL$205^A51,IF(A51='Données projet'!$A$166,'Données projet'!$B$166,DO50+DN51-DW50)))</f>
        <v>176.66666666666663</v>
      </c>
      <c r="DP51" s="18">
        <f>DO51*VLOOKUP('Données projet'!$B$14,Paramètres!$A$1:$I$89,3,0)*VLOOKUP('Données projet'!$B$14,Paramètres!$A$1:$I$89,5,0)</f>
        <v>118.50799999999998</v>
      </c>
      <c r="DQ51" s="14">
        <f t="shared" si="43"/>
        <v>31.326761814194999</v>
      </c>
      <c r="DR51" s="22">
        <f t="shared" si="16"/>
        <v>260.96221015972293</v>
      </c>
      <c r="DS51" s="60">
        <f t="shared" si="17"/>
        <v>554.29554349305624</v>
      </c>
      <c r="DT51" s="60">
        <f ca="1">AVERAGE(OFFSET($DS$3,0,0,'Données projet'!$E$14+1,1))-AVERAGE(OFFSET($H$3,0,0,'Données projet'!$E$14+1,1))</f>
        <v>291.18686311753402</v>
      </c>
      <c r="DU51" s="60">
        <f t="shared" si="44"/>
        <v>215.44422413249839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4.5999999999999996</v>
      </c>
      <c r="EJ51" s="13">
        <f>IF('Données projet'!$A$192&gt;35,EJ50+EI51-ER50,IF(A51&lt;'Données projet'!$A$192,$EG$205^A51,IF(A51='Données projet'!$A$192,'Données projet'!$B$192,EJ50+EI51-ER50)))</f>
        <v>129.79999999999995</v>
      </c>
      <c r="EK51" s="18">
        <f>EJ51*VLOOKUP('Données projet'!$B$15,Paramètres!$A$1:$I$89,3,0)*VLOOKUP('Données projet'!$B$15,Paramètres!$A$1:$I$89,5,0)</f>
        <v>105.29375999999998</v>
      </c>
      <c r="EL51" s="14">
        <f t="shared" si="45"/>
        <v>28.219351728981561</v>
      </c>
      <c r="EM51" s="22">
        <f t="shared" si="19"/>
        <v>232.53533626130948</v>
      </c>
      <c r="EN51" s="60">
        <f t="shared" si="20"/>
        <v>525.86866959464282</v>
      </c>
      <c r="EO51" s="60">
        <f ca="1">AVERAGE(OFFSET($EN$3,0,0,'Données projet'!$E$15+1,1))-AVERAGE(OFFSET($H$3,0,0,'Données projet'!$E$15+1,1))</f>
        <v>236.22643401787644</v>
      </c>
      <c r="EP51" s="60">
        <f t="shared" si="46"/>
        <v>188.80444043778022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8">
        <f t="shared" si="1"/>
        <v>256.66666666666669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0" t="e">
        <f t="shared" si="0"/>
        <v>#NUM!</v>
      </c>
      <c r="S52" s="60">
        <f ca="1">AVERAGE(OFFSET($R$3,0,0,'Données projet'!$E$9+1,1))-AVERAGE(OFFSET($H$3,0,0,'Données projet'!$E$9+1,1))</f>
        <v>144.55635559713392</v>
      </c>
      <c r="T52" s="60">
        <f t="shared" si="34"/>
        <v>349.14692715126904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41.831289633038381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3.0417549138267425E-4</v>
      </c>
      <c r="AC52" s="24">
        <f t="shared" si="3"/>
        <v>41.83159380852976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172.63584</v>
      </c>
      <c r="AK52" s="14">
        <f t="shared" si="35"/>
        <v>43.679834395222109</v>
      </c>
      <c r="AL52" s="22">
        <f t="shared" si="4"/>
        <v>376.74979957167847</v>
      </c>
      <c r="AM52" s="60">
        <f t="shared" si="5"/>
        <v>670.08313290501178</v>
      </c>
      <c r="AN52" s="60">
        <f ca="1">AVERAGE(OFFSET($AM$3,0,0,'Données projet'!$E$10+1,1))-AVERAGE(OFFSET($H$3,0,0,'Données projet'!$E$10+1,1))</f>
        <v>428.8489304403459</v>
      </c>
      <c r="AO52" s="60">
        <f t="shared" si="36"/>
        <v>247.01165577562966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190.8</v>
      </c>
      <c r="BE52" s="14">
        <f>BD52*VLOOKUP('Données projet'!$B$11,Paramètres!$A$1:$I$89,3,0)*VLOOKUP('Données projet'!$B$11,Paramètres!$A$1:$I$89,5,0)</f>
        <v>193.47120000000001</v>
      </c>
      <c r="BF52" s="14">
        <f t="shared" si="37"/>
        <v>48.306575382296536</v>
      </c>
      <c r="BG52" s="22">
        <f t="shared" si="7"/>
        <v>421.09629212416644</v>
      </c>
      <c r="BH52" s="60">
        <f t="shared" si="8"/>
        <v>714.4296254574997</v>
      </c>
      <c r="BI52" s="60">
        <f ca="1">AVERAGE(OFFSET($BH$3,0,0,'Données projet'!$E$11+1,1))-AVERAGE(OFFSET($H$3,0,0,'Données projet'!$E$11+1,1))</f>
        <v>475.47920969424894</v>
      </c>
      <c r="BJ52" s="60">
        <f t="shared" si="38"/>
        <v>271.73544012419364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3.8</v>
      </c>
      <c r="BY52" s="13">
        <f>IF('Données projet'!$A$114&gt;35,BY51+BX52-CG51,IF(A52&lt;'Données projet'!$A$114,$BV$205^A52,IF(A52='Données projet'!$A$114,'Données projet'!$B$114,BY51+BX52-CG51)))</f>
        <v>91.199999999999974</v>
      </c>
      <c r="BZ52" s="14">
        <f>BY52*VLOOKUP('Données projet'!$B$12,Paramètres!$A$1:$I$89,3,0)*VLOOKUP('Données projet'!$B$12,Paramètres!$A$1:$I$89,5,0)</f>
        <v>88.208639999999974</v>
      </c>
      <c r="CA52" s="14">
        <f t="shared" si="39"/>
        <v>24.132687878829255</v>
      </c>
      <c r="CB52" s="22">
        <f t="shared" si="10"/>
        <v>195.66114605562757</v>
      </c>
      <c r="CC52" s="60">
        <f t="shared" si="11"/>
        <v>488.99447938896088</v>
      </c>
      <c r="CD52" s="60">
        <f ca="1">AVERAGE(OFFSET($CC$3,0,0,'Données projet'!$E$12+1,1))-AVERAGE(OFFSET($H$3,0,0,'Données projet'!$E$12+1,1))</f>
        <v>255.59755832175625</v>
      </c>
      <c r="CE52" s="60">
        <f t="shared" si="40"/>
        <v>154.0840647586964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3.8</v>
      </c>
      <c r="CT52" s="13">
        <f>IF('Données projet'!$A$140&gt;35,CT51+CS52-DB51,IF(A52&lt;'Données projet'!$A$140,$CQ$205^A52,IF(A52='Données projet'!$A$140,'Données projet'!$B$140,CT51+CS52-DB51)))</f>
        <v>91.199999999999974</v>
      </c>
      <c r="CU52" s="18">
        <f>CT52*VLOOKUP('Données projet'!$B$13,Paramètres!$A$1:$I$89,3,0)*VLOOKUP('Données projet'!$B$13,Paramètres!$A$1:$I$89,5,0)</f>
        <v>98.167679999999962</v>
      </c>
      <c r="CV52" s="14">
        <f t="shared" si="41"/>
        <v>26.525003855402876</v>
      </c>
      <c r="CW52" s="22">
        <f t="shared" si="13"/>
        <v>217.17309104815993</v>
      </c>
      <c r="CX52" s="60">
        <f t="shared" si="14"/>
        <v>510.50642438149328</v>
      </c>
      <c r="CY52" s="60">
        <f ca="1">AVERAGE(OFFSET($CX$3,0,0,'Données projet'!$E$13+1,1))-AVERAGE(OFFSET($H$3,0,0,'Données projet'!$E$13+1,1))</f>
        <v>280.20599015000306</v>
      </c>
      <c r="CZ52" s="60">
        <f t="shared" si="42"/>
        <v>166.97658184507787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5.8974358974358951</v>
      </c>
      <c r="DO52" s="13">
        <f>IF('Données projet'!$A$166&gt;35,DO51+DN52-DW51,IF(A52&lt;'Données projet'!$A$166,$DL$205^A52,IF(A52='Données projet'!$A$166,'Données projet'!$B$166,DO51+DN52-DW51)))</f>
        <v>182.56410256410251</v>
      </c>
      <c r="DP52" s="18">
        <f>DO52*VLOOKUP('Données projet'!$B$14,Paramètres!$A$1:$I$89,3,0)*VLOOKUP('Données projet'!$B$14,Paramètres!$A$1:$I$89,5,0)</f>
        <v>122.46399999999997</v>
      </c>
      <c r="DQ52" s="14">
        <f t="shared" si="43"/>
        <v>32.249005247502218</v>
      </c>
      <c r="DR52" s="22">
        <f t="shared" si="16"/>
        <v>269.45848413939967</v>
      </c>
      <c r="DS52" s="60">
        <f t="shared" si="17"/>
        <v>562.79181747273299</v>
      </c>
      <c r="DT52" s="60">
        <f ca="1">AVERAGE(OFFSET($DS$3,0,0,'Données projet'!$E$14+1,1))-AVERAGE(OFFSET($H$3,0,0,'Données projet'!$E$14+1,1))</f>
        <v>291.18686311753402</v>
      </c>
      <c r="DU52" s="60">
        <f t="shared" si="44"/>
        <v>215.44422413249839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4.5999999999999996</v>
      </c>
      <c r="EJ52" s="13">
        <f>IF('Données projet'!$A$192&gt;35,EJ51+EI52-ER51,IF(A52&lt;'Données projet'!$A$192,$EG$205^A52,IF(A52='Données projet'!$A$192,'Données projet'!$B$192,EJ51+EI52-ER51)))</f>
        <v>134.39999999999995</v>
      </c>
      <c r="EK52" s="18">
        <f>EJ52*VLOOKUP('Données projet'!$B$15,Paramètres!$A$1:$I$89,3,0)*VLOOKUP('Données projet'!$B$15,Paramètres!$A$1:$I$89,5,0)</f>
        <v>109.02527999999997</v>
      </c>
      <c r="EL52" s="14">
        <f t="shared" si="45"/>
        <v>29.101214110737224</v>
      </c>
      <c r="EM52" s="22">
        <f t="shared" si="19"/>
        <v>240.57031057620057</v>
      </c>
      <c r="EN52" s="60">
        <f t="shared" si="20"/>
        <v>533.90364390953391</v>
      </c>
      <c r="EO52" s="60">
        <f ca="1">AVERAGE(OFFSET($EN$3,0,0,'Données projet'!$E$15+1,1))-AVERAGE(OFFSET($H$3,0,0,'Données projet'!$E$15+1,1))</f>
        <v>236.22643401787644</v>
      </c>
      <c r="EP52" s="60">
        <f t="shared" si="46"/>
        <v>188.80444043778022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8">
        <f t="shared" si="1"/>
        <v>256.66666666666669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0" t="e">
        <f t="shared" si="0"/>
        <v>#NUM!</v>
      </c>
      <c r="S53" s="60">
        <f ca="1">AVERAGE(OFFSET($R$3,0,0,'Données projet'!$E$9+1,1))-AVERAGE(OFFSET($H$3,0,0,'Données projet'!$E$9+1,1))</f>
        <v>144.55635559713392</v>
      </c>
      <c r="T53" s="60">
        <f t="shared" si="34"/>
        <v>349.14692715126904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41.011003557901823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2.1508455262743921E-4</v>
      </c>
      <c r="AC53" s="24">
        <f t="shared" si="3"/>
        <v>41.011218642454452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180.05519999999999</v>
      </c>
      <c r="AK53" s="14">
        <f t="shared" si="35"/>
        <v>45.334466930398364</v>
      </c>
      <c r="AL53" s="22">
        <f t="shared" si="4"/>
        <v>392.55366990377706</v>
      </c>
      <c r="AM53" s="60">
        <f t="shared" si="5"/>
        <v>685.88700323711032</v>
      </c>
      <c r="AN53" s="60">
        <f ca="1">AVERAGE(OFFSET($AM$3,0,0,'Données projet'!$E$10+1,1))-AVERAGE(OFFSET($H$3,0,0,'Données projet'!$E$10+1,1))</f>
        <v>428.8489304403459</v>
      </c>
      <c r="AO53" s="60">
        <f t="shared" si="36"/>
        <v>247.01165577562966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199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199</v>
      </c>
      <c r="BE53" s="14">
        <f>BD53*VLOOKUP('Données projet'!$B$11,Paramètres!$A$1:$I$89,3,0)*VLOOKUP('Données projet'!$B$11,Paramètres!$A$1:$I$89,5,0)</f>
        <v>201.786</v>
      </c>
      <c r="BF53" s="14">
        <f t="shared" si="37"/>
        <v>50.136473146268756</v>
      </c>
      <c r="BG53" s="22">
        <f t="shared" si="7"/>
        <v>438.76497406308476</v>
      </c>
      <c r="BH53" s="60">
        <f t="shared" si="8"/>
        <v>732.09830739641802</v>
      </c>
      <c r="BI53" s="60">
        <f ca="1">AVERAGE(OFFSET($BH$3,0,0,'Données projet'!$E$11+1,1))-AVERAGE(OFFSET($H$3,0,0,'Données projet'!$E$11+1,1))</f>
        <v>475.47920969424894</v>
      </c>
      <c r="BJ53" s="60">
        <f t="shared" si="38"/>
        <v>271.73544012419364</v>
      </c>
      <c r="BK53" s="16">
        <f>IF(ISNA(VLOOKUP(A53,'Données projet'!$A$87:$I$107,3,0)),0,VLOOKUP(A53,'Données projet'!$A$87:$I$107,3,0))</f>
        <v>3</v>
      </c>
      <c r="BL53" s="16">
        <f>IF(ISNA(VLOOKUP(A53,'Données projet'!$A$87:$I$107,4,0)),0,VLOOKUP(A53,'Données projet'!$A$87:$I$107,4,0))</f>
        <v>42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95</v>
      </c>
      <c r="BW53" s="13">
        <f>VLOOKUP(A53,'Données projet'!$A$113:$I$133,9,0)</f>
        <v>3.8</v>
      </c>
      <c r="BX53" s="13">
        <f t="array" ref="BX53">INDEX(BW:BW,MIN(IF(ISNUMBER(BW53:BW249),ROW(BW53:BW249),"")))</f>
        <v>3.8</v>
      </c>
      <c r="BY53" s="13">
        <f>IF('Données projet'!$A$114&gt;35,BY52+BX53-CG52,IF(A53&lt;'Données projet'!$A$114,$BV$205^A53,IF(A53='Données projet'!$A$114,'Données projet'!$B$114,BY52+BX53-CG52)))</f>
        <v>94.999999999999972</v>
      </c>
      <c r="BZ53" s="14">
        <f>BY53*VLOOKUP('Données projet'!$B$12,Paramètres!$A$1:$I$89,3,0)*VLOOKUP('Données projet'!$B$12,Paramètres!$A$1:$I$89,5,0)</f>
        <v>91.883999999999972</v>
      </c>
      <c r="CA53" s="14">
        <f t="shared" si="39"/>
        <v>25.019051117801563</v>
      </c>
      <c r="CB53" s="22">
        <f t="shared" si="10"/>
        <v>203.60614736350433</v>
      </c>
      <c r="CC53" s="60">
        <f t="shared" si="11"/>
        <v>496.93948069683768</v>
      </c>
      <c r="CD53" s="60">
        <f ca="1">AVERAGE(OFFSET($CC$3,0,0,'Données projet'!$E$12+1,1))-AVERAGE(OFFSET($H$3,0,0,'Données projet'!$E$12+1,1))</f>
        <v>255.59755832175625</v>
      </c>
      <c r="CE53" s="60">
        <f t="shared" si="40"/>
        <v>154.0840647586964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95</v>
      </c>
      <c r="CR53" s="13">
        <f>VLOOKUP(A53,'Données projet'!$A$139:$I$159,9,0)</f>
        <v>3.8</v>
      </c>
      <c r="CS53" s="13">
        <f t="array" ref="CS53">INDEX(CR:CR,MIN(IF(ISNUMBER(CR53:CR249),ROW(CR53:CR249),"")))</f>
        <v>3.8</v>
      </c>
      <c r="CT53" s="13">
        <f>IF('Données projet'!$A$140&gt;35,CT52+CS53-DB52,IF(A53&lt;'Données projet'!$A$140,$CQ$205^A53,IF(A53='Données projet'!$A$140,'Données projet'!$B$140,CT52+CS53-DB52)))</f>
        <v>94.999999999999972</v>
      </c>
      <c r="CU53" s="18">
        <f>CT53*VLOOKUP('Données projet'!$B$13,Paramètres!$A$1:$I$89,3,0)*VLOOKUP('Données projet'!$B$13,Paramètres!$A$1:$I$89,5,0)</f>
        <v>102.25799999999995</v>
      </c>
      <c r="CV53" s="14">
        <f t="shared" si="41"/>
        <v>27.499233847895834</v>
      </c>
      <c r="CW53" s="22">
        <f t="shared" si="13"/>
        <v>225.9938489517518</v>
      </c>
      <c r="CX53" s="60">
        <f t="shared" si="14"/>
        <v>519.32718228508509</v>
      </c>
      <c r="CY53" s="60">
        <f ca="1">AVERAGE(OFFSET($CX$3,0,0,'Données projet'!$E$13+1,1))-AVERAGE(OFFSET($H$3,0,0,'Données projet'!$E$13+1,1))</f>
        <v>280.20599015000306</v>
      </c>
      <c r="CZ53" s="60">
        <f t="shared" si="42"/>
        <v>166.97658184507787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188.46153846153845</v>
      </c>
      <c r="DM53" s="13">
        <f>VLOOKUP(A53,'Données projet'!$A$165:$I$185,9,0)</f>
        <v>5.8974358974358951</v>
      </c>
      <c r="DN53" s="13">
        <f t="array" ref="DN53">INDEX(DM:DM,MIN(IF(ISNUMBER(DM53:DM249),ROW(DM53:DM249),"")))</f>
        <v>5.8974358974358951</v>
      </c>
      <c r="DO53" s="13">
        <f>IF('Données projet'!$A$166&gt;35,DO52+DN53-DW52,IF(A53&lt;'Données projet'!$A$166,$DL$205^A53,IF(A53='Données projet'!$A$166,'Données projet'!$B$166,DO52+DN53-DW52)))</f>
        <v>188.4615384615384</v>
      </c>
      <c r="DP53" s="18">
        <f>DO53*VLOOKUP('Données projet'!$B$14,Paramètres!$A$1:$I$89,3,0)*VLOOKUP('Données projet'!$B$14,Paramètres!$A$1:$I$89,5,0)</f>
        <v>126.41999999999994</v>
      </c>
      <c r="DQ53" s="14">
        <f t="shared" si="43"/>
        <v>33.167786817172448</v>
      </c>
      <c r="DR53" s="22">
        <f t="shared" si="16"/>
        <v>277.94872870657525</v>
      </c>
      <c r="DS53" s="60">
        <f t="shared" si="17"/>
        <v>571.28206203990862</v>
      </c>
      <c r="DT53" s="60">
        <f ca="1">AVERAGE(OFFSET($DS$3,0,0,'Données projet'!$E$14+1,1))-AVERAGE(OFFSET($H$3,0,0,'Données projet'!$E$14+1,1))</f>
        <v>291.18686311753402</v>
      </c>
      <c r="DU53" s="60">
        <f t="shared" si="44"/>
        <v>215.44422413249839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139</v>
      </c>
      <c r="EH53" s="13">
        <f>VLOOKUP(A53,'Données projet'!$A$191:$I$211,9,0)</f>
        <v>4.5999999999999996</v>
      </c>
      <c r="EI53" s="13">
        <f t="array" ref="EI53">INDEX(EH:EH,MIN(IF(ISNUMBER(EH53:EH249),ROW(EH53:EH249),"")))</f>
        <v>4.5999999999999996</v>
      </c>
      <c r="EJ53" s="13">
        <f>IF('Données projet'!$A$192&gt;35,EJ52+EI53-ER52,IF(A53&lt;'Données projet'!$A$192,$EG$205^A53,IF(A53='Données projet'!$A$192,'Données projet'!$B$192,EJ52+EI53-ER52)))</f>
        <v>138.99999999999994</v>
      </c>
      <c r="EK53" s="18">
        <f>EJ53*VLOOKUP('Données projet'!$B$15,Paramètres!$A$1:$I$89,3,0)*VLOOKUP('Données projet'!$B$15,Paramètres!$A$1:$I$89,5,0)</f>
        <v>112.75679999999996</v>
      </c>
      <c r="EL53" s="14">
        <f t="shared" si="45"/>
        <v>29.979569481474449</v>
      </c>
      <c r="EM53" s="22">
        <f t="shared" si="19"/>
        <v>248.59917684690126</v>
      </c>
      <c r="EN53" s="60">
        <f t="shared" si="20"/>
        <v>541.93251018023454</v>
      </c>
      <c r="EO53" s="60">
        <f ca="1">AVERAGE(OFFSET($EN$3,0,0,'Données projet'!$E$15+1,1))-AVERAGE(OFFSET($H$3,0,0,'Données projet'!$E$15+1,1))</f>
        <v>236.22643401787644</v>
      </c>
      <c r="EP53" s="60">
        <f t="shared" si="46"/>
        <v>188.80444043778022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8">
        <f t="shared" si="1"/>
        <v>256.66666666666669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0" t="e">
        <f t="shared" si="0"/>
        <v>#NUM!</v>
      </c>
      <c r="S54" s="60">
        <f ca="1">AVERAGE(OFFSET($R$3,0,0,'Données projet'!$E$9+1,1))-AVERAGE(OFFSET($H$3,0,0,'Données projet'!$E$9+1,1))</f>
        <v>144.55635559713392</v>
      </c>
      <c r="T54" s="60">
        <f t="shared" si="34"/>
        <v>349.14692715126904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40.206802792373587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1.5208774569133712E-4</v>
      </c>
      <c r="AC54" s="24">
        <f t="shared" si="3"/>
        <v>40.206954880119277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149.29199999999997</v>
      </c>
      <c r="AK54" s="14">
        <f t="shared" si="35"/>
        <v>38.417645803815411</v>
      </c>
      <c r="AL54" s="22">
        <f t="shared" si="4"/>
        <v>326.9276331083118</v>
      </c>
      <c r="AM54" s="60">
        <f t="shared" si="5"/>
        <v>620.26096644164511</v>
      </c>
      <c r="AN54" s="60">
        <f ca="1">AVERAGE(OFFSET($AM$3,0,0,'Données projet'!$E$10+1,1))-AVERAGE(OFFSET($H$3,0,0,'Données projet'!$E$10+1,1))</f>
        <v>428.8489304403459</v>
      </c>
      <c r="AO54" s="60">
        <f t="shared" si="36"/>
        <v>247.01165577562966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projet'!$B$11,Paramètres!$A$1:$I$89,3,0)*VLOOKUP('Données projet'!$B$11,Paramètres!$A$1:$I$89,5,0)</f>
        <v>167.31</v>
      </c>
      <c r="BF54" s="14">
        <f t="shared" si="37"/>
        <v>42.486994942347515</v>
      </c>
      <c r="BG54" s="22">
        <f t="shared" si="7"/>
        <v>365.39643285792187</v>
      </c>
      <c r="BH54" s="60">
        <f t="shared" si="8"/>
        <v>658.72976619125518</v>
      </c>
      <c r="BI54" s="60">
        <f ca="1">AVERAGE(OFFSET($BH$3,0,0,'Données projet'!$E$11+1,1))-AVERAGE(OFFSET($H$3,0,0,'Données projet'!$E$11+1,1))</f>
        <v>475.47920969424894</v>
      </c>
      <c r="BJ54" s="60">
        <f t="shared" si="38"/>
        <v>271.73544012419364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4</v>
      </c>
      <c r="BY54" s="13">
        <f>IF('Données projet'!$A$114&gt;35,BY53+BX54-CG53,IF(A54&lt;'Données projet'!$A$114,$BV$205^A54,IF(A54='Données projet'!$A$114,'Données projet'!$B$114,BY53+BX54-CG53)))</f>
        <v>98.999999999999972</v>
      </c>
      <c r="BZ54" s="14">
        <f>BY54*VLOOKUP('Données projet'!$B$12,Paramètres!$A$1:$I$89,3,0)*VLOOKUP('Données projet'!$B$12,Paramètres!$A$1:$I$89,5,0)</f>
        <v>95.752799999999979</v>
      </c>
      <c r="CA54" s="14">
        <f t="shared" si="39"/>
        <v>25.94761914276048</v>
      </c>
      <c r="CB54" s="22">
        <f t="shared" si="10"/>
        <v>211.96156334030783</v>
      </c>
      <c r="CC54" s="60">
        <f t="shared" si="11"/>
        <v>505.29489667364112</v>
      </c>
      <c r="CD54" s="60">
        <f ca="1">AVERAGE(OFFSET($CC$3,0,0,'Données projet'!$E$12+1,1))-AVERAGE(OFFSET($H$3,0,0,'Données projet'!$E$12+1,1))</f>
        <v>255.59755832175625</v>
      </c>
      <c r="CE54" s="60">
        <f t="shared" si="40"/>
        <v>154.0840647586964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4</v>
      </c>
      <c r="CT54" s="13">
        <f>IF('Données projet'!$A$140&gt;35,CT53+CS54-DB53,IF(A54&lt;'Données projet'!$A$140,$CQ$205^A54,IF(A54='Données projet'!$A$140,'Données projet'!$B$140,CT53+CS54-DB53)))</f>
        <v>98.999999999999972</v>
      </c>
      <c r="CU54" s="18">
        <f>CT54*VLOOKUP('Données projet'!$B$13,Paramètres!$A$1:$I$89,3,0)*VLOOKUP('Données projet'!$B$13,Paramètres!$A$1:$I$89,5,0)</f>
        <v>106.56359999999997</v>
      </c>
      <c r="CV54" s="14">
        <f t="shared" si="41"/>
        <v>28.519852461359374</v>
      </c>
      <c r="CW54" s="22">
        <f t="shared" si="13"/>
        <v>235.27034637020085</v>
      </c>
      <c r="CX54" s="60">
        <f t="shared" si="14"/>
        <v>528.60367970353423</v>
      </c>
      <c r="CY54" s="60">
        <f ca="1">AVERAGE(OFFSET($CX$3,0,0,'Données projet'!$E$13+1,1))-AVERAGE(OFFSET($H$3,0,0,'Données projet'!$E$13+1,1))</f>
        <v>280.20599015000306</v>
      </c>
      <c r="CZ54" s="60">
        <f t="shared" si="42"/>
        <v>166.97658184507787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5.6410256410256405</v>
      </c>
      <c r="DO54" s="13">
        <f>IF('Données projet'!$A$166&gt;35,DO53+DN54-DW53,IF(A54&lt;'Données projet'!$A$166,$DL$205^A54,IF(A54='Données projet'!$A$166,'Données projet'!$B$166,DO53+DN54-DW53)))</f>
        <v>194.10256410256403</v>
      </c>
      <c r="DP54" s="18">
        <f>DO54*VLOOKUP('Données projet'!$B$14,Paramètres!$A$1:$I$89,3,0)*VLOOKUP('Données projet'!$B$14,Paramètres!$A$1:$I$89,5,0)</f>
        <v>130.20399999999995</v>
      </c>
      <c r="DQ54" s="14">
        <f t="shared" si="43"/>
        <v>34.043493440159544</v>
      </c>
      <c r="DR54" s="22">
        <f t="shared" si="16"/>
        <v>286.06438440827776</v>
      </c>
      <c r="DS54" s="60">
        <f t="shared" si="17"/>
        <v>579.39771774161113</v>
      </c>
      <c r="DT54" s="60">
        <f ca="1">AVERAGE(OFFSET($DS$3,0,0,'Données projet'!$E$14+1,1))-AVERAGE(OFFSET($H$3,0,0,'Données projet'!$E$14+1,1))</f>
        <v>291.18686311753402</v>
      </c>
      <c r="DU54" s="60">
        <f t="shared" si="44"/>
        <v>215.44422413249839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4.4000000000000004</v>
      </c>
      <c r="EJ54" s="13">
        <f>IF('Données projet'!$A$192&gt;35,EJ53+EI54-ER53,IF(A54&lt;'Données projet'!$A$192,$EG$205^A54,IF(A54='Données projet'!$A$192,'Données projet'!$B$192,EJ53+EI54-ER53)))</f>
        <v>143.39999999999995</v>
      </c>
      <c r="EK54" s="18">
        <f>EJ54*VLOOKUP('Données projet'!$B$15,Paramètres!$A$1:$I$89,3,0)*VLOOKUP('Données projet'!$B$15,Paramètres!$A$1:$I$89,5,0)</f>
        <v>116.32607999999996</v>
      </c>
      <c r="EL54" s="14">
        <f t="shared" si="45"/>
        <v>30.816573268521257</v>
      </c>
      <c r="EM54" s="22">
        <f t="shared" si="19"/>
        <v>256.27345444267445</v>
      </c>
      <c r="EN54" s="60">
        <f t="shared" si="20"/>
        <v>549.60678777600776</v>
      </c>
      <c r="EO54" s="60">
        <f ca="1">AVERAGE(OFFSET($EN$3,0,0,'Données projet'!$E$15+1,1))-AVERAGE(OFFSET($H$3,0,0,'Données projet'!$E$15+1,1))</f>
        <v>236.22643401787644</v>
      </c>
      <c r="EP54" s="60">
        <f t="shared" si="46"/>
        <v>188.80444043778022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8">
        <f t="shared" si="1"/>
        <v>256.66666666666669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0" t="e">
        <f t="shared" si="0"/>
        <v>#NUM!</v>
      </c>
      <c r="S55" s="60">
        <f ca="1">AVERAGE(OFFSET($R$3,0,0,'Données projet'!$E$9+1,1))-AVERAGE(OFFSET($H$3,0,0,'Données projet'!$E$9+1,1))</f>
        <v>144.55635559713392</v>
      </c>
      <c r="T55" s="60">
        <f t="shared" si="34"/>
        <v>349.14692715126904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39.418371913343329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1.0754227631371961E-4</v>
      </c>
      <c r="AC55" s="24">
        <f t="shared" si="3"/>
        <v>39.418479455619639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156.53039999999999</v>
      </c>
      <c r="AK55" s="14">
        <f t="shared" si="35"/>
        <v>40.058941713182037</v>
      </c>
      <c r="AL55" s="22">
        <f t="shared" si="4"/>
        <v>342.393103483792</v>
      </c>
      <c r="AM55" s="60">
        <f t="shared" si="5"/>
        <v>635.72643681712532</v>
      </c>
      <c r="AN55" s="60">
        <f ca="1">AVERAGE(OFFSET($AM$3,0,0,'Données projet'!$E$10+1,1))-AVERAGE(OFFSET($H$3,0,0,'Données projet'!$E$10+1,1))</f>
        <v>428.8489304403459</v>
      </c>
      <c r="AO55" s="60">
        <f t="shared" si="36"/>
        <v>247.01165577562966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projet'!$B$11,Paramètres!$A$1:$I$89,3,0)*VLOOKUP('Données projet'!$B$11,Paramètres!$A$1:$I$89,5,0)</f>
        <v>175.422</v>
      </c>
      <c r="BF55" s="14">
        <f t="shared" si="37"/>
        <v>44.302143412304737</v>
      </c>
      <c r="BG55" s="22">
        <f t="shared" si="7"/>
        <v>382.68621644309741</v>
      </c>
      <c r="BH55" s="60">
        <f t="shared" si="8"/>
        <v>676.01954977643072</v>
      </c>
      <c r="BI55" s="60">
        <f ca="1">AVERAGE(OFFSET($BH$3,0,0,'Données projet'!$E$11+1,1))-AVERAGE(OFFSET($H$3,0,0,'Données projet'!$E$11+1,1))</f>
        <v>475.47920969424894</v>
      </c>
      <c r="BJ55" s="60">
        <f t="shared" si="38"/>
        <v>271.73544012419364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4</v>
      </c>
      <c r="BY55" s="13">
        <f>IF('Données projet'!$A$114&gt;35,BY54+BX55-CG54,IF(A55&lt;'Données projet'!$A$114,$BV$205^A55,IF(A55='Données projet'!$A$114,'Données projet'!$B$114,BY54+BX55-CG54)))</f>
        <v>102.99999999999997</v>
      </c>
      <c r="BZ55" s="14">
        <f>BY55*VLOOKUP('Données projet'!$B$12,Paramètres!$A$1:$I$89,3,0)*VLOOKUP('Données projet'!$B$12,Paramètres!$A$1:$I$89,5,0)</f>
        <v>99.621599999999987</v>
      </c>
      <c r="CA55" s="14">
        <f t="shared" si="39"/>
        <v>26.871829085032747</v>
      </c>
      <c r="CB55" s="22">
        <f t="shared" si="10"/>
        <v>220.30938898976532</v>
      </c>
      <c r="CC55" s="60">
        <f t="shared" si="11"/>
        <v>513.64272232309861</v>
      </c>
      <c r="CD55" s="60">
        <f ca="1">AVERAGE(OFFSET($CC$3,0,0,'Données projet'!$E$12+1,1))-AVERAGE(OFFSET($H$3,0,0,'Données projet'!$E$12+1,1))</f>
        <v>255.59755832175625</v>
      </c>
      <c r="CE55" s="60">
        <f t="shared" si="40"/>
        <v>154.0840647586964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4</v>
      </c>
      <c r="CT55" s="13">
        <f>IF('Données projet'!$A$140&gt;35,CT54+CS55-DB54,IF(A55&lt;'Données projet'!$A$140,$CQ$205^A55,IF(A55='Données projet'!$A$140,'Données projet'!$B$140,CT54+CS55-DB54)))</f>
        <v>102.99999999999997</v>
      </c>
      <c r="CU55" s="18">
        <f>CT55*VLOOKUP('Données projet'!$B$13,Paramètres!$A$1:$I$89,3,0)*VLOOKUP('Données projet'!$B$13,Paramètres!$A$1:$I$89,5,0)</f>
        <v>110.86919999999998</v>
      </c>
      <c r="CV55" s="14">
        <f t="shared" si="41"/>
        <v>29.535680967701595</v>
      </c>
      <c r="CW55" s="22">
        <f t="shared" si="13"/>
        <v>244.53850101874687</v>
      </c>
      <c r="CX55" s="60">
        <f t="shared" si="14"/>
        <v>537.87183435208021</v>
      </c>
      <c r="CY55" s="60">
        <f ca="1">AVERAGE(OFFSET($CX$3,0,0,'Données projet'!$E$13+1,1))-AVERAGE(OFFSET($H$3,0,0,'Données projet'!$E$13+1,1))</f>
        <v>280.20599015000306</v>
      </c>
      <c r="CZ55" s="60">
        <f t="shared" si="42"/>
        <v>166.97658184507787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5.6410256410256405</v>
      </c>
      <c r="DO55" s="13">
        <f>IF('Données projet'!$A$166&gt;35,DO54+DN55-DW54,IF(A55&lt;'Données projet'!$A$166,$DL$205^A55,IF(A55='Données projet'!$A$166,'Données projet'!$B$166,DO54+DN55-DW54)))</f>
        <v>199.74358974358967</v>
      </c>
      <c r="DP55" s="18">
        <f>DO55*VLOOKUP('Données projet'!$B$14,Paramètres!$A$1:$I$89,3,0)*VLOOKUP('Données projet'!$B$14,Paramètres!$A$1:$I$89,5,0)</f>
        <v>133.98799999999997</v>
      </c>
      <c r="DQ55" s="14">
        <f t="shared" si="43"/>
        <v>34.916242264181065</v>
      </c>
      <c r="DR55" s="22">
        <f t="shared" si="16"/>
        <v>294.17488861011532</v>
      </c>
      <c r="DS55" s="60">
        <f t="shared" si="17"/>
        <v>587.50822194344869</v>
      </c>
      <c r="DT55" s="60">
        <f ca="1">AVERAGE(OFFSET($DS$3,0,0,'Données projet'!$E$14+1,1))-AVERAGE(OFFSET($H$3,0,0,'Données projet'!$E$14+1,1))</f>
        <v>291.18686311753402</v>
      </c>
      <c r="DU55" s="60">
        <f t="shared" si="44"/>
        <v>215.44422413249839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4.4000000000000004</v>
      </c>
      <c r="EJ55" s="13">
        <f>IF('Données projet'!$A$192&gt;35,EJ54+EI55-ER54,IF(A55&lt;'Données projet'!$A$192,$EG$205^A55,IF(A55='Données projet'!$A$192,'Données projet'!$B$192,EJ54+EI55-ER54)))</f>
        <v>147.79999999999995</v>
      </c>
      <c r="EK55" s="18">
        <f>EJ55*VLOOKUP('Données projet'!$B$15,Paramètres!$A$1:$I$89,3,0)*VLOOKUP('Données projet'!$B$15,Paramètres!$A$1:$I$89,5,0)</f>
        <v>119.89535999999997</v>
      </c>
      <c r="EL55" s="14">
        <f t="shared" si="45"/>
        <v>31.650592493512779</v>
      </c>
      <c r="EM55" s="22">
        <f t="shared" si="19"/>
        <v>263.94253392620135</v>
      </c>
      <c r="EN55" s="60">
        <f t="shared" si="20"/>
        <v>557.27586725953461</v>
      </c>
      <c r="EO55" s="60">
        <f ca="1">AVERAGE(OFFSET($EN$3,0,0,'Données projet'!$E$15+1,1))-AVERAGE(OFFSET($H$3,0,0,'Données projet'!$E$15+1,1))</f>
        <v>236.22643401787644</v>
      </c>
      <c r="EP55" s="60">
        <f t="shared" si="46"/>
        <v>188.80444043778022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8">
        <f t="shared" si="1"/>
        <v>256.66666666666669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0" t="e">
        <f t="shared" si="0"/>
        <v>#NUM!</v>
      </c>
      <c r="S56" s="60">
        <f ca="1">AVERAGE(OFFSET($R$3,0,0,'Données projet'!$E$9+1,1))-AVERAGE(OFFSET($H$3,0,0,'Données projet'!$E$9+1,1))</f>
        <v>144.55635559713392</v>
      </c>
      <c r="T56" s="60">
        <f t="shared" si="34"/>
        <v>349.14692715126904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38.645401682955502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7.6043872845668562E-5</v>
      </c>
      <c r="AC56" s="24">
        <f t="shared" si="3"/>
        <v>38.645477726828346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163.7688</v>
      </c>
      <c r="AK56" s="14">
        <f t="shared" si="35"/>
        <v>41.691423503509803</v>
      </c>
      <c r="AL56" s="22">
        <f t="shared" si="4"/>
        <v>357.84322260194625</v>
      </c>
      <c r="AM56" s="60">
        <f t="shared" si="5"/>
        <v>651.17655593527957</v>
      </c>
      <c r="AN56" s="60">
        <f ca="1">AVERAGE(OFFSET($AM$3,0,0,'Données projet'!$E$10+1,1))-AVERAGE(OFFSET($H$3,0,0,'Données projet'!$E$10+1,1))</f>
        <v>428.8489304403459</v>
      </c>
      <c r="AO56" s="60">
        <f t="shared" si="36"/>
        <v>247.01165577562966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projet'!$B$11,Paramètres!$A$1:$I$89,3,0)*VLOOKUP('Données projet'!$B$11,Paramètres!$A$1:$I$89,5,0)</f>
        <v>183.53400000000002</v>
      </c>
      <c r="BF56" s="14">
        <f t="shared" si="37"/>
        <v>46.107544136839593</v>
      </c>
      <c r="BG56" s="22">
        <f t="shared" si="7"/>
        <v>399.95902270499568</v>
      </c>
      <c r="BH56" s="60">
        <f t="shared" si="8"/>
        <v>693.29235603832899</v>
      </c>
      <c r="BI56" s="60">
        <f ca="1">AVERAGE(OFFSET($BH$3,0,0,'Données projet'!$E$11+1,1))-AVERAGE(OFFSET($H$3,0,0,'Données projet'!$E$11+1,1))</f>
        <v>475.47920969424894</v>
      </c>
      <c r="BJ56" s="60">
        <f t="shared" si="38"/>
        <v>271.73544012419364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4</v>
      </c>
      <c r="BY56" s="13">
        <f>IF('Données projet'!$A$114&gt;35,BY55+BX56-CG55,IF(A56&lt;'Données projet'!$A$114,$BV$205^A56,IF(A56='Données projet'!$A$114,'Données projet'!$B$114,BY55+BX56-CG55)))</f>
        <v>106.99999999999997</v>
      </c>
      <c r="BZ56" s="14">
        <f>BY56*VLOOKUP('Données projet'!$B$12,Paramètres!$A$1:$I$89,3,0)*VLOOKUP('Données projet'!$B$12,Paramètres!$A$1:$I$89,5,0)</f>
        <v>103.49039999999997</v>
      </c>
      <c r="CA56" s="14">
        <f t="shared" si="39"/>
        <v>27.791869560921153</v>
      </c>
      <c r="CB56" s="22">
        <f t="shared" si="10"/>
        <v>228.64995281860425</v>
      </c>
      <c r="CC56" s="60">
        <f t="shared" si="11"/>
        <v>521.98328615193759</v>
      </c>
      <c r="CD56" s="60">
        <f ca="1">AVERAGE(OFFSET($CC$3,0,0,'Données projet'!$E$12+1,1))-AVERAGE(OFFSET($H$3,0,0,'Données projet'!$E$12+1,1))</f>
        <v>255.59755832175625</v>
      </c>
      <c r="CE56" s="60">
        <f t="shared" si="40"/>
        <v>154.0840647586964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4</v>
      </c>
      <c r="CT56" s="13">
        <f>IF('Données projet'!$A$140&gt;35,CT55+CS56-DB55,IF(A56&lt;'Données projet'!$A$140,$CQ$205^A56,IF(A56='Données projet'!$A$140,'Données projet'!$B$140,CT55+CS56-DB55)))</f>
        <v>106.99999999999997</v>
      </c>
      <c r="CU56" s="18">
        <f>CT56*VLOOKUP('Données projet'!$B$13,Paramètres!$A$1:$I$89,3,0)*VLOOKUP('Données projet'!$B$13,Paramètres!$A$1:$I$89,5,0)</f>
        <v>115.17479999999996</v>
      </c>
      <c r="CV56" s="14">
        <f t="shared" si="41"/>
        <v>30.546926681092497</v>
      </c>
      <c r="CW56" s="22">
        <f t="shared" si="13"/>
        <v>253.79867396956936</v>
      </c>
      <c r="CX56" s="60">
        <f t="shared" si="14"/>
        <v>547.13200730290271</v>
      </c>
      <c r="CY56" s="60">
        <f ca="1">AVERAGE(OFFSET($CX$3,0,0,'Données projet'!$E$13+1,1))-AVERAGE(OFFSET($H$3,0,0,'Données projet'!$E$13+1,1))</f>
        <v>280.20599015000306</v>
      </c>
      <c r="CZ56" s="60">
        <f t="shared" si="42"/>
        <v>166.97658184507787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5.6410256410256405</v>
      </c>
      <c r="DO56" s="13">
        <f>IF('Données projet'!$A$166&gt;35,DO55+DN56-DW55,IF(A56&lt;'Données projet'!$A$166,$DL$205^A56,IF(A56='Données projet'!$A$166,'Données projet'!$B$166,DO55+DN56-DW55)))</f>
        <v>205.3846153846153</v>
      </c>
      <c r="DP56" s="18">
        <f>DO56*VLOOKUP('Données projet'!$B$14,Paramètres!$A$1:$I$89,3,0)*VLOOKUP('Données projet'!$B$14,Paramètres!$A$1:$I$89,5,0)</f>
        <v>137.77199999999993</v>
      </c>
      <c r="DQ56" s="14">
        <f t="shared" si="43"/>
        <v>35.786126416547233</v>
      </c>
      <c r="DR56" s="22">
        <f t="shared" si="16"/>
        <v>302.28040350881963</v>
      </c>
      <c r="DS56" s="60">
        <f t="shared" si="17"/>
        <v>595.613736842153</v>
      </c>
      <c r="DT56" s="60">
        <f ca="1">AVERAGE(OFFSET($DS$3,0,0,'Données projet'!$E$14+1,1))-AVERAGE(OFFSET($H$3,0,0,'Données projet'!$E$14+1,1))</f>
        <v>291.18686311753402</v>
      </c>
      <c r="DU56" s="60">
        <f t="shared" si="44"/>
        <v>215.44422413249839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4.4000000000000004</v>
      </c>
      <c r="EJ56" s="13">
        <f>IF('Données projet'!$A$192&gt;35,EJ55+EI56-ER55,IF(A56&lt;'Données projet'!$A$192,$EG$205^A56,IF(A56='Données projet'!$A$192,'Données projet'!$B$192,EJ55+EI56-ER55)))</f>
        <v>152.19999999999996</v>
      </c>
      <c r="EK56" s="18">
        <f>EJ56*VLOOKUP('Données projet'!$B$15,Paramètres!$A$1:$I$89,3,0)*VLOOKUP('Données projet'!$B$15,Paramètres!$A$1:$I$89,5,0)</f>
        <v>123.46463999999997</v>
      </c>
      <c r="EL56" s="14">
        <f t="shared" si="45"/>
        <v>32.481726206916214</v>
      </c>
      <c r="EM56" s="22">
        <f t="shared" si="19"/>
        <v>271.60658781037904</v>
      </c>
      <c r="EN56" s="60">
        <f t="shared" si="20"/>
        <v>564.93992114371235</v>
      </c>
      <c r="EO56" s="60">
        <f ca="1">AVERAGE(OFFSET($EN$3,0,0,'Données projet'!$E$15+1,1))-AVERAGE(OFFSET($H$3,0,0,'Données projet'!$E$15+1,1))</f>
        <v>236.22643401787644</v>
      </c>
      <c r="EP56" s="60">
        <f t="shared" si="46"/>
        <v>188.80444043778022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8">
        <f t="shared" si="1"/>
        <v>256.66666666666669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0" t="e">
        <f t="shared" si="0"/>
        <v>#NUM!</v>
      </c>
      <c r="S57" s="60">
        <f ca="1">AVERAGE(OFFSET($R$3,0,0,'Données projet'!$E$9+1,1))-AVERAGE(OFFSET($H$3,0,0,'Données projet'!$E$9+1,1))</f>
        <v>144.55635559713392</v>
      </c>
      <c r="T57" s="60">
        <f t="shared" si="34"/>
        <v>349.14692715126904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37.887588927320294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5.3771138156859804E-5</v>
      </c>
      <c r="AC57" s="24">
        <f t="shared" si="3"/>
        <v>37.88764269845845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171.00719999999998</v>
      </c>
      <c r="AK57" s="14">
        <f t="shared" si="35"/>
        <v>43.315525267338089</v>
      </c>
      <c r="AL57" s="22">
        <f t="shared" si="4"/>
        <v>373.27874650728046</v>
      </c>
      <c r="AM57" s="60">
        <f t="shared" si="5"/>
        <v>666.61207984061377</v>
      </c>
      <c r="AN57" s="60">
        <f ca="1">AVERAGE(OFFSET($AM$3,0,0,'Données projet'!$E$10+1,1))-AVERAGE(OFFSET($H$3,0,0,'Données projet'!$E$10+1,1))</f>
        <v>428.8489304403459</v>
      </c>
      <c r="AO57" s="60">
        <f t="shared" si="36"/>
        <v>247.01165577562966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projet'!$B$11,Paramètres!$A$1:$I$89,3,0)*VLOOKUP('Données projet'!$B$11,Paramètres!$A$1:$I$89,5,0)</f>
        <v>191.64600000000002</v>
      </c>
      <c r="BF57" s="14">
        <f t="shared" si="37"/>
        <v>47.903677189291635</v>
      </c>
      <c r="BG57" s="22">
        <f t="shared" si="7"/>
        <v>417.21568777134962</v>
      </c>
      <c r="BH57" s="60">
        <f t="shared" si="8"/>
        <v>710.54902110468288</v>
      </c>
      <c r="BI57" s="60">
        <f ca="1">AVERAGE(OFFSET($BH$3,0,0,'Données projet'!$E$11+1,1))-AVERAGE(OFFSET($H$3,0,0,'Données projet'!$E$11+1,1))</f>
        <v>475.47920969424894</v>
      </c>
      <c r="BJ57" s="60">
        <f t="shared" si="38"/>
        <v>271.73544012419364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4</v>
      </c>
      <c r="BY57" s="13">
        <f>IF('Données projet'!$A$114&gt;35,BY56+BX57-CG56,IF(A57&lt;'Données projet'!$A$114,$BV$205^A57,IF(A57='Données projet'!$A$114,'Données projet'!$B$114,BY56+BX57-CG56)))</f>
        <v>110.99999999999997</v>
      </c>
      <c r="BZ57" s="14">
        <f>BY57*VLOOKUP('Données projet'!$B$12,Paramètres!$A$1:$I$89,3,0)*VLOOKUP('Données projet'!$B$12,Paramètres!$A$1:$I$89,5,0)</f>
        <v>107.35919999999997</v>
      </c>
      <c r="CA57" s="14">
        <f t="shared" si="39"/>
        <v>28.707914285651373</v>
      </c>
      <c r="CB57" s="22">
        <f t="shared" si="10"/>
        <v>236.98355738084277</v>
      </c>
      <c r="CC57" s="60">
        <f t="shared" si="11"/>
        <v>530.31689071417611</v>
      </c>
      <c r="CD57" s="60">
        <f ca="1">AVERAGE(OFFSET($CC$3,0,0,'Données projet'!$E$12+1,1))-AVERAGE(OFFSET($H$3,0,0,'Données projet'!$E$12+1,1))</f>
        <v>255.59755832175625</v>
      </c>
      <c r="CE57" s="60">
        <f t="shared" si="40"/>
        <v>154.0840647586964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4</v>
      </c>
      <c r="CT57" s="13">
        <f>IF('Données projet'!$A$140&gt;35,CT56+CS57-DB56,IF(A57&lt;'Données projet'!$A$140,$CQ$205^A57,IF(A57='Données projet'!$A$140,'Données projet'!$B$140,CT56+CS57-DB56)))</f>
        <v>110.99999999999997</v>
      </c>
      <c r="CU57" s="18">
        <f>CT57*VLOOKUP('Données projet'!$B$13,Paramètres!$A$1:$I$89,3,0)*VLOOKUP('Données projet'!$B$13,Paramètres!$A$1:$I$89,5,0)</f>
        <v>119.48039999999996</v>
      </c>
      <c r="CV57" s="14">
        <f t="shared" si="41"/>
        <v>31.553780537454912</v>
      </c>
      <c r="CW57" s="22">
        <f t="shared" si="13"/>
        <v>263.05119776940052</v>
      </c>
      <c r="CX57" s="60">
        <f t="shared" si="14"/>
        <v>556.38453110273383</v>
      </c>
      <c r="CY57" s="60">
        <f ca="1">AVERAGE(OFFSET($CX$3,0,0,'Données projet'!$E$13+1,1))-AVERAGE(OFFSET($H$3,0,0,'Données projet'!$E$13+1,1))</f>
        <v>280.20599015000306</v>
      </c>
      <c r="CZ57" s="60">
        <f t="shared" si="42"/>
        <v>166.97658184507787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5.6410256410256405</v>
      </c>
      <c r="DO57" s="13">
        <f>IF('Données projet'!$A$166&gt;35,DO56+DN57-DW56,IF(A57&lt;'Données projet'!$A$166,$DL$205^A57,IF(A57='Données projet'!$A$166,'Données projet'!$B$166,DO56+DN57-DW56)))</f>
        <v>211.02564102564094</v>
      </c>
      <c r="DP57" s="18">
        <f>DO57*VLOOKUP('Données projet'!$B$14,Paramètres!$A$1:$I$89,3,0)*VLOOKUP('Données projet'!$B$14,Paramètres!$A$1:$I$89,5,0)</f>
        <v>141.55599999999995</v>
      </c>
      <c r="DQ57" s="14">
        <f t="shared" si="43"/>
        <v>36.653233617821797</v>
      </c>
      <c r="DR57" s="22">
        <f t="shared" si="16"/>
        <v>310.38108188437286</v>
      </c>
      <c r="DS57" s="60">
        <f t="shared" si="17"/>
        <v>603.71441521770612</v>
      </c>
      <c r="DT57" s="60">
        <f ca="1">AVERAGE(OFFSET($DS$3,0,0,'Données projet'!$E$14+1,1))-AVERAGE(OFFSET($H$3,0,0,'Données projet'!$E$14+1,1))</f>
        <v>291.18686311753402</v>
      </c>
      <c r="DU57" s="60">
        <f t="shared" si="44"/>
        <v>215.44422413249839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4.4000000000000004</v>
      </c>
      <c r="EJ57" s="13">
        <f>IF('Données projet'!$A$192&gt;35,EJ56+EI57-ER56,IF(A57&lt;'Données projet'!$A$192,$EG$205^A57,IF(A57='Données projet'!$A$192,'Données projet'!$B$192,EJ56+EI57-ER56)))</f>
        <v>156.59999999999997</v>
      </c>
      <c r="EK57" s="18">
        <f>EJ57*VLOOKUP('Données projet'!$B$15,Paramètres!$A$1:$I$89,3,0)*VLOOKUP('Données projet'!$B$15,Paramètres!$A$1:$I$89,5,0)</f>
        <v>127.03391999999998</v>
      </c>
      <c r="EL57" s="14">
        <f t="shared" si="45"/>
        <v>33.31006740655728</v>
      </c>
      <c r="EM57" s="22">
        <f t="shared" si="19"/>
        <v>279.26577806642058</v>
      </c>
      <c r="EN57" s="60">
        <f t="shared" si="20"/>
        <v>572.59911139975384</v>
      </c>
      <c r="EO57" s="60">
        <f ca="1">AVERAGE(OFFSET($EN$3,0,0,'Données projet'!$E$15+1,1))-AVERAGE(OFFSET($H$3,0,0,'Données projet'!$E$15+1,1))</f>
        <v>236.22643401787644</v>
      </c>
      <c r="EP57" s="60">
        <f t="shared" si="46"/>
        <v>188.80444043778022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8">
        <f t="shared" si="1"/>
        <v>256.66666666666669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0" t="e">
        <f t="shared" si="0"/>
        <v>#NUM!</v>
      </c>
      <c r="S58" s="60">
        <f ca="1">AVERAGE(OFFSET($R$3,0,0,'Données projet'!$E$9+1,1))-AVERAGE(OFFSET($H$3,0,0,'Données projet'!$E$9+1,1))</f>
        <v>144.55635559713392</v>
      </c>
      <c r="T58" s="60">
        <f t="shared" si="34"/>
        <v>349.14692715126904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37.144636417602953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3.8021936422834281E-5</v>
      </c>
      <c r="AC58" s="24">
        <f t="shared" si="3"/>
        <v>37.144674439539379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178.2456</v>
      </c>
      <c r="AK58" s="14">
        <f t="shared" si="35"/>
        <v>44.931642269910427</v>
      </c>
      <c r="AL58" s="22">
        <f t="shared" si="4"/>
        <v>388.70036362009404</v>
      </c>
      <c r="AM58" s="60">
        <f t="shared" si="5"/>
        <v>682.03369695342735</v>
      </c>
      <c r="AN58" s="60">
        <f ca="1">AVERAGE(OFFSET($AM$3,0,0,'Données projet'!$E$10+1,1))-AVERAGE(OFFSET($H$3,0,0,'Données projet'!$E$10+1,1))</f>
        <v>428.8489304403459</v>
      </c>
      <c r="AO58" s="60">
        <f t="shared" si="36"/>
        <v>247.01165577562966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projet'!$B$11,Paramètres!$A$1:$I$89,3,0)*VLOOKUP('Données projet'!$B$11,Paramètres!$A$1:$I$89,5,0)</f>
        <v>199.75800000000004</v>
      </c>
      <c r="BF58" s="14">
        <f t="shared" si="37"/>
        <v>49.690979702964015</v>
      </c>
      <c r="BG58" s="22">
        <f t="shared" si="7"/>
        <v>434.45697298266236</v>
      </c>
      <c r="BH58" s="60">
        <f t="shared" si="8"/>
        <v>727.79030631599562</v>
      </c>
      <c r="BI58" s="60">
        <f ca="1">AVERAGE(OFFSET($BH$3,0,0,'Données projet'!$E$11+1,1))-AVERAGE(OFFSET($H$3,0,0,'Données projet'!$E$11+1,1))</f>
        <v>475.47920969424894</v>
      </c>
      <c r="BJ58" s="60">
        <f t="shared" si="38"/>
        <v>271.73544012419364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115</v>
      </c>
      <c r="BW58" s="13">
        <f>VLOOKUP(A58,'Données projet'!$A$113:$I$133,9,0)</f>
        <v>4</v>
      </c>
      <c r="BX58" s="13">
        <f t="array" ref="BX58">INDEX(BW:BW,MIN(IF(ISNUMBER(BW58:BW254),ROW(BW58:BW254),"")))</f>
        <v>4</v>
      </c>
      <c r="BY58" s="13">
        <f>IF('Données projet'!$A$114&gt;35,BY57+BX58-CG57,IF(A58&lt;'Données projet'!$A$114,$BV$205^A58,IF(A58='Données projet'!$A$114,'Données projet'!$B$114,BY57+BX58-CG57)))</f>
        <v>114.99999999999997</v>
      </c>
      <c r="BZ58" s="14">
        <f>BY58*VLOOKUP('Données projet'!$B$12,Paramètres!$A$1:$I$89,3,0)*VLOOKUP('Données projet'!$B$12,Paramètres!$A$1:$I$89,5,0)</f>
        <v>111.22799999999998</v>
      </c>
      <c r="CA58" s="14">
        <f t="shared" si="39"/>
        <v>29.620123744783804</v>
      </c>
      <c r="CB58" s="22">
        <f t="shared" si="10"/>
        <v>245.31048218883168</v>
      </c>
      <c r="CC58" s="60">
        <f t="shared" si="11"/>
        <v>538.64381552216503</v>
      </c>
      <c r="CD58" s="60">
        <f ca="1">AVERAGE(OFFSET($CC$3,0,0,'Données projet'!$E$12+1,1))-AVERAGE(OFFSET($H$3,0,0,'Données projet'!$E$12+1,1))</f>
        <v>255.59755832175625</v>
      </c>
      <c r="CE58" s="60">
        <f t="shared" si="40"/>
        <v>154.0840647586964</v>
      </c>
      <c r="CF58" s="16">
        <f>IF(ISNA(VLOOKUP(A58,'Données projet'!$A$113:$I$133,3,0)),0,VLOOKUP(A58,'Données projet'!$A$113:$I$133,3,0))</f>
        <v>3</v>
      </c>
      <c r="CG58" s="16">
        <f>IF(ISNA(VLOOKUP(A58,'Données projet'!$A$113:$I$133,4,0)),0,VLOOKUP(A58,'Données projet'!$A$113:$I$133,4,0))</f>
        <v>19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115</v>
      </c>
      <c r="CR58" s="13">
        <f>VLOOKUP(A58,'Données projet'!$A$139:$I$159,9,0)</f>
        <v>4</v>
      </c>
      <c r="CS58" s="13">
        <f t="array" ref="CS58">INDEX(CR:CR,MIN(IF(ISNUMBER(CR58:CR254),ROW(CR58:CR254),"")))</f>
        <v>4</v>
      </c>
      <c r="CT58" s="13">
        <f>IF('Données projet'!$A$140&gt;35,CT57+CS58-DB57,IF(A58&lt;'Données projet'!$A$140,$CQ$205^A58,IF(A58='Données projet'!$A$140,'Données projet'!$B$140,CT57+CS58-DB57)))</f>
        <v>114.99999999999997</v>
      </c>
      <c r="CU58" s="18">
        <f>CT58*VLOOKUP('Données projet'!$B$13,Paramètres!$A$1:$I$89,3,0)*VLOOKUP('Données projet'!$B$13,Paramètres!$A$1:$I$89,5,0)</f>
        <v>123.78599999999997</v>
      </c>
      <c r="CV58" s="14">
        <f t="shared" si="41"/>
        <v>32.556418931566412</v>
      </c>
      <c r="CW58" s="22">
        <f t="shared" si="13"/>
        <v>272.29637963914479</v>
      </c>
      <c r="CX58" s="60">
        <f t="shared" si="14"/>
        <v>565.62971297247805</v>
      </c>
      <c r="CY58" s="60">
        <f ca="1">AVERAGE(OFFSET($CX$3,0,0,'Données projet'!$E$13+1,1))-AVERAGE(OFFSET($H$3,0,0,'Données projet'!$E$13+1,1))</f>
        <v>280.20599015000306</v>
      </c>
      <c r="CZ58" s="60">
        <f t="shared" si="42"/>
        <v>166.97658184507787</v>
      </c>
      <c r="DA58" s="16">
        <f>IF(ISNA(VLOOKUP(A58,'Données projet'!$A$139:$I$159,3,0)),0,VLOOKUP(A58,'Données projet'!$A$139:$I$159,3,0))</f>
        <v>3</v>
      </c>
      <c r="DB58" s="16">
        <f>IF(ISNA(VLOOKUP(A58,'Données projet'!$A$139:$I$159,4,0)),0,VLOOKUP(A58,'Données projet'!$A$139:$I$159,4,0))</f>
        <v>19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216.66666666666666</v>
      </c>
      <c r="DM58" s="13">
        <f>VLOOKUP(A58,'Données projet'!$A$165:$I$185,9,0)</f>
        <v>5.6410256410256405</v>
      </c>
      <c r="DN58" s="13">
        <f t="array" ref="DN58">INDEX(DM:DM,MIN(IF(ISNUMBER(DM58:DM254),ROW(DM58:DM254),"")))</f>
        <v>5.6410256410256405</v>
      </c>
      <c r="DO58" s="13">
        <f>IF('Données projet'!$A$166&gt;35,DO57+DN58-DW57,IF(A58&lt;'Données projet'!$A$166,$DL$205^A58,IF(A58='Données projet'!$A$166,'Données projet'!$B$166,DO57+DN58-DW57)))</f>
        <v>216.66666666666657</v>
      </c>
      <c r="DP58" s="18">
        <f>DO58*VLOOKUP('Données projet'!$B$14,Paramètres!$A$1:$I$89,3,0)*VLOOKUP('Données projet'!$B$14,Paramètres!$A$1:$I$89,5,0)</f>
        <v>145.33999999999995</v>
      </c>
      <c r="DQ58" s="14">
        <f t="shared" si="43"/>
        <v>37.517646631752974</v>
      </c>
      <c r="DR58" s="22">
        <f t="shared" si="16"/>
        <v>318.47706788363627</v>
      </c>
      <c r="DS58" s="60">
        <f t="shared" si="17"/>
        <v>611.81040121696958</v>
      </c>
      <c r="DT58" s="60">
        <f ca="1">AVERAGE(OFFSET($DS$3,0,0,'Données projet'!$E$14+1,1))-AVERAGE(OFFSET($H$3,0,0,'Données projet'!$E$14+1,1))</f>
        <v>291.18686311753402</v>
      </c>
      <c r="DU58" s="60">
        <f t="shared" si="44"/>
        <v>215.44422413249839</v>
      </c>
      <c r="DV58" s="16">
        <f>IF(ISNA(VLOOKUP(A58,'Données projet'!$A$165:$I$185,3,0)),0,VLOOKUP(A58,'Données projet'!$A$165:$I$185,3,0))</f>
        <v>4</v>
      </c>
      <c r="DW58" s="16">
        <f>IF(ISNA(VLOOKUP(A58,'Données projet'!$A$165:$I$185,4,0)),0,VLOOKUP(A58,'Données projet'!$A$165:$I$185,4,0))</f>
        <v>30.128205128205128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161</v>
      </c>
      <c r="EH58" s="13">
        <f>VLOOKUP(A58,'Données projet'!$A$191:$I$211,9,0)</f>
        <v>4.4000000000000004</v>
      </c>
      <c r="EI58" s="13">
        <f t="array" ref="EI58">INDEX(EH:EH,MIN(IF(ISNUMBER(EH58:EH254),ROW(EH58:EH254),"")))</f>
        <v>4.4000000000000004</v>
      </c>
      <c r="EJ58" s="13">
        <f>IF('Données projet'!$A$192&gt;35,EJ57+EI58-ER57,IF(A58&lt;'Données projet'!$A$192,$EG$205^A58,IF(A58='Données projet'!$A$192,'Données projet'!$B$192,EJ57+EI58-ER57)))</f>
        <v>160.99999999999997</v>
      </c>
      <c r="EK58" s="18">
        <f>EJ58*VLOOKUP('Données projet'!$B$15,Paramètres!$A$1:$I$89,3,0)*VLOOKUP('Données projet'!$B$15,Paramètres!$A$1:$I$89,5,0)</f>
        <v>130.60319999999999</v>
      </c>
      <c r="EL58" s="14">
        <f t="shared" si="45"/>
        <v>34.135703567016428</v>
      </c>
      <c r="EM58" s="22">
        <f t="shared" si="19"/>
        <v>286.9202570458869</v>
      </c>
      <c r="EN58" s="60">
        <f t="shared" si="20"/>
        <v>580.25359037922021</v>
      </c>
      <c r="EO58" s="60">
        <f ca="1">AVERAGE(OFFSET($EN$3,0,0,'Données projet'!$E$15+1,1))-AVERAGE(OFFSET($H$3,0,0,'Données projet'!$E$15+1,1))</f>
        <v>236.22643401787644</v>
      </c>
      <c r="EP58" s="60">
        <f t="shared" si="46"/>
        <v>188.80444043778022</v>
      </c>
      <c r="EQ58" s="16">
        <f>IF(ISNA(VLOOKUP(A58,'Données projet'!$A$191:$I$211,3,0)),0,VLOOKUP(A58,'Données projet'!$A$191:$I$211,3,0))</f>
        <v>4</v>
      </c>
      <c r="ER58" s="16">
        <f>IF(ISNA(VLOOKUP(A58,'Données projet'!$A$191:$I$211,4,0)),0,VLOOKUP(A58,'Données projet'!$A$191:$I$211,4,0))</f>
        <v>22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8">
        <f t="shared" si="1"/>
        <v>256.66666666666669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0" t="e">
        <f t="shared" si="0"/>
        <v>#NUM!</v>
      </c>
      <c r="S59" s="60">
        <f ca="1">AVERAGE(OFFSET($R$3,0,0,'Données projet'!$E$9+1,1))-AVERAGE(OFFSET($H$3,0,0,'Données projet'!$E$9+1,1))</f>
        <v>144.55635559713392</v>
      </c>
      <c r="T59" s="60">
        <f t="shared" si="34"/>
        <v>349.14692715126904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36.41625275344488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2.6885569078429902E-5</v>
      </c>
      <c r="AC59" s="24">
        <f t="shared" si="3"/>
        <v>36.416279639013958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185.12207999999998</v>
      </c>
      <c r="AK59" s="14">
        <f t="shared" si="35"/>
        <v>46.459887003478677</v>
      </c>
      <c r="AL59" s="22">
        <f t="shared" si="4"/>
        <v>403.33859253105862</v>
      </c>
      <c r="AM59" s="60">
        <f t="shared" si="5"/>
        <v>696.67192586439194</v>
      </c>
      <c r="AN59" s="60">
        <f ca="1">AVERAGE(OFFSET($AM$3,0,0,'Données projet'!$E$10+1,1))-AVERAGE(OFFSET($H$3,0,0,'Données projet'!$E$10+1,1))</f>
        <v>428.8489304403459</v>
      </c>
      <c r="AO59" s="60">
        <f t="shared" si="36"/>
        <v>247.01165577562966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204.6</v>
      </c>
      <c r="BE59" s="14">
        <f>BD59*VLOOKUP('Données projet'!$B$11,Paramètres!$A$1:$I$89,3,0)*VLOOKUP('Données projet'!$B$11,Paramètres!$A$1:$I$89,5,0)</f>
        <v>207.46440000000001</v>
      </c>
      <c r="BF59" s="14">
        <f t="shared" si="37"/>
        <v>51.381102169014063</v>
      </c>
      <c r="BG59" s="22">
        <f t="shared" si="7"/>
        <v>450.82258294436616</v>
      </c>
      <c r="BH59" s="60">
        <f t="shared" si="8"/>
        <v>744.15591627769948</v>
      </c>
      <c r="BI59" s="60">
        <f ca="1">AVERAGE(OFFSET($BH$3,0,0,'Données projet'!$E$11+1,1))-AVERAGE(OFFSET($H$3,0,0,'Données projet'!$E$11+1,1))</f>
        <v>475.47920969424894</v>
      </c>
      <c r="BJ59" s="60">
        <f t="shared" si="38"/>
        <v>271.73544012419364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3.8</v>
      </c>
      <c r="BY59" s="13">
        <f>IF('Données projet'!$A$114&gt;35,BY58+BX59-CG58,IF(A59&lt;'Données projet'!$A$114,$BV$205^A59,IF(A59='Données projet'!$A$114,'Données projet'!$B$114,BY58+BX59-CG58)))</f>
        <v>99.799999999999969</v>
      </c>
      <c r="BZ59" s="14">
        <f>BY59*VLOOKUP('Données projet'!$B$12,Paramètres!$A$1:$I$89,3,0)*VLOOKUP('Données projet'!$B$12,Paramètres!$A$1:$I$89,5,0)</f>
        <v>96.526559999999975</v>
      </c>
      <c r="CA59" s="14">
        <f t="shared" si="39"/>
        <v>26.132803512664371</v>
      </c>
      <c r="CB59" s="22">
        <f t="shared" si="10"/>
        <v>213.63172478455704</v>
      </c>
      <c r="CC59" s="60">
        <f t="shared" si="11"/>
        <v>506.96505811789035</v>
      </c>
      <c r="CD59" s="60">
        <f ca="1">AVERAGE(OFFSET($CC$3,0,0,'Données projet'!$E$12+1,1))-AVERAGE(OFFSET($H$3,0,0,'Données projet'!$E$12+1,1))</f>
        <v>255.59755832175625</v>
      </c>
      <c r="CE59" s="60">
        <f t="shared" si="40"/>
        <v>154.0840647586964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3.8</v>
      </c>
      <c r="CT59" s="13">
        <f>IF('Données projet'!$A$140&gt;35,CT58+CS59-DB58,IF(A59&lt;'Données projet'!$A$140,$CQ$205^A59,IF(A59='Données projet'!$A$140,'Données projet'!$B$140,CT58+CS59-DB58)))</f>
        <v>99.799999999999969</v>
      </c>
      <c r="CU59" s="18">
        <f>CT59*VLOOKUP('Données projet'!$B$13,Paramètres!$A$1:$I$89,3,0)*VLOOKUP('Données projet'!$B$13,Paramètres!$A$1:$I$89,5,0)</f>
        <v>107.42471999999995</v>
      </c>
      <c r="CV59" s="14">
        <f t="shared" si="41"/>
        <v>28.723394484955126</v>
      </c>
      <c r="CW59" s="22">
        <f t="shared" si="13"/>
        <v>237.12463272796342</v>
      </c>
      <c r="CX59" s="60">
        <f t="shared" si="14"/>
        <v>530.4579660612967</v>
      </c>
      <c r="CY59" s="60">
        <f ca="1">AVERAGE(OFFSET($CX$3,0,0,'Données projet'!$E$13+1,1))-AVERAGE(OFFSET($H$3,0,0,'Données projet'!$E$13+1,1))</f>
        <v>280.20599015000306</v>
      </c>
      <c r="CZ59" s="60">
        <f t="shared" si="42"/>
        <v>166.97658184507787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5.2564102564102599</v>
      </c>
      <c r="DO59" s="13">
        <f>IF('Données projet'!$A$166&gt;35,DO58+DN59-DW58,IF(A59&lt;'Données projet'!$A$166,$DL$205^A59,IF(A59='Données projet'!$A$166,'Données projet'!$B$166,DO58+DN59-DW58)))</f>
        <v>191.79487179487168</v>
      </c>
      <c r="DP59" s="18">
        <f>DO59*VLOOKUP('Données projet'!$B$14,Paramètres!$A$1:$I$89,3,0)*VLOOKUP('Données projet'!$B$14,Paramètres!$A$1:$I$89,5,0)</f>
        <v>128.65599999999995</v>
      </c>
      <c r="DQ59" s="14">
        <f t="shared" si="43"/>
        <v>33.685612807452138</v>
      </c>
      <c r="DR59" s="22">
        <f t="shared" si="16"/>
        <v>282.7449756396457</v>
      </c>
      <c r="DS59" s="60">
        <f t="shared" si="17"/>
        <v>576.07830897297902</v>
      </c>
      <c r="DT59" s="60">
        <f ca="1">AVERAGE(OFFSET($DS$3,0,0,'Données projet'!$E$14+1,1))-AVERAGE(OFFSET($H$3,0,0,'Données projet'!$E$14+1,1))</f>
        <v>291.18686311753402</v>
      </c>
      <c r="DU59" s="60">
        <f t="shared" si="44"/>
        <v>215.44422413249839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4.2</v>
      </c>
      <c r="EJ59" s="13">
        <f>IF('Données projet'!$A$192&gt;35,EJ58+EI59-ER58,IF(A59&lt;'Données projet'!$A$192,$EG$205^A59,IF(A59='Données projet'!$A$192,'Données projet'!$B$192,EJ58+EI59-ER58)))</f>
        <v>143.19999999999996</v>
      </c>
      <c r="EK59" s="18">
        <f>EJ59*VLOOKUP('Données projet'!$B$15,Paramètres!$A$1:$I$89,3,0)*VLOOKUP('Données projet'!$B$15,Paramètres!$A$1:$I$89,5,0)</f>
        <v>116.16383999999998</v>
      </c>
      <c r="EL59" s="14">
        <f t="shared" si="45"/>
        <v>30.778593163150692</v>
      </c>
      <c r="EM59" s="22">
        <f t="shared" si="19"/>
        <v>255.92473775915406</v>
      </c>
      <c r="EN59" s="60">
        <f t="shared" si="20"/>
        <v>549.2580710924874</v>
      </c>
      <c r="EO59" s="60">
        <f ca="1">AVERAGE(OFFSET($EN$3,0,0,'Données projet'!$E$15+1,1))-AVERAGE(OFFSET($H$3,0,0,'Données projet'!$E$15+1,1))</f>
        <v>236.22643401787644</v>
      </c>
      <c r="EP59" s="60">
        <f t="shared" si="46"/>
        <v>188.80444043778022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8">
        <f t="shared" si="1"/>
        <v>256.66666666666669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0" t="e">
        <f t="shared" si="0"/>
        <v>#NUM!</v>
      </c>
      <c r="S60" s="60">
        <f ca="1">AVERAGE(OFFSET($R$3,0,0,'Données projet'!$E$9+1,1))-AVERAGE(OFFSET($H$3,0,0,'Données projet'!$E$9+1,1))</f>
        <v>144.55635559713392</v>
      </c>
      <c r="T60" s="60">
        <f t="shared" si="34"/>
        <v>349.14692715126904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35.702152248670778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1.9010968211417141E-5</v>
      </c>
      <c r="AC60" s="24">
        <f t="shared" si="3"/>
        <v>35.702171259638988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191.99855999999997</v>
      </c>
      <c r="AK60" s="14">
        <f t="shared" si="35"/>
        <v>47.981536645873334</v>
      </c>
      <c r="AL60" s="22">
        <f t="shared" si="4"/>
        <v>417.96533499156266</v>
      </c>
      <c r="AM60" s="60">
        <f t="shared" si="5"/>
        <v>711.29866832489597</v>
      </c>
      <c r="AN60" s="60">
        <f ca="1">AVERAGE(OFFSET($AM$3,0,0,'Données projet'!$E$10+1,1))-AVERAGE(OFFSET($H$3,0,0,'Données projet'!$E$10+1,1))</f>
        <v>428.8489304403459</v>
      </c>
      <c r="AO60" s="60">
        <f t="shared" si="36"/>
        <v>247.01165577562966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212.2</v>
      </c>
      <c r="BE60" s="14">
        <f>BD60*VLOOKUP('Données projet'!$B$11,Paramètres!$A$1:$I$89,3,0)*VLOOKUP('Données projet'!$B$11,Paramètres!$A$1:$I$89,5,0)</f>
        <v>215.17080000000001</v>
      </c>
      <c r="BF60" s="14">
        <f t="shared" si="37"/>
        <v>53.063930965723607</v>
      </c>
      <c r="BG60" s="22">
        <f t="shared" si="7"/>
        <v>467.17548976530185</v>
      </c>
      <c r="BH60" s="60">
        <f t="shared" si="8"/>
        <v>760.50882309863516</v>
      </c>
      <c r="BI60" s="60">
        <f ca="1">AVERAGE(OFFSET($BH$3,0,0,'Données projet'!$E$11+1,1))-AVERAGE(OFFSET($H$3,0,0,'Données projet'!$E$11+1,1))</f>
        <v>475.47920969424894</v>
      </c>
      <c r="BJ60" s="60">
        <f t="shared" si="38"/>
        <v>271.73544012419364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3.8</v>
      </c>
      <c r="BY60" s="13">
        <f>IF('Données projet'!$A$114&gt;35,BY59+BX60-CG59,IF(A60&lt;'Données projet'!$A$114,$BV$205^A60,IF(A60='Données projet'!$A$114,'Données projet'!$B$114,BY59+BX60-CG59)))</f>
        <v>103.59999999999997</v>
      </c>
      <c r="BZ60" s="14">
        <f>BY60*VLOOKUP('Données projet'!$B$12,Paramètres!$A$1:$I$89,3,0)*VLOOKUP('Données projet'!$B$12,Paramètres!$A$1:$I$89,5,0)</f>
        <v>100.20191999999999</v>
      </c>
      <c r="CA60" s="14">
        <f t="shared" si="39"/>
        <v>27.010096555049586</v>
      </c>
      <c r="CB60" s="22">
        <f t="shared" si="10"/>
        <v>221.56092883337803</v>
      </c>
      <c r="CC60" s="60">
        <f t="shared" si="11"/>
        <v>514.89426216671131</v>
      </c>
      <c r="CD60" s="60">
        <f ca="1">AVERAGE(OFFSET($CC$3,0,0,'Données projet'!$E$12+1,1))-AVERAGE(OFFSET($H$3,0,0,'Données projet'!$E$12+1,1))</f>
        <v>255.59755832175625</v>
      </c>
      <c r="CE60" s="60">
        <f t="shared" si="40"/>
        <v>154.0840647586964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3.8</v>
      </c>
      <c r="CT60" s="13">
        <f>IF('Données projet'!$A$140&gt;35,CT59+CS60-DB59,IF(A60&lt;'Données projet'!$A$140,$CQ$205^A60,IF(A60='Données projet'!$A$140,'Données projet'!$B$140,CT59+CS60-DB59)))</f>
        <v>103.59999999999997</v>
      </c>
      <c r="CU60" s="18">
        <f>CT60*VLOOKUP('Données projet'!$B$13,Paramètres!$A$1:$I$89,3,0)*VLOOKUP('Données projet'!$B$13,Paramètres!$A$1:$I$89,5,0)</f>
        <v>111.51503999999996</v>
      </c>
      <c r="CV60" s="14">
        <f t="shared" si="41"/>
        <v>29.687655136252104</v>
      </c>
      <c r="CW60" s="22">
        <f t="shared" si="13"/>
        <v>245.92802736230567</v>
      </c>
      <c r="CX60" s="60">
        <f t="shared" si="14"/>
        <v>539.26136069563904</v>
      </c>
      <c r="CY60" s="60">
        <f ca="1">AVERAGE(OFFSET($CX$3,0,0,'Données projet'!$E$13+1,1))-AVERAGE(OFFSET($H$3,0,0,'Données projet'!$E$13+1,1))</f>
        <v>280.20599015000306</v>
      </c>
      <c r="CZ60" s="60">
        <f t="shared" si="42"/>
        <v>166.97658184507787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5.2564102564102599</v>
      </c>
      <c r="DO60" s="13">
        <f>IF('Données projet'!$A$166&gt;35,DO59+DN60-DW59,IF(A60&lt;'Données projet'!$A$166,$DL$205^A60,IF(A60='Données projet'!$A$166,'Données projet'!$B$166,DO59+DN60-DW59)))</f>
        <v>197.05128205128193</v>
      </c>
      <c r="DP60" s="18">
        <f>DO60*VLOOKUP('Données projet'!$B$14,Paramètres!$A$1:$I$89,3,0)*VLOOKUP('Données projet'!$B$14,Paramètres!$A$1:$I$89,5,0)</f>
        <v>132.18199999999993</v>
      </c>
      <c r="DQ60" s="14">
        <f t="shared" si="43"/>
        <v>34.500065985258935</v>
      </c>
      <c r="DR60" s="22">
        <f t="shared" si="16"/>
        <v>290.30459825765917</v>
      </c>
      <c r="DS60" s="60">
        <f t="shared" si="17"/>
        <v>583.63793159099248</v>
      </c>
      <c r="DT60" s="60">
        <f ca="1">AVERAGE(OFFSET($DS$3,0,0,'Données projet'!$E$14+1,1))-AVERAGE(OFFSET($H$3,0,0,'Données projet'!$E$14+1,1))</f>
        <v>291.18686311753402</v>
      </c>
      <c r="DU60" s="60">
        <f t="shared" si="44"/>
        <v>215.44422413249839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4.2</v>
      </c>
      <c r="EJ60" s="13">
        <f>IF('Données projet'!$A$192&gt;35,EJ59+EI60-ER59,IF(A60&lt;'Données projet'!$A$192,$EG$205^A60,IF(A60='Données projet'!$A$192,'Données projet'!$B$192,EJ59+EI60-ER59)))</f>
        <v>147.39999999999995</v>
      </c>
      <c r="EK60" s="18">
        <f>EJ60*VLOOKUP('Données projet'!$B$15,Paramètres!$A$1:$I$89,3,0)*VLOOKUP('Données projet'!$B$15,Paramètres!$A$1:$I$89,5,0)</f>
        <v>119.57087999999997</v>
      </c>
      <c r="EL60" s="14">
        <f t="shared" si="45"/>
        <v>31.574893243250646</v>
      </c>
      <c r="EM60" s="22">
        <f t="shared" si="19"/>
        <v>263.24555506532818</v>
      </c>
      <c r="EN60" s="60">
        <f t="shared" si="20"/>
        <v>556.57888839866155</v>
      </c>
      <c r="EO60" s="60">
        <f ca="1">AVERAGE(OFFSET($EN$3,0,0,'Données projet'!$E$15+1,1))-AVERAGE(OFFSET($H$3,0,0,'Données projet'!$E$15+1,1))</f>
        <v>236.22643401787644</v>
      </c>
      <c r="EP60" s="60">
        <f t="shared" si="46"/>
        <v>188.80444043778022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8">
        <f t="shared" si="1"/>
        <v>256.66666666666669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0" t="e">
        <f t="shared" si="0"/>
        <v>#NUM!</v>
      </c>
      <c r="S61" s="60">
        <f ca="1">AVERAGE(OFFSET($R$3,0,0,'Données projet'!$E$9+1,1))-AVERAGE(OFFSET($H$3,0,0,'Données projet'!$E$9+1,1))</f>
        <v>144.55635559713392</v>
      </c>
      <c r="T61" s="60">
        <f t="shared" si="34"/>
        <v>349.14692715126904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35.002054819236996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1.3442784539214951E-5</v>
      </c>
      <c r="AC61" s="24">
        <f t="shared" si="3"/>
        <v>35.002068262021538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198.87503999999998</v>
      </c>
      <c r="AK61" s="14">
        <f t="shared" si="35"/>
        <v>49.496854461868558</v>
      </c>
      <c r="AL61" s="22">
        <f t="shared" si="4"/>
        <v>432.58104952108766</v>
      </c>
      <c r="AM61" s="60">
        <f t="shared" si="5"/>
        <v>725.91438285442098</v>
      </c>
      <c r="AN61" s="60">
        <f ca="1">AVERAGE(OFFSET($AM$3,0,0,'Données projet'!$E$10+1,1))-AVERAGE(OFFSET($H$3,0,0,'Données projet'!$E$10+1,1))</f>
        <v>428.8489304403459</v>
      </c>
      <c r="AO61" s="60">
        <f t="shared" si="36"/>
        <v>247.01165577562966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219.79999999999998</v>
      </c>
      <c r="BE61" s="14">
        <f>BD61*VLOOKUP('Données projet'!$B$11,Paramètres!$A$1:$I$89,3,0)*VLOOKUP('Données projet'!$B$11,Paramètres!$A$1:$I$89,5,0)</f>
        <v>222.87720000000002</v>
      </c>
      <c r="BF61" s="14">
        <f t="shared" si="37"/>
        <v>54.739757243913829</v>
      </c>
      <c r="BG61" s="22">
        <f t="shared" si="7"/>
        <v>483.51620053314986</v>
      </c>
      <c r="BH61" s="60">
        <f t="shared" si="8"/>
        <v>776.84953386648317</v>
      </c>
      <c r="BI61" s="60">
        <f ca="1">AVERAGE(OFFSET($BH$3,0,0,'Données projet'!$E$11+1,1))-AVERAGE(OFFSET($H$3,0,0,'Données projet'!$E$11+1,1))</f>
        <v>475.47920969424894</v>
      </c>
      <c r="BJ61" s="60">
        <f t="shared" si="38"/>
        <v>271.73544012419364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3.8</v>
      </c>
      <c r="BY61" s="13">
        <f>IF('Données projet'!$A$114&gt;35,BY60+BX61-CG60,IF(A61&lt;'Données projet'!$A$114,$BV$205^A61,IF(A61='Données projet'!$A$114,'Données projet'!$B$114,BY60+BX61-CG60)))</f>
        <v>107.39999999999996</v>
      </c>
      <c r="BZ61" s="14">
        <f>BY61*VLOOKUP('Données projet'!$B$12,Paramètres!$A$1:$I$89,3,0)*VLOOKUP('Données projet'!$B$12,Paramètres!$A$1:$I$89,5,0)</f>
        <v>103.87727999999997</v>
      </c>
      <c r="CA61" s="14">
        <f t="shared" si="39"/>
        <v>27.883651095560136</v>
      </c>
      <c r="CB61" s="22">
        <f t="shared" si="10"/>
        <v>229.48362165810047</v>
      </c>
      <c r="CC61" s="60">
        <f t="shared" si="11"/>
        <v>522.81695499143382</v>
      </c>
      <c r="CD61" s="60">
        <f ca="1">AVERAGE(OFFSET($CC$3,0,0,'Données projet'!$E$12+1,1))-AVERAGE(OFFSET($H$3,0,0,'Données projet'!$E$12+1,1))</f>
        <v>255.59755832175625</v>
      </c>
      <c r="CE61" s="60">
        <f t="shared" si="40"/>
        <v>154.0840647586964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3.8</v>
      </c>
      <c r="CT61" s="13">
        <f>IF('Données projet'!$A$140&gt;35,CT60+CS61-DB60,IF(A61&lt;'Données projet'!$A$140,$CQ$205^A61,IF(A61='Données projet'!$A$140,'Données projet'!$B$140,CT60+CS61-DB60)))</f>
        <v>107.39999999999996</v>
      </c>
      <c r="CU61" s="18">
        <f>CT61*VLOOKUP('Données projet'!$B$13,Paramètres!$A$1:$I$89,3,0)*VLOOKUP('Données projet'!$B$13,Paramètres!$A$1:$I$89,5,0)</f>
        <v>115.60535999999995</v>
      </c>
      <c r="CV61" s="14">
        <f t="shared" si="41"/>
        <v>30.647806681379965</v>
      </c>
      <c r="CW61" s="22">
        <f t="shared" si="13"/>
        <v>254.72426530340337</v>
      </c>
      <c r="CX61" s="60">
        <f t="shared" si="14"/>
        <v>548.05759863673666</v>
      </c>
      <c r="CY61" s="60">
        <f ca="1">AVERAGE(OFFSET($CX$3,0,0,'Données projet'!$E$13+1,1))-AVERAGE(OFFSET($H$3,0,0,'Données projet'!$E$13+1,1))</f>
        <v>280.20599015000306</v>
      </c>
      <c r="CZ61" s="60">
        <f t="shared" si="42"/>
        <v>166.97658184507787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5.2564102564102599</v>
      </c>
      <c r="DO61" s="13">
        <f>IF('Données projet'!$A$166&gt;35,DO60+DN61-DW60,IF(A61&lt;'Données projet'!$A$166,$DL$205^A61,IF(A61='Données projet'!$A$166,'Données projet'!$B$166,DO60+DN61-DW60)))</f>
        <v>202.30769230769218</v>
      </c>
      <c r="DP61" s="18">
        <f>DO61*VLOOKUP('Données projet'!$B$14,Paramètres!$A$1:$I$89,3,0)*VLOOKUP('Données projet'!$B$14,Paramètres!$A$1:$I$89,5,0)</f>
        <v>135.70799999999991</v>
      </c>
      <c r="DQ61" s="14">
        <f t="shared" si="43"/>
        <v>35.311993883566068</v>
      </c>
      <c r="DR61" s="22">
        <f t="shared" si="16"/>
        <v>297.85982268054408</v>
      </c>
      <c r="DS61" s="60">
        <f t="shared" si="17"/>
        <v>591.19315601387734</v>
      </c>
      <c r="DT61" s="60">
        <f ca="1">AVERAGE(OFFSET($DS$3,0,0,'Données projet'!$E$14+1,1))-AVERAGE(OFFSET($H$3,0,0,'Données projet'!$E$14+1,1))</f>
        <v>291.18686311753402</v>
      </c>
      <c r="DU61" s="60">
        <f t="shared" si="44"/>
        <v>215.44422413249839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4.2</v>
      </c>
      <c r="EJ61" s="13">
        <f>IF('Données projet'!$A$192&gt;35,EJ60+EI61-ER60,IF(A61&lt;'Données projet'!$A$192,$EG$205^A61,IF(A61='Données projet'!$A$192,'Données projet'!$B$192,EJ60+EI61-ER60)))</f>
        <v>151.59999999999994</v>
      </c>
      <c r="EK61" s="18">
        <f>EJ61*VLOOKUP('Données projet'!$B$15,Paramètres!$A$1:$I$89,3,0)*VLOOKUP('Données projet'!$B$15,Paramètres!$A$1:$I$89,5,0)</f>
        <v>122.97791999999995</v>
      </c>
      <c r="EL61" s="14">
        <f t="shared" si="45"/>
        <v>32.36855624133463</v>
      </c>
      <c r="EM61" s="22">
        <f t="shared" si="19"/>
        <v>270.56177945365772</v>
      </c>
      <c r="EN61" s="60">
        <f t="shared" si="20"/>
        <v>563.89511278699104</v>
      </c>
      <c r="EO61" s="60">
        <f ca="1">AVERAGE(OFFSET($EN$3,0,0,'Données projet'!$E$15+1,1))-AVERAGE(OFFSET($H$3,0,0,'Données projet'!$E$15+1,1))</f>
        <v>236.22643401787644</v>
      </c>
      <c r="EP61" s="60">
        <f t="shared" si="46"/>
        <v>188.80444043778022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8">
        <f t="shared" si="1"/>
        <v>256.66666666666669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0" t="e">
        <f t="shared" si="0"/>
        <v>#NUM!</v>
      </c>
      <c r="S62" s="60">
        <f ca="1">AVERAGE(OFFSET($R$3,0,0,'Données projet'!$E$9+1,1))-AVERAGE(OFFSET($H$3,0,0,'Données projet'!$E$9+1,1))</f>
        <v>144.55635559713392</v>
      </c>
      <c r="T62" s="60">
        <f t="shared" si="34"/>
        <v>349.14692715126904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34.315685873377141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9.5054841057085703E-6</v>
      </c>
      <c r="AC62" s="24">
        <f t="shared" si="3"/>
        <v>34.31569537886125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205.75151999999994</v>
      </c>
      <c r="AK62" s="14">
        <f t="shared" si="35"/>
        <v>51.006084477955554</v>
      </c>
      <c r="AL62" s="22">
        <f t="shared" si="4"/>
        <v>447.18616113243911</v>
      </c>
      <c r="AM62" s="60">
        <f t="shared" si="5"/>
        <v>740.51949446577237</v>
      </c>
      <c r="AN62" s="60">
        <f ca="1">AVERAGE(OFFSET($AM$3,0,0,'Données projet'!$E$10+1,1))-AVERAGE(OFFSET($H$3,0,0,'Données projet'!$E$10+1,1))</f>
        <v>428.8489304403459</v>
      </c>
      <c r="AO62" s="60">
        <f t="shared" si="36"/>
        <v>247.01165577562966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227.39999999999998</v>
      </c>
      <c r="BE62" s="14">
        <f>BD62*VLOOKUP('Données projet'!$B$11,Paramètres!$A$1:$I$89,3,0)*VLOOKUP('Données projet'!$B$11,Paramètres!$A$1:$I$89,5,0)</f>
        <v>230.58360000000002</v>
      </c>
      <c r="BF62" s="14">
        <f t="shared" si="37"/>
        <v>56.408850878327968</v>
      </c>
      <c r="BG62" s="22">
        <f t="shared" si="7"/>
        <v>499.8451852797545</v>
      </c>
      <c r="BH62" s="60">
        <f t="shared" si="8"/>
        <v>793.17851861308782</v>
      </c>
      <c r="BI62" s="60">
        <f ca="1">AVERAGE(OFFSET($BH$3,0,0,'Données projet'!$E$11+1,1))-AVERAGE(OFFSET($H$3,0,0,'Données projet'!$E$11+1,1))</f>
        <v>475.47920969424894</v>
      </c>
      <c r="BJ62" s="60">
        <f t="shared" si="38"/>
        <v>271.73544012419364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3.8</v>
      </c>
      <c r="BY62" s="13">
        <f>IF('Données projet'!$A$114&gt;35,BY61+BX62-CG61,IF(A62&lt;'Données projet'!$A$114,$BV$205^A62,IF(A62='Données projet'!$A$114,'Données projet'!$B$114,BY61+BX62-CG61)))</f>
        <v>111.19999999999996</v>
      </c>
      <c r="BZ62" s="14">
        <f>BY62*VLOOKUP('Données projet'!$B$12,Paramètres!$A$1:$I$89,3,0)*VLOOKUP('Données projet'!$B$12,Paramètres!$A$1:$I$89,5,0)</f>
        <v>107.55263999999997</v>
      </c>
      <c r="CA62" s="14">
        <f t="shared" si="39"/>
        <v>28.753614564587743</v>
      </c>
      <c r="CB62" s="22">
        <f t="shared" si="10"/>
        <v>237.40006003332357</v>
      </c>
      <c r="CC62" s="60">
        <f t="shared" si="11"/>
        <v>530.73339336665686</v>
      </c>
      <c r="CD62" s="60">
        <f ca="1">AVERAGE(OFFSET($CC$3,0,0,'Données projet'!$E$12+1,1))-AVERAGE(OFFSET($H$3,0,0,'Données projet'!$E$12+1,1))</f>
        <v>255.59755832175625</v>
      </c>
      <c r="CE62" s="60">
        <f t="shared" si="40"/>
        <v>154.0840647586964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3.8</v>
      </c>
      <c r="CT62" s="13">
        <f>IF('Données projet'!$A$140&gt;35,CT61+CS62-DB61,IF(A62&lt;'Données projet'!$A$140,$CQ$205^A62,IF(A62='Données projet'!$A$140,'Données projet'!$B$140,CT61+CS62-DB61)))</f>
        <v>111.19999999999996</v>
      </c>
      <c r="CU62" s="18">
        <f>CT62*VLOOKUP('Données projet'!$B$13,Paramètres!$A$1:$I$89,3,0)*VLOOKUP('Données projet'!$B$13,Paramètres!$A$1:$I$89,5,0)</f>
        <v>119.69567999999995</v>
      </c>
      <c r="CV62" s="14">
        <f t="shared" si="41"/>
        <v>31.604011165765666</v>
      </c>
      <c r="CW62" s="22">
        <f t="shared" si="13"/>
        <v>263.51362878037509</v>
      </c>
      <c r="CX62" s="60">
        <f t="shared" si="14"/>
        <v>556.8469621137084</v>
      </c>
      <c r="CY62" s="60">
        <f ca="1">AVERAGE(OFFSET($CX$3,0,0,'Données projet'!$E$13+1,1))-AVERAGE(OFFSET($H$3,0,0,'Données projet'!$E$13+1,1))</f>
        <v>280.20599015000306</v>
      </c>
      <c r="CZ62" s="60">
        <f t="shared" si="42"/>
        <v>166.97658184507787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5.2564102564102599</v>
      </c>
      <c r="DO62" s="13">
        <f>IF('Données projet'!$A$166&gt;35,DO61+DN62-DW61,IF(A62&lt;'Données projet'!$A$166,$DL$205^A62,IF(A62='Données projet'!$A$166,'Données projet'!$B$166,DO61+DN62-DW61)))</f>
        <v>207.56410256410243</v>
      </c>
      <c r="DP62" s="18">
        <f>DO62*VLOOKUP('Données projet'!$B$14,Paramètres!$A$1:$I$89,3,0)*VLOOKUP('Données projet'!$B$14,Paramètres!$A$1:$I$89,5,0)</f>
        <v>139.2339999999999</v>
      </c>
      <c r="DQ62" s="14">
        <f t="shared" si="43"/>
        <v>36.12146965812709</v>
      </c>
      <c r="DR62" s="22">
        <f t="shared" si="16"/>
        <v>305.41077632123785</v>
      </c>
      <c r="DS62" s="60">
        <f t="shared" si="17"/>
        <v>598.74410965457116</v>
      </c>
      <c r="DT62" s="60">
        <f ca="1">AVERAGE(OFFSET($DS$3,0,0,'Données projet'!$E$14+1,1))-AVERAGE(OFFSET($H$3,0,0,'Données projet'!$E$14+1,1))</f>
        <v>291.18686311753402</v>
      </c>
      <c r="DU62" s="60">
        <f t="shared" si="44"/>
        <v>215.44422413249839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4.2</v>
      </c>
      <c r="EJ62" s="13">
        <f>IF('Données projet'!$A$192&gt;35,EJ61+EI62-ER61,IF(A62&lt;'Données projet'!$A$192,$EG$205^A62,IF(A62='Données projet'!$A$192,'Données projet'!$B$192,EJ61+EI62-ER61)))</f>
        <v>155.79999999999993</v>
      </c>
      <c r="EK62" s="18">
        <f>EJ62*VLOOKUP('Données projet'!$B$15,Paramètres!$A$1:$I$89,3,0)*VLOOKUP('Données projet'!$B$15,Paramètres!$A$1:$I$89,5,0)</f>
        <v>126.38495999999995</v>
      </c>
      <c r="EL62" s="14">
        <f t="shared" si="45"/>
        <v>33.15966361020606</v>
      </c>
      <c r="EM62" s="22">
        <f t="shared" si="19"/>
        <v>277.87355278777545</v>
      </c>
      <c r="EN62" s="60">
        <f t="shared" si="20"/>
        <v>571.20688612110871</v>
      </c>
      <c r="EO62" s="60">
        <f ca="1">AVERAGE(OFFSET($EN$3,0,0,'Données projet'!$E$15+1,1))-AVERAGE(OFFSET($H$3,0,0,'Données projet'!$E$15+1,1))</f>
        <v>236.22643401787644</v>
      </c>
      <c r="EP62" s="60">
        <f t="shared" si="46"/>
        <v>188.80444043778022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8">
        <f t="shared" si="1"/>
        <v>256.66666666666669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0" t="e">
        <f t="shared" si="0"/>
        <v>#NUM!</v>
      </c>
      <c r="S63" s="60">
        <f ca="1">AVERAGE(OFFSET($R$3,0,0,'Données projet'!$E$9+1,1))-AVERAGE(OFFSET($H$3,0,0,'Données projet'!$E$9+1,1))</f>
        <v>144.55635559713392</v>
      </c>
      <c r="T63" s="60">
        <f t="shared" si="34"/>
        <v>349.14692715126904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33.642776203901882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6.7213922696074755E-6</v>
      </c>
      <c r="AC63" s="24">
        <f t="shared" si="3"/>
        <v>33.642782925294149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212.62799999999999</v>
      </c>
      <c r="AK63" s="14">
        <f t="shared" si="35"/>
        <v>52.509453483719035</v>
      </c>
      <c r="AL63" s="22">
        <f t="shared" si="4"/>
        <v>461.78106481747727</v>
      </c>
      <c r="AM63" s="60">
        <f t="shared" si="5"/>
        <v>755.11439815081053</v>
      </c>
      <c r="AN63" s="60">
        <f ca="1">AVERAGE(OFFSET($AM$3,0,0,'Données projet'!$E$10+1,1))-AVERAGE(OFFSET($H$3,0,0,'Données projet'!$E$10+1,1))</f>
        <v>428.8489304403459</v>
      </c>
      <c r="AO63" s="60">
        <f t="shared" si="36"/>
        <v>247.01165577562966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235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234.99999999999997</v>
      </c>
      <c r="BE63" s="14">
        <f>BD63*VLOOKUP('Données projet'!$B$11,Paramètres!$A$1:$I$89,3,0)*VLOOKUP('Données projet'!$B$11,Paramètres!$A$1:$I$89,5,0)</f>
        <v>238.29000000000002</v>
      </c>
      <c r="BF63" s="14">
        <f t="shared" si="37"/>
        <v>58.071462681001513</v>
      </c>
      <c r="BG63" s="22">
        <f t="shared" si="7"/>
        <v>516.16288083607753</v>
      </c>
      <c r="BH63" s="60">
        <f t="shared" si="8"/>
        <v>809.49621416941091</v>
      </c>
      <c r="BI63" s="60">
        <f ca="1">AVERAGE(OFFSET($BH$3,0,0,'Données projet'!$E$11+1,1))-AVERAGE(OFFSET($H$3,0,0,'Données projet'!$E$11+1,1))</f>
        <v>475.47920969424894</v>
      </c>
      <c r="BJ63" s="60">
        <f t="shared" si="38"/>
        <v>271.73544012419364</v>
      </c>
      <c r="BK63" s="16">
        <f>IF(ISNA(VLOOKUP(A63,'Données projet'!$A$87:$I$107,3,0)),0,VLOOKUP(A63,'Données projet'!$A$87:$I$107,3,0))</f>
        <v>4</v>
      </c>
      <c r="BL63" s="16">
        <f>IF(ISNA(VLOOKUP(A63,'Données projet'!$A$87:$I$107,4,0)),0,VLOOKUP(A63,'Données projet'!$A$87:$I$107,4,0))</f>
        <v>42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115</v>
      </c>
      <c r="BW63" s="13">
        <f>VLOOKUP(A63,'Données projet'!$A$113:$I$133,9,0)</f>
        <v>3.8</v>
      </c>
      <c r="BX63" s="13">
        <f t="array" ref="BX63">INDEX(BW:BW,MIN(IF(ISNUMBER(BW63:BW259),ROW(BW63:BW259),"")))</f>
        <v>3.8</v>
      </c>
      <c r="BY63" s="13">
        <f>IF('Données projet'!$A$114&gt;35,BY62+BX63-CG62,IF(A63&lt;'Données projet'!$A$114,$BV$205^A63,IF(A63='Données projet'!$A$114,'Données projet'!$B$114,BY62+BX63-CG62)))</f>
        <v>114.99999999999996</v>
      </c>
      <c r="BZ63" s="14">
        <f>BY63*VLOOKUP('Données projet'!$B$12,Paramètres!$A$1:$I$89,3,0)*VLOOKUP('Données projet'!$B$12,Paramètres!$A$1:$I$89,5,0)</f>
        <v>111.22799999999995</v>
      </c>
      <c r="CA63" s="14">
        <f t="shared" si="39"/>
        <v>29.620123744783804</v>
      </c>
      <c r="CB63" s="22">
        <f t="shared" si="10"/>
        <v>245.31048218883168</v>
      </c>
      <c r="CC63" s="60">
        <f t="shared" si="11"/>
        <v>538.64381552216503</v>
      </c>
      <c r="CD63" s="60">
        <f ca="1">AVERAGE(OFFSET($CC$3,0,0,'Données projet'!$E$12+1,1))-AVERAGE(OFFSET($H$3,0,0,'Données projet'!$E$12+1,1))</f>
        <v>255.59755832175625</v>
      </c>
      <c r="CE63" s="60">
        <f t="shared" si="40"/>
        <v>154.0840647586964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115</v>
      </c>
      <c r="CR63" s="13">
        <f>VLOOKUP(A63,'Données projet'!$A$139:$I$159,9,0)</f>
        <v>3.8</v>
      </c>
      <c r="CS63" s="13">
        <f t="array" ref="CS63">INDEX(CR:CR,MIN(IF(ISNUMBER(CR63:CR259),ROW(CR63:CR259),"")))</f>
        <v>3.8</v>
      </c>
      <c r="CT63" s="13">
        <f>IF('Données projet'!$A$140&gt;35,CT62+CS63-DB62,IF(A63&lt;'Données projet'!$A$140,$CQ$205^A63,IF(A63='Données projet'!$A$140,'Données projet'!$B$140,CT62+CS63-DB62)))</f>
        <v>114.99999999999996</v>
      </c>
      <c r="CU63" s="18">
        <f>CT63*VLOOKUP('Données projet'!$B$13,Paramètres!$A$1:$I$89,3,0)*VLOOKUP('Données projet'!$B$13,Paramètres!$A$1:$I$89,5,0)</f>
        <v>123.78599999999994</v>
      </c>
      <c r="CV63" s="14">
        <f t="shared" si="41"/>
        <v>32.556418931566412</v>
      </c>
      <c r="CW63" s="22">
        <f t="shared" si="13"/>
        <v>272.29637963914473</v>
      </c>
      <c r="CX63" s="60">
        <f t="shared" si="14"/>
        <v>565.62971297247805</v>
      </c>
      <c r="CY63" s="60">
        <f ca="1">AVERAGE(OFFSET($CX$3,0,0,'Données projet'!$E$13+1,1))-AVERAGE(OFFSET($H$3,0,0,'Données projet'!$E$13+1,1))</f>
        <v>280.20599015000306</v>
      </c>
      <c r="CZ63" s="60">
        <f t="shared" si="42"/>
        <v>166.97658184507787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212.82051282051282</v>
      </c>
      <c r="DM63" s="13">
        <f>VLOOKUP(A63,'Données projet'!$A$165:$I$185,9,0)</f>
        <v>5.2564102564102599</v>
      </c>
      <c r="DN63" s="13">
        <f t="array" ref="DN63">INDEX(DM:DM,MIN(IF(ISNUMBER(DM63:DM259),ROW(DM63:DM259),"")))</f>
        <v>5.2564102564102599</v>
      </c>
      <c r="DO63" s="13">
        <f>IF('Données projet'!$A$166&gt;35,DO62+DN63-DW62,IF(A63&lt;'Données projet'!$A$166,$DL$205^A63,IF(A63='Données projet'!$A$166,'Données projet'!$B$166,DO62+DN63-DW62)))</f>
        <v>212.82051282051268</v>
      </c>
      <c r="DP63" s="18">
        <f>DO63*VLOOKUP('Données projet'!$B$14,Paramètres!$A$1:$I$89,3,0)*VLOOKUP('Données projet'!$B$14,Paramètres!$A$1:$I$89,5,0)</f>
        <v>142.75999999999991</v>
      </c>
      <c r="DQ63" s="14">
        <f t="shared" si="43"/>
        <v>36.928562548329118</v>
      </c>
      <c r="DR63" s="22">
        <f t="shared" si="16"/>
        <v>312.95757977167301</v>
      </c>
      <c r="DS63" s="60">
        <f t="shared" si="17"/>
        <v>606.29091310500633</v>
      </c>
      <c r="DT63" s="60">
        <f ca="1">AVERAGE(OFFSET($DS$3,0,0,'Données projet'!$E$14+1,1))-AVERAGE(OFFSET($H$3,0,0,'Données projet'!$E$14+1,1))</f>
        <v>291.18686311753402</v>
      </c>
      <c r="DU63" s="60">
        <f t="shared" si="44"/>
        <v>215.44422413249839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160</v>
      </c>
      <c r="EH63" s="13">
        <f>VLOOKUP(A63,'Données projet'!$A$191:$I$211,9,0)</f>
        <v>4.2</v>
      </c>
      <c r="EI63" s="13">
        <f t="array" ref="EI63">INDEX(EH:EH,MIN(IF(ISNUMBER(EH63:EH259),ROW(EH63:EH259),"")))</f>
        <v>4.2</v>
      </c>
      <c r="EJ63" s="13">
        <f>IF('Données projet'!$A$192&gt;35,EJ62+EI63-ER62,IF(A63&lt;'Données projet'!$A$192,$EG$205^A63,IF(A63='Données projet'!$A$192,'Données projet'!$B$192,EJ62+EI63-ER62)))</f>
        <v>159.99999999999991</v>
      </c>
      <c r="EK63" s="18">
        <f>EJ63*VLOOKUP('Données projet'!$B$15,Paramètres!$A$1:$I$89,3,0)*VLOOKUP('Données projet'!$B$15,Paramètres!$A$1:$I$89,5,0)</f>
        <v>129.79199999999994</v>
      </c>
      <c r="EL63" s="14">
        <f t="shared" si="45"/>
        <v>33.948292161114985</v>
      </c>
      <c r="EM63" s="22">
        <f t="shared" si="19"/>
        <v>285.18100884727511</v>
      </c>
      <c r="EN63" s="60">
        <f t="shared" si="20"/>
        <v>578.51434218060842</v>
      </c>
      <c r="EO63" s="60">
        <f ca="1">AVERAGE(OFFSET($EN$3,0,0,'Données projet'!$E$15+1,1))-AVERAGE(OFFSET($H$3,0,0,'Données projet'!$E$15+1,1))</f>
        <v>236.22643401787644</v>
      </c>
      <c r="EP63" s="60">
        <f t="shared" si="46"/>
        <v>188.80444043778022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8">
        <f t="shared" si="1"/>
        <v>256.66666666666669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0" t="e">
        <f t="shared" si="0"/>
        <v>#NUM!</v>
      </c>
      <c r="S64" s="60">
        <f ca="1">AVERAGE(OFFSET($R$3,0,0,'Données projet'!$E$9+1,1))-AVERAGE(OFFSET($H$3,0,0,'Données projet'!$E$9+1,1))</f>
        <v>144.55635559713392</v>
      </c>
      <c r="T64" s="60">
        <f t="shared" si="34"/>
        <v>349.14692715126904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32.983061882610663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4.7527420528542851E-6</v>
      </c>
      <c r="AC64" s="24">
        <f t="shared" si="3"/>
        <v>32.983066635352714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181.14095999999995</v>
      </c>
      <c r="AK64" s="14">
        <f t="shared" si="35"/>
        <v>45.575935320610945</v>
      </c>
      <c r="AL64" s="22">
        <f t="shared" si="4"/>
        <v>394.86525935006392</v>
      </c>
      <c r="AM64" s="60">
        <f t="shared" si="5"/>
        <v>688.19859268339724</v>
      </c>
      <c r="AN64" s="60">
        <f ca="1">AVERAGE(OFFSET($AM$3,0,0,'Données projet'!$E$10+1,1))-AVERAGE(OFFSET($H$3,0,0,'Données projet'!$E$10+1,1))</f>
        <v>428.8489304403459</v>
      </c>
      <c r="AO64" s="60">
        <f t="shared" si="36"/>
        <v>247.01165577562966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projet'!$B$11,Paramètres!$A$1:$I$89,3,0)*VLOOKUP('Données projet'!$B$11,Paramètres!$A$1:$I$89,5,0)</f>
        <v>203.00279999999995</v>
      </c>
      <c r="BF64" s="14">
        <f t="shared" si="37"/>
        <v>50.403518824343074</v>
      </c>
      <c r="BG64" s="22">
        <f t="shared" si="7"/>
        <v>441.3493386190641</v>
      </c>
      <c r="BH64" s="60">
        <f t="shared" si="8"/>
        <v>734.68267195239741</v>
      </c>
      <c r="BI64" s="60">
        <f ca="1">AVERAGE(OFFSET($BH$3,0,0,'Données projet'!$E$11+1,1))-AVERAGE(OFFSET($H$3,0,0,'Données projet'!$E$11+1,1))</f>
        <v>475.47920969424894</v>
      </c>
      <c r="BJ64" s="60">
        <f t="shared" si="38"/>
        <v>271.73544012419364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3.8</v>
      </c>
      <c r="BY64" s="13">
        <f>IF('Données projet'!$A$114&gt;35,BY63+BX64-CG63,IF(A64&lt;'Données projet'!$A$114,$BV$205^A64,IF(A64='Données projet'!$A$114,'Données projet'!$B$114,BY63+BX64-CG63)))</f>
        <v>118.79999999999995</v>
      </c>
      <c r="BZ64" s="14">
        <f>BY64*VLOOKUP('Données projet'!$B$12,Paramètres!$A$1:$I$89,3,0)*VLOOKUP('Données projet'!$B$12,Paramètres!$A$1:$I$89,5,0)</f>
        <v>114.90335999999996</v>
      </c>
      <c r="CA64" s="14">
        <f t="shared" si="39"/>
        <v>30.483305866236858</v>
      </c>
      <c r="CB64" s="22">
        <f t="shared" si="10"/>
        <v>253.21510971702909</v>
      </c>
      <c r="CC64" s="60">
        <f t="shared" si="11"/>
        <v>546.54844305036238</v>
      </c>
      <c r="CD64" s="60">
        <f ca="1">AVERAGE(OFFSET($CC$3,0,0,'Données projet'!$E$12+1,1))-AVERAGE(OFFSET($H$3,0,0,'Données projet'!$E$12+1,1))</f>
        <v>255.59755832175625</v>
      </c>
      <c r="CE64" s="60">
        <f t="shared" si="40"/>
        <v>154.0840647586964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3.8</v>
      </c>
      <c r="CT64" s="13">
        <f>IF('Données projet'!$A$140&gt;35,CT63+CS64-DB63,IF(A64&lt;'Données projet'!$A$140,$CQ$205^A64,IF(A64='Données projet'!$A$140,'Données projet'!$B$140,CT63+CS64-DB63)))</f>
        <v>118.79999999999995</v>
      </c>
      <c r="CU64" s="18">
        <f>CT64*VLOOKUP('Données projet'!$B$13,Paramètres!$A$1:$I$89,3,0)*VLOOKUP('Données projet'!$B$13,Paramètres!$A$1:$I$89,5,0)</f>
        <v>127.87631999999995</v>
      </c>
      <c r="CV64" s="14">
        <f t="shared" si="41"/>
        <v>33.505169821414185</v>
      </c>
      <c r="CW64" s="22">
        <f t="shared" si="13"/>
        <v>281.07276143896291</v>
      </c>
      <c r="CX64" s="60">
        <f t="shared" si="14"/>
        <v>574.40609477229623</v>
      </c>
      <c r="CY64" s="60">
        <f ca="1">AVERAGE(OFFSET($CX$3,0,0,'Données projet'!$E$13+1,1))-AVERAGE(OFFSET($H$3,0,0,'Données projet'!$E$13+1,1))</f>
        <v>280.20599015000306</v>
      </c>
      <c r="CZ64" s="60">
        <f t="shared" si="42"/>
        <v>166.97658184507787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4.7435897435897401</v>
      </c>
      <c r="DO64" s="13">
        <f>IF('Données projet'!$A$166&gt;35,DO63+DN64-DW63,IF(A64&lt;'Données projet'!$A$166,$DL$205^A64,IF(A64='Données projet'!$A$166,'Données projet'!$B$166,DO63+DN64-DW63)))</f>
        <v>217.56410256410243</v>
      </c>
      <c r="DP64" s="18">
        <f>DO64*VLOOKUP('Données projet'!$B$14,Paramètres!$A$1:$I$89,3,0)*VLOOKUP('Données projet'!$B$14,Paramètres!$A$1:$I$89,5,0)</f>
        <v>145.94199999999992</v>
      </c>
      <c r="DQ64" s="14">
        <f t="shared" si="43"/>
        <v>37.654923728693518</v>
      </c>
      <c r="DR64" s="22">
        <f t="shared" si="16"/>
        <v>319.76464216080774</v>
      </c>
      <c r="DS64" s="60">
        <f t="shared" si="17"/>
        <v>613.09797549414111</v>
      </c>
      <c r="DT64" s="60">
        <f ca="1">AVERAGE(OFFSET($DS$3,0,0,'Données projet'!$E$14+1,1))-AVERAGE(OFFSET($H$3,0,0,'Données projet'!$E$14+1,1))</f>
        <v>291.18686311753402</v>
      </c>
      <c r="DU64" s="60">
        <f t="shared" si="44"/>
        <v>215.44422413249839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4</v>
      </c>
      <c r="EJ64" s="13">
        <f>IF('Données projet'!$A$192&gt;35,EJ63+EI64-ER63,IF(A64&lt;'Données projet'!$A$192,$EG$205^A64,IF(A64='Données projet'!$A$192,'Données projet'!$B$192,EJ63+EI64-ER63)))</f>
        <v>163.99999999999991</v>
      </c>
      <c r="EK64" s="18">
        <f>EJ64*VLOOKUP('Données projet'!$B$15,Paramètres!$A$1:$I$89,3,0)*VLOOKUP('Données projet'!$B$15,Paramètres!$A$1:$I$89,5,0)</f>
        <v>133.03679999999994</v>
      </c>
      <c r="EL64" s="14">
        <f t="shared" si="45"/>
        <v>34.697128823525233</v>
      </c>
      <c r="EM64" s="22">
        <f t="shared" si="19"/>
        <v>292.13659270097298</v>
      </c>
      <c r="EN64" s="60">
        <f t="shared" si="20"/>
        <v>585.46992603430635</v>
      </c>
      <c r="EO64" s="60">
        <f ca="1">AVERAGE(OFFSET($EN$3,0,0,'Données projet'!$E$15+1,1))-AVERAGE(OFFSET($H$3,0,0,'Données projet'!$E$15+1,1))</f>
        <v>236.22643401787644</v>
      </c>
      <c r="EP64" s="60">
        <f t="shared" si="46"/>
        <v>188.80444043778022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8">
        <f t="shared" si="1"/>
        <v>256.66666666666669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0" t="e">
        <f t="shared" si="0"/>
        <v>#NUM!</v>
      </c>
      <c r="S65" s="60">
        <f ca="1">AVERAGE(OFFSET($R$3,0,0,'Données projet'!$E$9+1,1))-AVERAGE(OFFSET($H$3,0,0,'Données projet'!$E$9+1,1))</f>
        <v>144.55635559713392</v>
      </c>
      <c r="T65" s="60">
        <f t="shared" si="34"/>
        <v>349.14692715126904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32.336284156773964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3.3606961348037377E-6</v>
      </c>
      <c r="AC65" s="24">
        <f t="shared" si="3"/>
        <v>32.336287517470097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187.65551999999994</v>
      </c>
      <c r="AK65" s="14">
        <f t="shared" si="35"/>
        <v>47.021247649900147</v>
      </c>
      <c r="AL65" s="22">
        <f t="shared" si="4"/>
        <v>408.72870365690932</v>
      </c>
      <c r="AM65" s="60">
        <f t="shared" si="5"/>
        <v>702.06203699024263</v>
      </c>
      <c r="AN65" s="60">
        <f ca="1">AVERAGE(OFFSET($AM$3,0,0,'Données projet'!$E$10+1,1))-AVERAGE(OFFSET($H$3,0,0,'Données projet'!$E$10+1,1))</f>
        <v>428.8489304403459</v>
      </c>
      <c r="AO65" s="60">
        <f t="shared" si="36"/>
        <v>247.01165577562966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projet'!$B$11,Paramètres!$A$1:$I$89,3,0)*VLOOKUP('Données projet'!$B$11,Paramètres!$A$1:$I$89,5,0)</f>
        <v>210.30359999999996</v>
      </c>
      <c r="BF65" s="14">
        <f t="shared" si="37"/>
        <v>52.001924357524459</v>
      </c>
      <c r="BG65" s="22">
        <f t="shared" si="7"/>
        <v>456.84878825602163</v>
      </c>
      <c r="BH65" s="60">
        <f t="shared" si="8"/>
        <v>750.18212158935489</v>
      </c>
      <c r="BI65" s="60">
        <f ca="1">AVERAGE(OFFSET($BH$3,0,0,'Données projet'!$E$11+1,1))-AVERAGE(OFFSET($H$3,0,0,'Données projet'!$E$11+1,1))</f>
        <v>475.47920969424894</v>
      </c>
      <c r="BJ65" s="60">
        <f t="shared" si="38"/>
        <v>271.73544012419364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3.8</v>
      </c>
      <c r="BY65" s="13">
        <f>IF('Données projet'!$A$114&gt;35,BY64+BX65-CG64,IF(A65&lt;'Données projet'!$A$114,$BV$205^A65,IF(A65='Données projet'!$A$114,'Données projet'!$B$114,BY64+BX65-CG64)))</f>
        <v>122.59999999999995</v>
      </c>
      <c r="BZ65" s="14">
        <f>BY65*VLOOKUP('Données projet'!$B$12,Paramètres!$A$1:$I$89,3,0)*VLOOKUP('Données projet'!$B$12,Paramètres!$A$1:$I$89,5,0)</f>
        <v>118.57871999999996</v>
      </c>
      <c r="CA65" s="14">
        <f t="shared" si="39"/>
        <v>31.343279557590108</v>
      </c>
      <c r="CB65" s="22">
        <f t="shared" si="10"/>
        <v>261.11414922946938</v>
      </c>
      <c r="CC65" s="60">
        <f t="shared" si="11"/>
        <v>554.44748256280263</v>
      </c>
      <c r="CD65" s="60">
        <f ca="1">AVERAGE(OFFSET($CC$3,0,0,'Données projet'!$E$12+1,1))-AVERAGE(OFFSET($H$3,0,0,'Données projet'!$E$12+1,1))</f>
        <v>255.59755832175625</v>
      </c>
      <c r="CE65" s="60">
        <f t="shared" si="40"/>
        <v>154.0840647586964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3.8</v>
      </c>
      <c r="CT65" s="13">
        <f>IF('Données projet'!$A$140&gt;35,CT64+CS65-DB64,IF(A65&lt;'Données projet'!$A$140,$CQ$205^A65,IF(A65='Données projet'!$A$140,'Données projet'!$B$140,CT64+CS65-DB64)))</f>
        <v>122.59999999999995</v>
      </c>
      <c r="CU65" s="18">
        <f>CT65*VLOOKUP('Données projet'!$B$13,Paramètres!$A$1:$I$89,3,0)*VLOOKUP('Données projet'!$B$13,Paramètres!$A$1:$I$89,5,0)</f>
        <v>131.96663999999996</v>
      </c>
      <c r="CV65" s="14">
        <f t="shared" si="41"/>
        <v>34.450394223819067</v>
      </c>
      <c r="CW65" s="22">
        <f t="shared" si="13"/>
        <v>289.84300127315146</v>
      </c>
      <c r="CX65" s="60">
        <f t="shared" si="14"/>
        <v>583.17633460648472</v>
      </c>
      <c r="CY65" s="60">
        <f ca="1">AVERAGE(OFFSET($CX$3,0,0,'Données projet'!$E$13+1,1))-AVERAGE(OFFSET($H$3,0,0,'Données projet'!$E$13+1,1))</f>
        <v>280.20599015000306</v>
      </c>
      <c r="CZ65" s="60">
        <f t="shared" si="42"/>
        <v>166.97658184507787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4.7435897435897401</v>
      </c>
      <c r="DO65" s="13">
        <f>IF('Données projet'!$A$166&gt;35,DO64+DN65-DW64,IF(A65&lt;'Données projet'!$A$166,$DL$205^A65,IF(A65='Données projet'!$A$166,'Données projet'!$B$166,DO64+DN65-DW64)))</f>
        <v>222.30769230769218</v>
      </c>
      <c r="DP65" s="18">
        <f>DO65*VLOOKUP('Données projet'!$B$14,Paramètres!$A$1:$I$89,3,0)*VLOOKUP('Données projet'!$B$14,Paramètres!$A$1:$I$89,5,0)</f>
        <v>149.12399999999994</v>
      </c>
      <c r="DQ65" s="14">
        <f t="shared" si="43"/>
        <v>38.379443667029371</v>
      </c>
      <c r="DR65" s="22">
        <f t="shared" si="16"/>
        <v>326.56849772007598</v>
      </c>
      <c r="DS65" s="60">
        <f t="shared" si="17"/>
        <v>619.9018310534093</v>
      </c>
      <c r="DT65" s="60">
        <f ca="1">AVERAGE(OFFSET($DS$3,0,0,'Données projet'!$E$14+1,1))-AVERAGE(OFFSET($H$3,0,0,'Données projet'!$E$14+1,1))</f>
        <v>291.18686311753402</v>
      </c>
      <c r="DU65" s="60">
        <f t="shared" si="44"/>
        <v>215.44422413249839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4</v>
      </c>
      <c r="EJ65" s="13">
        <f>IF('Données projet'!$A$192&gt;35,EJ64+EI65-ER64,IF(A65&lt;'Données projet'!$A$192,$EG$205^A65,IF(A65='Données projet'!$A$192,'Données projet'!$B$192,EJ64+EI65-ER64)))</f>
        <v>167.99999999999991</v>
      </c>
      <c r="EK65" s="18">
        <f>EJ65*VLOOKUP('Données projet'!$B$15,Paramètres!$A$1:$I$89,3,0)*VLOOKUP('Données projet'!$B$15,Paramètres!$A$1:$I$89,5,0)</f>
        <v>136.28159999999994</v>
      </c>
      <c r="EL65" s="14">
        <f t="shared" si="45"/>
        <v>35.443842312892279</v>
      </c>
      <c r="EM65" s="22">
        <f t="shared" si="19"/>
        <v>299.08847869495395</v>
      </c>
      <c r="EN65" s="60">
        <f t="shared" si="20"/>
        <v>592.42181202828726</v>
      </c>
      <c r="EO65" s="60">
        <f ca="1">AVERAGE(OFFSET($EN$3,0,0,'Données projet'!$E$15+1,1))-AVERAGE(OFFSET($H$3,0,0,'Données projet'!$E$15+1,1))</f>
        <v>236.22643401787644</v>
      </c>
      <c r="EP65" s="60">
        <f t="shared" si="46"/>
        <v>188.80444043778022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8">
        <f t="shared" si="1"/>
        <v>256.66666666666669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0" t="e">
        <f t="shared" si="0"/>
        <v>#NUM!</v>
      </c>
      <c r="S66" s="60">
        <f ca="1">AVERAGE(OFFSET($R$3,0,0,'Données projet'!$E$9+1,1))-AVERAGE(OFFSET($H$3,0,0,'Données projet'!$E$9+1,1))</f>
        <v>144.55635559713392</v>
      </c>
      <c r="T66" s="60">
        <f t="shared" si="34"/>
        <v>349.14692715126904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31.702189347645458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2.3763710264271426E-6</v>
      </c>
      <c r="AC66" s="24">
        <f t="shared" si="3"/>
        <v>31.702191724016483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194.17007999999996</v>
      </c>
      <c r="AK66" s="14">
        <f t="shared" si="35"/>
        <v>48.460730182351035</v>
      </c>
      <c r="AL66" s="22">
        <f t="shared" si="4"/>
        <v>422.5819944009279</v>
      </c>
      <c r="AM66" s="60">
        <f t="shared" si="5"/>
        <v>715.91532773426115</v>
      </c>
      <c r="AN66" s="60">
        <f ca="1">AVERAGE(OFFSET($AM$3,0,0,'Données projet'!$E$10+1,1))-AVERAGE(OFFSET($H$3,0,0,'Données projet'!$E$10+1,1))</f>
        <v>428.8489304403459</v>
      </c>
      <c r="AO66" s="60">
        <f t="shared" si="36"/>
        <v>247.01165577562966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projet'!$B$11,Paramètres!$A$1:$I$89,3,0)*VLOOKUP('Données projet'!$B$11,Paramètres!$A$1:$I$89,5,0)</f>
        <v>217.60439999999994</v>
      </c>
      <c r="BF66" s="14">
        <f t="shared" si="37"/>
        <v>53.593882578706356</v>
      </c>
      <c r="BG66" s="22">
        <f t="shared" si="7"/>
        <v>472.33700882458015</v>
      </c>
      <c r="BH66" s="60">
        <f t="shared" si="8"/>
        <v>765.67034215791341</v>
      </c>
      <c r="BI66" s="60">
        <f ca="1">AVERAGE(OFFSET($BH$3,0,0,'Données projet'!$E$11+1,1))-AVERAGE(OFFSET($H$3,0,0,'Données projet'!$E$11+1,1))</f>
        <v>475.47920969424894</v>
      </c>
      <c r="BJ66" s="60">
        <f t="shared" si="38"/>
        <v>271.73544012419364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3.8</v>
      </c>
      <c r="BY66" s="13">
        <f>IF('Données projet'!$A$114&gt;35,BY65+BX66-CG65,IF(A66&lt;'Données projet'!$A$114,$BV$205^A66,IF(A66='Données projet'!$A$114,'Données projet'!$B$114,BY65+BX66-CG65)))</f>
        <v>126.39999999999995</v>
      </c>
      <c r="BZ66" s="14">
        <f>BY66*VLOOKUP('Données projet'!$B$12,Paramètres!$A$1:$I$89,3,0)*VLOOKUP('Données projet'!$B$12,Paramètres!$A$1:$I$89,5,0)</f>
        <v>122.25407999999995</v>
      </c>
      <c r="CA66" s="14">
        <f t="shared" si="39"/>
        <v>32.20015567592624</v>
      </c>
      <c r="CB66" s="22">
        <f t="shared" si="10"/>
        <v>269.0077938022381</v>
      </c>
      <c r="CC66" s="60">
        <f t="shared" si="11"/>
        <v>562.34112713557147</v>
      </c>
      <c r="CD66" s="60">
        <f ca="1">AVERAGE(OFFSET($CC$3,0,0,'Données projet'!$E$12+1,1))-AVERAGE(OFFSET($H$3,0,0,'Données projet'!$E$12+1,1))</f>
        <v>255.59755832175625</v>
      </c>
      <c r="CE66" s="60">
        <f t="shared" si="40"/>
        <v>154.0840647586964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3.8</v>
      </c>
      <c r="CT66" s="13">
        <f>IF('Données projet'!$A$140&gt;35,CT65+CS66-DB65,IF(A66&lt;'Données projet'!$A$140,$CQ$205^A66,IF(A66='Données projet'!$A$140,'Données projet'!$B$140,CT65+CS66-DB65)))</f>
        <v>126.39999999999995</v>
      </c>
      <c r="CU66" s="18">
        <f>CT66*VLOOKUP('Données projet'!$B$13,Paramètres!$A$1:$I$89,3,0)*VLOOKUP('Données projet'!$B$13,Paramètres!$A$1:$I$89,5,0)</f>
        <v>136.05695999999992</v>
      </c>
      <c r="CV66" s="14">
        <f t="shared" si="41"/>
        <v>35.392213985322201</v>
      </c>
      <c r="CW66" s="22">
        <f t="shared" si="13"/>
        <v>298.60731135776933</v>
      </c>
      <c r="CX66" s="60">
        <f t="shared" si="14"/>
        <v>591.94064469110265</v>
      </c>
      <c r="CY66" s="60">
        <f ca="1">AVERAGE(OFFSET($CX$3,0,0,'Données projet'!$E$13+1,1))-AVERAGE(OFFSET($H$3,0,0,'Données projet'!$E$13+1,1))</f>
        <v>280.20599015000306</v>
      </c>
      <c r="CZ66" s="60">
        <f t="shared" si="42"/>
        <v>166.97658184507787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4.7435897435897401</v>
      </c>
      <c r="DO66" s="13">
        <f>IF('Données projet'!$A$166&gt;35,DO65+DN66-DW65,IF(A66&lt;'Données projet'!$A$166,$DL$205^A66,IF(A66='Données projet'!$A$166,'Données projet'!$B$166,DO65+DN66-DW65)))</f>
        <v>227.05128205128193</v>
      </c>
      <c r="DP66" s="18">
        <f>DO66*VLOOKUP('Données projet'!$B$14,Paramètres!$A$1:$I$89,3,0)*VLOOKUP('Données projet'!$B$14,Paramètres!$A$1:$I$89,5,0)</f>
        <v>152.3059999999999</v>
      </c>
      <c r="DQ66" s="14">
        <f t="shared" si="43"/>
        <v>39.102166177111755</v>
      </c>
      <c r="DR66" s="22">
        <f t="shared" si="16"/>
        <v>333.36922275846945</v>
      </c>
      <c r="DS66" s="60">
        <f t="shared" si="17"/>
        <v>626.70255609180276</v>
      </c>
      <c r="DT66" s="60">
        <f ca="1">AVERAGE(OFFSET($DS$3,0,0,'Données projet'!$E$14+1,1))-AVERAGE(OFFSET($H$3,0,0,'Données projet'!$E$14+1,1))</f>
        <v>291.18686311753402</v>
      </c>
      <c r="DU66" s="60">
        <f t="shared" si="44"/>
        <v>215.44422413249839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4</v>
      </c>
      <c r="EJ66" s="13">
        <f>IF('Données projet'!$A$192&gt;35,EJ65+EI66-ER65,IF(A66&lt;'Données projet'!$A$192,$EG$205^A66,IF(A66='Données projet'!$A$192,'Données projet'!$B$192,EJ65+EI66-ER65)))</f>
        <v>171.99999999999991</v>
      </c>
      <c r="EK66" s="18">
        <f>EJ66*VLOOKUP('Données projet'!$B$15,Paramètres!$A$1:$I$89,3,0)*VLOOKUP('Données projet'!$B$15,Paramètres!$A$1:$I$89,5,0)</f>
        <v>139.52639999999994</v>
      </c>
      <c r="EL66" s="14">
        <f t="shared" si="45"/>
        <v>36.188488997813856</v>
      </c>
      <c r="EM66" s="22">
        <f t="shared" si="19"/>
        <v>306.03676500452571</v>
      </c>
      <c r="EN66" s="60">
        <f t="shared" si="20"/>
        <v>599.37009833785896</v>
      </c>
      <c r="EO66" s="60">
        <f ca="1">AVERAGE(OFFSET($EN$3,0,0,'Données projet'!$E$15+1,1))-AVERAGE(OFFSET($H$3,0,0,'Données projet'!$E$15+1,1))</f>
        <v>236.22643401787644</v>
      </c>
      <c r="EP66" s="60">
        <f t="shared" si="46"/>
        <v>188.80444043778022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8">
        <f t="shared" si="1"/>
        <v>256.66666666666669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0" t="e">
        <f t="shared" ref="R67:R130" si="55">Q67+(I67+J67)*44/12</f>
        <v>#NUM!</v>
      </c>
      <c r="S67" s="60">
        <f ca="1">AVERAGE(OFFSET($R$3,0,0,'Données projet'!$E$9+1,1))-AVERAGE(OFFSET($H$3,0,0,'Données projet'!$E$9+1,1))</f>
        <v>144.55635559713392</v>
      </c>
      <c r="T67" s="60">
        <f t="shared" si="34"/>
        <v>349.14692715126904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31.080528750964319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1.6803480674018689E-6</v>
      </c>
      <c r="AC67" s="24">
        <f t="shared" si="3"/>
        <v>31.080530431312386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200.68463999999992</v>
      </c>
      <c r="AK67" s="14">
        <f t="shared" si="35"/>
        <v>49.894600936700193</v>
      </c>
      <c r="AL67" s="22">
        <f t="shared" si="4"/>
        <v>436.42551129808606</v>
      </c>
      <c r="AM67" s="60">
        <f t="shared" si="5"/>
        <v>729.75884463141938</v>
      </c>
      <c r="AN67" s="60">
        <f ca="1">AVERAGE(OFFSET($AM$3,0,0,'Données projet'!$E$10+1,1))-AVERAGE(OFFSET($H$3,0,0,'Données projet'!$E$10+1,1))</f>
        <v>428.8489304403459</v>
      </c>
      <c r="AO67" s="60">
        <f t="shared" si="36"/>
        <v>247.01165577562966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projet'!$B$11,Paramètres!$A$1:$I$89,3,0)*VLOOKUP('Données projet'!$B$11,Paramètres!$A$1:$I$89,5,0)</f>
        <v>224.90519999999995</v>
      </c>
      <c r="BF67" s="14">
        <f t="shared" si="37"/>
        <v>55.17963460003309</v>
      </c>
      <c r="BG67" s="22">
        <f t="shared" si="7"/>
        <v>487.81442026172425</v>
      </c>
      <c r="BH67" s="60">
        <f t="shared" si="8"/>
        <v>781.14775359505757</v>
      </c>
      <c r="BI67" s="60">
        <f ca="1">AVERAGE(OFFSET($BH$3,0,0,'Données projet'!$E$11+1,1))-AVERAGE(OFFSET($H$3,0,0,'Données projet'!$E$11+1,1))</f>
        <v>475.47920969424894</v>
      </c>
      <c r="BJ67" s="60">
        <f t="shared" si="38"/>
        <v>271.73544012419364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3.8</v>
      </c>
      <c r="BY67" s="13">
        <f>IF('Données projet'!$A$114&gt;35,BY66+BX67-CG66,IF(A67&lt;'Données projet'!$A$114,$BV$205^A67,IF(A67='Données projet'!$A$114,'Données projet'!$B$114,BY66+BX67-CG66)))</f>
        <v>130.19999999999996</v>
      </c>
      <c r="BZ67" s="14">
        <f>BY67*VLOOKUP('Données projet'!$B$12,Paramètres!$A$1:$I$89,3,0)*VLOOKUP('Données projet'!$B$12,Paramètres!$A$1:$I$89,5,0)</f>
        <v>125.92943999999997</v>
      </c>
      <c r="CA67" s="14">
        <f t="shared" si="39"/>
        <v>33.054038034052049</v>
      </c>
      <c r="CB67" s="22">
        <f t="shared" si="10"/>
        <v>276.89622424264059</v>
      </c>
      <c r="CC67" s="60">
        <f t="shared" si="11"/>
        <v>570.2295575759739</v>
      </c>
      <c r="CD67" s="60">
        <f ca="1">AVERAGE(OFFSET($CC$3,0,0,'Données projet'!$E$12+1,1))-AVERAGE(OFFSET($H$3,0,0,'Données projet'!$E$12+1,1))</f>
        <v>255.59755832175625</v>
      </c>
      <c r="CE67" s="60">
        <f t="shared" si="40"/>
        <v>154.0840647586964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3.8</v>
      </c>
      <c r="CT67" s="13">
        <f>IF('Données projet'!$A$140&gt;35,CT66+CS67-DB66,IF(A67&lt;'Données projet'!$A$140,$CQ$205^A67,IF(A67='Données projet'!$A$140,'Données projet'!$B$140,CT66+CS67-DB66)))</f>
        <v>130.19999999999996</v>
      </c>
      <c r="CU67" s="18">
        <f>CT67*VLOOKUP('Données projet'!$B$13,Paramètres!$A$1:$I$89,3,0)*VLOOKUP('Données projet'!$B$13,Paramètres!$A$1:$I$89,5,0)</f>
        <v>140.14727999999994</v>
      </c>
      <c r="CV67" s="14">
        <f t="shared" si="41"/>
        <v>36.330743209877255</v>
      </c>
      <c r="CW67" s="22">
        <f t="shared" si="13"/>
        <v>307.36589042386942</v>
      </c>
      <c r="CX67" s="60">
        <f t="shared" si="14"/>
        <v>600.69922375720273</v>
      </c>
      <c r="CY67" s="60">
        <f ca="1">AVERAGE(OFFSET($CX$3,0,0,'Données projet'!$E$13+1,1))-AVERAGE(OFFSET($H$3,0,0,'Données projet'!$E$13+1,1))</f>
        <v>280.20599015000306</v>
      </c>
      <c r="CZ67" s="60">
        <f t="shared" si="42"/>
        <v>166.97658184507787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4.7435897435897401</v>
      </c>
      <c r="DO67" s="13">
        <f>IF('Données projet'!$A$166&gt;35,DO66+DN67-DW66,IF(A67&lt;'Données projet'!$A$166,$DL$205^A67,IF(A67='Données projet'!$A$166,'Données projet'!$B$166,DO66+DN67-DW66)))</f>
        <v>231.79487179487168</v>
      </c>
      <c r="DP67" s="18">
        <f>DO67*VLOOKUP('Données projet'!$B$14,Paramètres!$A$1:$I$89,3,0)*VLOOKUP('Données projet'!$B$14,Paramètres!$A$1:$I$89,5,0)</f>
        <v>155.48799999999991</v>
      </c>
      <c r="DQ67" s="14">
        <f t="shared" si="43"/>
        <v>39.823133137370327</v>
      </c>
      <c r="DR67" s="22">
        <f t="shared" si="16"/>
        <v>340.16689021425316</v>
      </c>
      <c r="DS67" s="60">
        <f t="shared" si="17"/>
        <v>633.50022354758653</v>
      </c>
      <c r="DT67" s="60">
        <f ca="1">AVERAGE(OFFSET($DS$3,0,0,'Données projet'!$E$14+1,1))-AVERAGE(OFFSET($H$3,0,0,'Données projet'!$E$14+1,1))</f>
        <v>291.18686311753402</v>
      </c>
      <c r="DU67" s="60">
        <f t="shared" si="44"/>
        <v>215.44422413249839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4</v>
      </c>
      <c r="EJ67" s="13">
        <f>IF('Données projet'!$A$192&gt;35,EJ66+EI67-ER66,IF(A67&lt;'Données projet'!$A$192,$EG$205^A67,IF(A67='Données projet'!$A$192,'Données projet'!$B$192,EJ66+EI67-ER66)))</f>
        <v>175.99999999999991</v>
      </c>
      <c r="EK67" s="18">
        <f>EJ67*VLOOKUP('Données projet'!$B$15,Paramètres!$A$1:$I$89,3,0)*VLOOKUP('Données projet'!$B$15,Paramètres!$A$1:$I$89,5,0)</f>
        <v>142.77119999999994</v>
      </c>
      <c r="EL67" s="14">
        <f t="shared" si="45"/>
        <v>36.931122475504061</v>
      </c>
      <c r="EM67" s="22">
        <f t="shared" si="19"/>
        <v>312.98154497816944</v>
      </c>
      <c r="EN67" s="60">
        <f t="shared" si="20"/>
        <v>606.31487831150275</v>
      </c>
      <c r="EO67" s="60">
        <f ca="1">AVERAGE(OFFSET($EN$3,0,0,'Données projet'!$E$15+1,1))-AVERAGE(OFFSET($H$3,0,0,'Données projet'!$E$15+1,1))</f>
        <v>236.22643401787644</v>
      </c>
      <c r="EP67" s="60">
        <f t="shared" si="46"/>
        <v>188.80444043778022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8">
        <f t="shared" ref="H68:H131" si="56">(B68+E68+F68)*44/12+(C68+D68)*0.475*44/12</f>
        <v>256.66666666666669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0" t="e">
        <f t="shared" si="55"/>
        <v>#NUM!</v>
      </c>
      <c r="S68" s="60">
        <f ca="1">AVERAGE(OFFSET($R$3,0,0,'Données projet'!$E$9+1,1))-AVERAGE(OFFSET($H$3,0,0,'Données projet'!$E$9+1,1))</f>
        <v>144.55635559713392</v>
      </c>
      <c r="T68" s="60">
        <f t="shared" si="34"/>
        <v>349.14692715126904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30.471058539408574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1.1881855132135713E-6</v>
      </c>
      <c r="AC68" s="24">
        <f t="shared" ref="AC68:AC131" si="57">SUM(Z68:AB68)</f>
        <v>30.471059727594088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207.19919999999991</v>
      </c>
      <c r="AK68" s="14">
        <f t="shared" si="35"/>
        <v>51.3230629736655</v>
      </c>
      <c r="AL68" s="22">
        <f t="shared" ref="AL68:AL131" si="58">(AJ68+AK68)*0.475*44/12</f>
        <v>450.25960801246725</v>
      </c>
      <c r="AM68" s="60">
        <f t="shared" ref="AM68:AM131" si="59">AL68+(AD68+AE68)*44/12</f>
        <v>743.59294134580057</v>
      </c>
      <c r="AN68" s="60">
        <f ca="1">AVERAGE(OFFSET($AM$3,0,0,'Données projet'!$E$10+1,1))-AVERAGE(OFFSET($H$3,0,0,'Données projet'!$E$10+1,1))</f>
        <v>428.8489304403459</v>
      </c>
      <c r="AO68" s="60">
        <f t="shared" si="36"/>
        <v>247.01165577562966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projet'!$B$11,Paramètres!$A$1:$I$89,3,0)*VLOOKUP('Données projet'!$B$11,Paramètres!$A$1:$I$89,5,0)</f>
        <v>232.2059999999999</v>
      </c>
      <c r="BF68" s="14">
        <f t="shared" si="37"/>
        <v>56.759404991217522</v>
      </c>
      <c r="BG68" s="22">
        <f t="shared" ref="BG68:BG131" si="61">(BE68+BF68)*0.475*44/12</f>
        <v>503.281413693037</v>
      </c>
      <c r="BH68" s="60">
        <f t="shared" ref="BH68:BH131" si="62">BG68+(AY68+AZ68)*44/12</f>
        <v>796.61474702637031</v>
      </c>
      <c r="BI68" s="60">
        <f ca="1">AVERAGE(OFFSET($BH$3,0,0,'Données projet'!$E$11+1,1))-AVERAGE(OFFSET($H$3,0,0,'Données projet'!$E$11+1,1))</f>
        <v>475.47920969424894</v>
      </c>
      <c r="BJ68" s="60">
        <f t="shared" si="38"/>
        <v>271.73544012419364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134</v>
      </c>
      <c r="BW68" s="13">
        <f>VLOOKUP(A68,'Données projet'!$A$113:$I$133,9,0)</f>
        <v>3.8</v>
      </c>
      <c r="BX68" s="13">
        <f t="array" ref="BX68">INDEX(BW:BW,MIN(IF(ISNUMBER(BW68:BW264),ROW(BW68:BW264),"")))</f>
        <v>3.8</v>
      </c>
      <c r="BY68" s="13">
        <f>IF('Données projet'!$A$114&gt;35,BY67+BX68-CG67,IF(A68&lt;'Données projet'!$A$114,$BV$205^A68,IF(A68='Données projet'!$A$114,'Données projet'!$B$114,BY67+BX68-CG67)))</f>
        <v>133.99999999999997</v>
      </c>
      <c r="BZ68" s="14">
        <f>BY68*VLOOKUP('Données projet'!$B$12,Paramètres!$A$1:$I$89,3,0)*VLOOKUP('Données projet'!$B$12,Paramètres!$A$1:$I$89,5,0)</f>
        <v>129.60479999999998</v>
      </c>
      <c r="CA68" s="14">
        <f t="shared" si="39"/>
        <v>33.905024040491121</v>
      </c>
      <c r="CB68" s="22">
        <f t="shared" ref="CB68:CB131" si="64">(BZ68+CA68)*0.475*44/12</f>
        <v>284.77961020385533</v>
      </c>
      <c r="CC68" s="60">
        <f t="shared" ref="CC68:CC131" si="65">CB68+(BT68+BU68)*44/12</f>
        <v>578.11294353718858</v>
      </c>
      <c r="CD68" s="60">
        <f ca="1">AVERAGE(OFFSET($CC$3,0,0,'Données projet'!$E$12+1,1))-AVERAGE(OFFSET($H$3,0,0,'Données projet'!$E$12+1,1))</f>
        <v>255.59755832175625</v>
      </c>
      <c r="CE68" s="60">
        <f t="shared" si="40"/>
        <v>154.0840647586964</v>
      </c>
      <c r="CF68" s="16">
        <f>IF(ISNA(VLOOKUP(A68,'Données projet'!$A$113:$I$133,3,0)),0,VLOOKUP(A68,'Données projet'!$A$113:$I$133,3,0))</f>
        <v>4</v>
      </c>
      <c r="CG68" s="16">
        <f>IF(ISNA(VLOOKUP(A68,'Données projet'!$A$113:$I$133,4,0)),0,VLOOKUP(A68,'Données projet'!$A$113:$I$133,4,0))</f>
        <v>20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134</v>
      </c>
      <c r="CR68" s="13">
        <f>VLOOKUP(A68,'Données projet'!$A$139:$I$159,9,0)</f>
        <v>3.8</v>
      </c>
      <c r="CS68" s="13">
        <f t="array" ref="CS68">INDEX(CR:CR,MIN(IF(ISNUMBER(CR68:CR264),ROW(CR68:CR264),"")))</f>
        <v>3.8</v>
      </c>
      <c r="CT68" s="13">
        <f>IF('Données projet'!$A$140&gt;35,CT67+CS68-DB67,IF(A68&lt;'Données projet'!$A$140,$CQ$205^A68,IF(A68='Données projet'!$A$140,'Données projet'!$B$140,CT67+CS68-DB67)))</f>
        <v>133.99999999999997</v>
      </c>
      <c r="CU68" s="18">
        <f>CT68*VLOOKUP('Données projet'!$B$13,Paramètres!$A$1:$I$89,3,0)*VLOOKUP('Données projet'!$B$13,Paramètres!$A$1:$I$89,5,0)</f>
        <v>144.23759999999999</v>
      </c>
      <c r="CV68" s="14">
        <f t="shared" si="41"/>
        <v>37.266088962286922</v>
      </c>
      <c r="CW68" s="22">
        <f t="shared" ref="CW68:CW131" si="67">(CU68+CV68)*0.475*44/12</f>
        <v>316.1189249426497</v>
      </c>
      <c r="CX68" s="60">
        <f t="shared" ref="CX68:CX131" si="68">CW68+(CO68+CP68)*44/12</f>
        <v>609.45225827598301</v>
      </c>
      <c r="CY68" s="60">
        <f ca="1">AVERAGE(OFFSET($CX$3,0,0,'Données projet'!$E$13+1,1))-AVERAGE(OFFSET($H$3,0,0,'Données projet'!$E$13+1,1))</f>
        <v>280.20599015000306</v>
      </c>
      <c r="CZ68" s="60">
        <f t="shared" si="42"/>
        <v>166.97658184507787</v>
      </c>
      <c r="DA68" s="16">
        <f>IF(ISNA(VLOOKUP(A68,'Données projet'!$A$139:$I$159,3,0)),0,VLOOKUP(A68,'Données projet'!$A$139:$I$159,3,0))</f>
        <v>4</v>
      </c>
      <c r="DB68" s="16">
        <f>IF(ISNA(VLOOKUP(A68,'Données projet'!$A$139:$I$159,4,0)),0,VLOOKUP(A68,'Données projet'!$A$139:$I$159,4,0))</f>
        <v>20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236.53846153846152</v>
      </c>
      <c r="DM68" s="13">
        <f>VLOOKUP(A68,'Données projet'!$A$165:$I$185,9,0)</f>
        <v>4.7435897435897401</v>
      </c>
      <c r="DN68" s="13">
        <f t="array" ref="DN68">INDEX(DM:DM,MIN(IF(ISNUMBER(DM68:DM264),ROW(DM68:DM264),"")))</f>
        <v>4.7435897435897401</v>
      </c>
      <c r="DO68" s="13">
        <f>IF('Données projet'!$A$166&gt;35,DO67+DN68-DW67,IF(A68&lt;'Données projet'!$A$166,$DL$205^A68,IF(A68='Données projet'!$A$166,'Données projet'!$B$166,DO67+DN68-DW67)))</f>
        <v>236.53846153846143</v>
      </c>
      <c r="DP68" s="18">
        <f>DO68*VLOOKUP('Données projet'!$B$14,Paramètres!$A$1:$I$89,3,0)*VLOOKUP('Données projet'!$B$14,Paramètres!$A$1:$I$89,5,0)</f>
        <v>158.66999999999993</v>
      </c>
      <c r="DQ68" s="14">
        <f t="shared" si="43"/>
        <v>40.54238461420524</v>
      </c>
      <c r="DR68" s="22">
        <f t="shared" ref="DR68:DR131" si="70">(DP68+DQ68)*0.475*44/12</f>
        <v>346.96156986974069</v>
      </c>
      <c r="DS68" s="60">
        <f t="shared" ref="DS68:DS131" si="71">DR68+(DJ68+DK68)*44/12</f>
        <v>640.294903203074</v>
      </c>
      <c r="DT68" s="60">
        <f ca="1">AVERAGE(OFFSET($DS$3,0,0,'Données projet'!$E$14+1,1))-AVERAGE(OFFSET($H$3,0,0,'Données projet'!$E$14+1,1))</f>
        <v>291.18686311753402</v>
      </c>
      <c r="DU68" s="60">
        <f t="shared" si="44"/>
        <v>215.44422413249839</v>
      </c>
      <c r="DV68" s="16">
        <f>IF(ISNA(VLOOKUP(A68,'Données projet'!$A$165:$I$185,3,0)),0,VLOOKUP(A68,'Données projet'!$A$165:$I$185,3,0))</f>
        <v>5</v>
      </c>
      <c r="DW68" s="16">
        <f>IF(ISNA(VLOOKUP(A68,'Données projet'!$A$165:$I$185,4,0)),0,VLOOKUP(A68,'Données projet'!$A$165:$I$185,4,0))</f>
        <v>27.564102564102562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180</v>
      </c>
      <c r="EH68" s="13">
        <f>VLOOKUP(A68,'Données projet'!$A$191:$I$211,9,0)</f>
        <v>4</v>
      </c>
      <c r="EI68" s="13">
        <f t="array" ref="EI68">INDEX(EH:EH,MIN(IF(ISNUMBER(EH68:EH264),ROW(EH68:EH264),"")))</f>
        <v>4</v>
      </c>
      <c r="EJ68" s="13">
        <f>IF('Données projet'!$A$192&gt;35,EJ67+EI68-ER67,IF(A68&lt;'Données projet'!$A$192,$EG$205^A68,IF(A68='Données projet'!$A$192,'Données projet'!$B$192,EJ67+EI68-ER67)))</f>
        <v>179.99999999999991</v>
      </c>
      <c r="EK68" s="18">
        <f>EJ68*VLOOKUP('Données projet'!$B$15,Paramètres!$A$1:$I$89,3,0)*VLOOKUP('Données projet'!$B$15,Paramètres!$A$1:$I$89,5,0)</f>
        <v>146.01599999999996</v>
      </c>
      <c r="EL68" s="14">
        <f t="shared" si="45"/>
        <v>37.671793767891103</v>
      </c>
      <c r="EM68" s="22">
        <f t="shared" ref="EM68:EM131" si="73">(EK68+EL68)*0.475*44/12</f>
        <v>319.92290747907691</v>
      </c>
      <c r="EN68" s="60">
        <f t="shared" ref="EN68:EN131" si="74">EM68+(EE68+EF68)*44/12</f>
        <v>613.25624081241017</v>
      </c>
      <c r="EO68" s="60">
        <f ca="1">AVERAGE(OFFSET($EN$3,0,0,'Données projet'!$E$15+1,1))-AVERAGE(OFFSET($H$3,0,0,'Données projet'!$E$15+1,1))</f>
        <v>236.22643401787644</v>
      </c>
      <c r="EP68" s="60">
        <f t="shared" si="46"/>
        <v>188.80444043778022</v>
      </c>
      <c r="EQ68" s="16">
        <f>IF(ISNA(VLOOKUP(A68,'Données projet'!$A$191:$I$211,3,0)),0,VLOOKUP(A68,'Données projet'!$A$191:$I$211,3,0))</f>
        <v>5</v>
      </c>
      <c r="ER68" s="16">
        <f>IF(ISNA(VLOOKUP(A68,'Données projet'!$A$191:$I$211,4,0)),0,VLOOKUP(A68,'Données projet'!$A$191:$I$211,4,0))</f>
        <v>22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8">
        <f t="shared" si="56"/>
        <v>256.66666666666669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0" t="e">
        <f t="shared" si="55"/>
        <v>#NUM!</v>
      </c>
      <c r="S69" s="60">
        <f ca="1">AVERAGE(OFFSET($R$3,0,0,'Données projet'!$E$9+1,1))-AVERAGE(OFFSET($H$3,0,0,'Données projet'!$E$9+1,1))</f>
        <v>144.55635559713392</v>
      </c>
      <c r="T69" s="60">
        <f t="shared" ref="T69:T132" si="88">$T$3</f>
        <v>349.14692715126904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29.873539666961314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8.4017403370093443E-7</v>
      </c>
      <c r="AC69" s="24">
        <f t="shared" si="57"/>
        <v>29.873540507135349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213.35183999999992</v>
      </c>
      <c r="AK69" s="14">
        <f t="shared" ref="AK69:AK132" si="89">EXP(-1.0587+0.8836*LN(AJ69)+0.284)</f>
        <v>52.667370665417188</v>
      </c>
      <c r="AL69" s="22">
        <f t="shared" si="58"/>
        <v>463.31679190893482</v>
      </c>
      <c r="AM69" s="60">
        <f t="shared" si="59"/>
        <v>756.65012524226813</v>
      </c>
      <c r="AN69" s="60">
        <f ca="1">AVERAGE(OFFSET($AM$3,0,0,'Données projet'!$E$10+1,1))-AVERAGE(OFFSET($H$3,0,0,'Données projet'!$E$10+1,1))</f>
        <v>428.8489304403459</v>
      </c>
      <c r="AO69" s="60">
        <f t="shared" ref="AO69:AO132" si="90">$AO$3</f>
        <v>247.01165577562966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235.79999999999993</v>
      </c>
      <c r="BE69" s="14">
        <f>BD69*VLOOKUP('Données projet'!$B$11,Paramètres!$A$1:$I$89,3,0)*VLOOKUP('Données projet'!$B$11,Paramètres!$A$1:$I$89,5,0)</f>
        <v>239.10119999999995</v>
      </c>
      <c r="BF69" s="14">
        <f t="shared" ref="BF69:BF132" si="91">EXP(-1.0587+0.8836*LN(BE69)+0.284)</f>
        <v>58.246107075777331</v>
      </c>
      <c r="BG69" s="22">
        <f t="shared" si="61"/>
        <v>517.87989315697871</v>
      </c>
      <c r="BH69" s="60">
        <f t="shared" si="62"/>
        <v>811.21322649031208</v>
      </c>
      <c r="BI69" s="60">
        <f ca="1">AVERAGE(OFFSET($BH$3,0,0,'Données projet'!$E$11+1,1))-AVERAGE(OFFSET($H$3,0,0,'Données projet'!$E$11+1,1))</f>
        <v>475.47920969424894</v>
      </c>
      <c r="BJ69" s="60">
        <f t="shared" ref="BJ69:BJ132" si="92">$BJ$3</f>
        <v>271.73544012419364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3.6</v>
      </c>
      <c r="BY69" s="13">
        <f>IF('Données projet'!$A$114&gt;35,BY68+BX69-CG68,IF(A69&lt;'Données projet'!$A$114,$BV$205^A69,IF(A69='Données projet'!$A$114,'Données projet'!$B$114,BY68+BX69-CG68)))</f>
        <v>117.59999999999997</v>
      </c>
      <c r="BZ69" s="14">
        <f>BY69*VLOOKUP('Données projet'!$B$12,Paramètres!$A$1:$I$89,3,0)*VLOOKUP('Données projet'!$B$12,Paramètres!$A$1:$I$89,5,0)</f>
        <v>113.74271999999996</v>
      </c>
      <c r="CA69" s="14">
        <f t="shared" ref="CA69:CA132" si="93">EXP(-1.0587+0.8836*LN(BZ69)+0.284)</f>
        <v>30.211074114233345</v>
      </c>
      <c r="CB69" s="22">
        <f t="shared" si="64"/>
        <v>250.71952474895636</v>
      </c>
      <c r="CC69" s="60">
        <f t="shared" si="65"/>
        <v>544.05285808228973</v>
      </c>
      <c r="CD69" s="60">
        <f ca="1">AVERAGE(OFFSET($CC$3,0,0,'Données projet'!$E$12+1,1))-AVERAGE(OFFSET($H$3,0,0,'Données projet'!$E$12+1,1))</f>
        <v>255.59755832175625</v>
      </c>
      <c r="CE69" s="60">
        <f t="shared" ref="CE69:CE132" si="94">$CE$3</f>
        <v>154.0840647586964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3.6</v>
      </c>
      <c r="CT69" s="13">
        <f>IF('Données projet'!$A$140&gt;35,CT68+CS69-DB68,IF(A69&lt;'Données projet'!$A$140,$CQ$205^A69,IF(A69='Données projet'!$A$140,'Données projet'!$B$140,CT68+CS69-DB68)))</f>
        <v>117.59999999999997</v>
      </c>
      <c r="CU69" s="18">
        <f>CT69*VLOOKUP('Données projet'!$B$13,Paramètres!$A$1:$I$89,3,0)*VLOOKUP('Données projet'!$B$13,Paramètres!$A$1:$I$89,5,0)</f>
        <v>126.58463999999996</v>
      </c>
      <c r="CV69" s="14">
        <f t="shared" ref="CV69:CV132" si="95">EXP(-1.0587+0.8836*LN(CU69)+0.284)</f>
        <v>33.205951254973805</v>
      </c>
      <c r="CW69" s="22">
        <f t="shared" si="67"/>
        <v>278.301946435746</v>
      </c>
      <c r="CX69" s="60">
        <f t="shared" si="68"/>
        <v>571.63527976907926</v>
      </c>
      <c r="CY69" s="60">
        <f ca="1">AVERAGE(OFFSET($CX$3,0,0,'Données projet'!$E$13+1,1))-AVERAGE(OFFSET($H$3,0,0,'Données projet'!$E$13+1,1))</f>
        <v>280.20599015000306</v>
      </c>
      <c r="CZ69" s="60">
        <f t="shared" ref="CZ69:CZ132" si="96">$CZ$3</f>
        <v>166.97658184507787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4.6153846153846185</v>
      </c>
      <c r="DO69" s="13">
        <f>IF('Données projet'!$A$166&gt;35,DO68+DN69-DW68,IF(A69&lt;'Données projet'!$A$166,$DL$205^A69,IF(A69='Données projet'!$A$166,'Données projet'!$B$166,DO68+DN69-DW68)))</f>
        <v>213.58974358974348</v>
      </c>
      <c r="DP69" s="18">
        <f>DO69*VLOOKUP('Données projet'!$B$14,Paramètres!$A$1:$I$89,3,0)*VLOOKUP('Données projet'!$B$14,Paramètres!$A$1:$I$89,5,0)</f>
        <v>143.27599999999993</v>
      </c>
      <c r="DQ69" s="14">
        <f t="shared" ref="DQ69:DQ132" si="97">EXP(-1.0587+0.8836*LN(DP69)+0.284)</f>
        <v>37.046477812084682</v>
      </c>
      <c r="DR69" s="22">
        <f t="shared" si="70"/>
        <v>314.06164885604733</v>
      </c>
      <c r="DS69" s="60">
        <f t="shared" si="71"/>
        <v>607.3949821893807</v>
      </c>
      <c r="DT69" s="60">
        <f ca="1">AVERAGE(OFFSET($DS$3,0,0,'Données projet'!$E$14+1,1))-AVERAGE(OFFSET($H$3,0,0,'Données projet'!$E$14+1,1))</f>
        <v>291.18686311753402</v>
      </c>
      <c r="DU69" s="60">
        <f t="shared" ref="DU69:DU132" si="98">$DU$3</f>
        <v>215.44422413249839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4</v>
      </c>
      <c r="EJ69" s="13">
        <f>IF('Données projet'!$A$192&gt;35,EJ68+EI69-ER68,IF(A69&lt;'Données projet'!$A$192,$EG$205^A69,IF(A69='Données projet'!$A$192,'Données projet'!$B$192,EJ68+EI69-ER68)))</f>
        <v>161.99999999999991</v>
      </c>
      <c r="EK69" s="18">
        <f>EJ69*VLOOKUP('Données projet'!$B$15,Paramètres!$A$1:$I$89,3,0)*VLOOKUP('Données projet'!$B$15,Paramètres!$A$1:$I$89,5,0)</f>
        <v>131.41439999999994</v>
      </c>
      <c r="EL69" s="14">
        <f t="shared" ref="EL69:EL132" si="99">EXP(-1.0587+0.8836*LN(EK69)+0.284)</f>
        <v>34.322979526010634</v>
      </c>
      <c r="EM69" s="22">
        <f t="shared" si="73"/>
        <v>288.65926934113514</v>
      </c>
      <c r="EN69" s="60">
        <f t="shared" si="74"/>
        <v>581.99260267446846</v>
      </c>
      <c r="EO69" s="60">
        <f ca="1">AVERAGE(OFFSET($EN$3,0,0,'Données projet'!$E$15+1,1))-AVERAGE(OFFSET($H$3,0,0,'Données projet'!$E$15+1,1))</f>
        <v>236.22643401787644</v>
      </c>
      <c r="EP69" s="60">
        <f t="shared" ref="EP69:EP132" si="100">$EP$3</f>
        <v>188.80444043778022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8">
        <f t="shared" si="56"/>
        <v>256.66666666666669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0" t="e">
        <f t="shared" si="55"/>
        <v>#NUM!</v>
      </c>
      <c r="S70" s="60">
        <f ca="1">AVERAGE(OFFSET($R$3,0,0,'Données projet'!$E$9+1,1))-AVERAGE(OFFSET($H$3,0,0,'Données projet'!$E$9+1,1))</f>
        <v>144.55635559713392</v>
      </c>
      <c r="T70" s="60">
        <f t="shared" si="88"/>
        <v>349.14692715126904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29.28773777515222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5.9409275660678564E-7</v>
      </c>
      <c r="AC70" s="24">
        <f t="shared" si="57"/>
        <v>29.287738369244977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219.50447999999992</v>
      </c>
      <c r="AK70" s="14">
        <f t="shared" si="89"/>
        <v>54.007172767040167</v>
      </c>
      <c r="AL70" s="22">
        <f t="shared" si="58"/>
        <v>476.36612856926143</v>
      </c>
      <c r="AM70" s="60">
        <f t="shared" si="59"/>
        <v>769.69946190259475</v>
      </c>
      <c r="AN70" s="60">
        <f ca="1">AVERAGE(OFFSET($AM$3,0,0,'Données projet'!$E$10+1,1))-AVERAGE(OFFSET($H$3,0,0,'Données projet'!$E$10+1,1))</f>
        <v>428.8489304403459</v>
      </c>
      <c r="AO70" s="60">
        <f t="shared" si="90"/>
        <v>247.01165577562966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242.59999999999994</v>
      </c>
      <c r="BE70" s="14">
        <f>BD70*VLOOKUP('Données projet'!$B$11,Paramètres!$A$1:$I$89,3,0)*VLOOKUP('Données projet'!$B$11,Paramètres!$A$1:$I$89,5,0)</f>
        <v>245.99639999999997</v>
      </c>
      <c r="BF70" s="14">
        <f t="shared" si="91"/>
        <v>59.72782632026442</v>
      </c>
      <c r="BG70" s="22">
        <f t="shared" si="61"/>
        <v>532.46969417446041</v>
      </c>
      <c r="BH70" s="60">
        <f t="shared" si="62"/>
        <v>825.80302750779379</v>
      </c>
      <c r="BI70" s="60">
        <f ca="1">AVERAGE(OFFSET($BH$3,0,0,'Données projet'!$E$11+1,1))-AVERAGE(OFFSET($H$3,0,0,'Données projet'!$E$11+1,1))</f>
        <v>475.47920969424894</v>
      </c>
      <c r="BJ70" s="60">
        <f t="shared" si="92"/>
        <v>271.73544012419364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3.6</v>
      </c>
      <c r="BY70" s="13">
        <f>IF('Données projet'!$A$114&gt;35,BY69+BX70-CG69,IF(A70&lt;'Données projet'!$A$114,$BV$205^A70,IF(A70='Données projet'!$A$114,'Données projet'!$B$114,BY69+BX70-CG69)))</f>
        <v>121.19999999999996</v>
      </c>
      <c r="BZ70" s="14">
        <f>BY70*VLOOKUP('Données projet'!$B$12,Paramètres!$A$1:$I$89,3,0)*VLOOKUP('Données projet'!$B$12,Paramètres!$A$1:$I$89,5,0)</f>
        <v>117.22463999999997</v>
      </c>
      <c r="CA70" s="14">
        <f t="shared" si="93"/>
        <v>31.026813250993953</v>
      </c>
      <c r="CB70" s="22">
        <f t="shared" si="64"/>
        <v>258.20461441214769</v>
      </c>
      <c r="CC70" s="60">
        <f t="shared" si="65"/>
        <v>551.53794774548101</v>
      </c>
      <c r="CD70" s="60">
        <f ca="1">AVERAGE(OFFSET($CC$3,0,0,'Données projet'!$E$12+1,1))-AVERAGE(OFFSET($H$3,0,0,'Données projet'!$E$12+1,1))</f>
        <v>255.59755832175625</v>
      </c>
      <c r="CE70" s="60">
        <f t="shared" si="94"/>
        <v>154.0840647586964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3.6</v>
      </c>
      <c r="CT70" s="13">
        <f>IF('Données projet'!$A$140&gt;35,CT69+CS70-DB69,IF(A70&lt;'Données projet'!$A$140,$CQ$205^A70,IF(A70='Données projet'!$A$140,'Données projet'!$B$140,CT69+CS70-DB69)))</f>
        <v>121.19999999999996</v>
      </c>
      <c r="CU70" s="18">
        <f>CT70*VLOOKUP('Données projet'!$B$13,Paramètres!$A$1:$I$89,3,0)*VLOOKUP('Données projet'!$B$13,Paramètres!$A$1:$I$89,5,0)</f>
        <v>130.45967999999996</v>
      </c>
      <c r="CV70" s="14">
        <f t="shared" si="95"/>
        <v>34.102556053254894</v>
      </c>
      <c r="CW70" s="22">
        <f t="shared" si="67"/>
        <v>286.61256112608555</v>
      </c>
      <c r="CX70" s="60">
        <f t="shared" si="68"/>
        <v>579.94589445941892</v>
      </c>
      <c r="CY70" s="60">
        <f ca="1">AVERAGE(OFFSET($CX$3,0,0,'Données projet'!$E$13+1,1))-AVERAGE(OFFSET($H$3,0,0,'Données projet'!$E$13+1,1))</f>
        <v>280.20599015000306</v>
      </c>
      <c r="CZ70" s="60">
        <f t="shared" si="96"/>
        <v>166.97658184507787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4.6153846153846185</v>
      </c>
      <c r="DO70" s="13">
        <f>IF('Données projet'!$A$166&gt;35,DO69+DN70-DW69,IF(A70&lt;'Données projet'!$A$166,$DL$205^A70,IF(A70='Données projet'!$A$166,'Données projet'!$B$166,DO69+DN70-DW69)))</f>
        <v>218.20512820512809</v>
      </c>
      <c r="DP70" s="18">
        <f>DO70*VLOOKUP('Données projet'!$B$14,Paramètres!$A$1:$I$89,3,0)*VLOOKUP('Données projet'!$B$14,Paramètres!$A$1:$I$89,5,0)</f>
        <v>146.37199999999993</v>
      </c>
      <c r="DQ70" s="14">
        <f t="shared" si="97"/>
        <v>37.752938435291682</v>
      </c>
      <c r="DR70" s="22">
        <f t="shared" si="70"/>
        <v>320.68426777479954</v>
      </c>
      <c r="DS70" s="60">
        <f t="shared" si="71"/>
        <v>614.01760110813279</v>
      </c>
      <c r="DT70" s="60">
        <f ca="1">AVERAGE(OFFSET($DS$3,0,0,'Données projet'!$E$14+1,1))-AVERAGE(OFFSET($H$3,0,0,'Données projet'!$E$14+1,1))</f>
        <v>291.18686311753402</v>
      </c>
      <c r="DU70" s="60">
        <f t="shared" si="98"/>
        <v>215.44422413249839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4</v>
      </c>
      <c r="EJ70" s="13">
        <f>IF('Données projet'!$A$192&gt;35,EJ69+EI70-ER69,IF(A70&lt;'Données projet'!$A$192,$EG$205^A70,IF(A70='Données projet'!$A$192,'Données projet'!$B$192,EJ69+EI70-ER69)))</f>
        <v>165.99999999999991</v>
      </c>
      <c r="EK70" s="18">
        <f>EJ70*VLOOKUP('Données projet'!$B$15,Paramètres!$A$1:$I$89,3,0)*VLOOKUP('Données projet'!$B$15,Paramètres!$A$1:$I$89,5,0)</f>
        <v>134.65919999999994</v>
      </c>
      <c r="EL70" s="14">
        <f t="shared" si="99"/>
        <v>35.070747374417302</v>
      </c>
      <c r="EM70" s="22">
        <f t="shared" si="73"/>
        <v>295.61299167710996</v>
      </c>
      <c r="EN70" s="60">
        <f t="shared" si="74"/>
        <v>588.94632501044327</v>
      </c>
      <c r="EO70" s="60">
        <f ca="1">AVERAGE(OFFSET($EN$3,0,0,'Données projet'!$E$15+1,1))-AVERAGE(OFFSET($H$3,0,0,'Données projet'!$E$15+1,1))</f>
        <v>236.22643401787644</v>
      </c>
      <c r="EP70" s="60">
        <f t="shared" si="100"/>
        <v>188.80444043778022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8">
        <f t="shared" si="56"/>
        <v>256.66666666666669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0" t="e">
        <f t="shared" si="55"/>
        <v>#NUM!</v>
      </c>
      <c r="S71" s="60">
        <f ca="1">AVERAGE(OFFSET($R$3,0,0,'Données projet'!$E$9+1,1))-AVERAGE(OFFSET($H$3,0,0,'Données projet'!$E$9+1,1))</f>
        <v>144.55635559713392</v>
      </c>
      <c r="T71" s="60">
        <f t="shared" si="88"/>
        <v>349.14692715126904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28.713423101137629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4.2008701685046722E-7</v>
      </c>
      <c r="AC71" s="24">
        <f t="shared" si="57"/>
        <v>28.713423521224644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225.65711999999994</v>
      </c>
      <c r="AK71" s="14">
        <f t="shared" si="89"/>
        <v>55.342610076561513</v>
      </c>
      <c r="AL71" s="22">
        <f t="shared" si="58"/>
        <v>489.40786321667775</v>
      </c>
      <c r="AM71" s="60">
        <f t="shared" si="59"/>
        <v>782.74119655001107</v>
      </c>
      <c r="AN71" s="60">
        <f ca="1">AVERAGE(OFFSET($AM$3,0,0,'Données projet'!$E$10+1,1))-AVERAGE(OFFSET($H$3,0,0,'Données projet'!$E$10+1,1))</f>
        <v>428.8489304403459</v>
      </c>
      <c r="AO71" s="60">
        <f t="shared" si="90"/>
        <v>247.01165577562966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249.39999999999995</v>
      </c>
      <c r="BE71" s="14">
        <f>BD71*VLOOKUP('Données projet'!$B$11,Paramètres!$A$1:$I$89,3,0)*VLOOKUP('Données projet'!$B$11,Paramètres!$A$1:$I$89,5,0)</f>
        <v>252.89159999999998</v>
      </c>
      <c r="BF71" s="14">
        <f t="shared" si="91"/>
        <v>61.204718436590312</v>
      </c>
      <c r="BG71" s="22">
        <f t="shared" si="61"/>
        <v>547.05108794372802</v>
      </c>
      <c r="BH71" s="60">
        <f t="shared" si="62"/>
        <v>840.38442127706139</v>
      </c>
      <c r="BI71" s="60">
        <f ca="1">AVERAGE(OFFSET($BH$3,0,0,'Données projet'!$E$11+1,1))-AVERAGE(OFFSET($H$3,0,0,'Données projet'!$E$11+1,1))</f>
        <v>475.47920969424894</v>
      </c>
      <c r="BJ71" s="60">
        <f t="shared" si="92"/>
        <v>271.73544012419364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3.6</v>
      </c>
      <c r="BY71" s="13">
        <f>IF('Données projet'!$A$114&gt;35,BY70+BX71-CG70,IF(A71&lt;'Données projet'!$A$114,$BV$205^A71,IF(A71='Données projet'!$A$114,'Données projet'!$B$114,BY70+BX71-CG70)))</f>
        <v>124.79999999999995</v>
      </c>
      <c r="BZ71" s="14">
        <f>BY71*VLOOKUP('Données projet'!$B$12,Paramètres!$A$1:$I$89,3,0)*VLOOKUP('Données projet'!$B$12,Paramètres!$A$1:$I$89,5,0)</f>
        <v>120.70655999999997</v>
      </c>
      <c r="CA71" s="14">
        <f t="shared" si="93"/>
        <v>31.839736462736809</v>
      </c>
      <c r="CB71" s="22">
        <f t="shared" si="64"/>
        <v>265.68479967259987</v>
      </c>
      <c r="CC71" s="60">
        <f t="shared" si="65"/>
        <v>559.01813300593312</v>
      </c>
      <c r="CD71" s="60">
        <f ca="1">AVERAGE(OFFSET($CC$3,0,0,'Données projet'!$E$12+1,1))-AVERAGE(OFFSET($H$3,0,0,'Données projet'!$E$12+1,1))</f>
        <v>255.59755832175625</v>
      </c>
      <c r="CE71" s="60">
        <f t="shared" si="94"/>
        <v>154.0840647586964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3.6</v>
      </c>
      <c r="CT71" s="13">
        <f>IF('Données projet'!$A$140&gt;35,CT70+CS71-DB70,IF(A71&lt;'Données projet'!$A$140,$CQ$205^A71,IF(A71='Données projet'!$A$140,'Données projet'!$B$140,CT70+CS71-DB70)))</f>
        <v>124.79999999999995</v>
      </c>
      <c r="CU71" s="18">
        <f>CT71*VLOOKUP('Données projet'!$B$13,Paramètres!$A$1:$I$89,3,0)*VLOOKUP('Données projet'!$B$13,Paramètres!$A$1:$I$89,5,0)</f>
        <v>134.33471999999995</v>
      </c>
      <c r="CV71" s="14">
        <f t="shared" si="95"/>
        <v>34.996065778897268</v>
      </c>
      <c r="CW71" s="22">
        <f t="shared" si="67"/>
        <v>294.91778523157933</v>
      </c>
      <c r="CX71" s="60">
        <f t="shared" si="68"/>
        <v>588.25111856491264</v>
      </c>
      <c r="CY71" s="60">
        <f ca="1">AVERAGE(OFFSET($CX$3,0,0,'Données projet'!$E$13+1,1))-AVERAGE(OFFSET($H$3,0,0,'Données projet'!$E$13+1,1))</f>
        <v>280.20599015000306</v>
      </c>
      <c r="CZ71" s="60">
        <f t="shared" si="96"/>
        <v>166.97658184507787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4.6153846153846185</v>
      </c>
      <c r="DO71" s="13">
        <f>IF('Données projet'!$A$166&gt;35,DO70+DN71-DW70,IF(A71&lt;'Données projet'!$A$166,$DL$205^A71,IF(A71='Données projet'!$A$166,'Données projet'!$B$166,DO70+DN71-DW70)))</f>
        <v>222.8205128205127</v>
      </c>
      <c r="DP71" s="18">
        <f>DO71*VLOOKUP('Données projet'!$B$14,Paramètres!$A$1:$I$89,3,0)*VLOOKUP('Données projet'!$B$14,Paramètres!$A$1:$I$89,5,0)</f>
        <v>149.46799999999993</v>
      </c>
      <c r="DQ71" s="14">
        <f t="shared" si="97"/>
        <v>38.457661723375857</v>
      </c>
      <c r="DR71" s="22">
        <f t="shared" si="70"/>
        <v>327.30386083487946</v>
      </c>
      <c r="DS71" s="60">
        <f t="shared" si="71"/>
        <v>620.63719416821277</v>
      </c>
      <c r="DT71" s="60">
        <f ca="1">AVERAGE(OFFSET($DS$3,0,0,'Données projet'!$E$14+1,1))-AVERAGE(OFFSET($H$3,0,0,'Données projet'!$E$14+1,1))</f>
        <v>291.18686311753402</v>
      </c>
      <c r="DU71" s="60">
        <f t="shared" si="98"/>
        <v>215.44422413249839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4</v>
      </c>
      <c r="EJ71" s="13">
        <f>IF('Données projet'!$A$192&gt;35,EJ70+EI71-ER70,IF(A71&lt;'Données projet'!$A$192,$EG$205^A71,IF(A71='Données projet'!$A$192,'Données projet'!$B$192,EJ70+EI71-ER70)))</f>
        <v>169.99999999999991</v>
      </c>
      <c r="EK71" s="18">
        <f>EJ71*VLOOKUP('Données projet'!$B$15,Paramètres!$A$1:$I$89,3,0)*VLOOKUP('Données projet'!$B$15,Paramètres!$A$1:$I$89,5,0)</f>
        <v>137.90399999999994</v>
      </c>
      <c r="EL71" s="14">
        <f t="shared" si="99"/>
        <v>35.816420593519346</v>
      </c>
      <c r="EM71" s="22">
        <f t="shared" si="73"/>
        <v>302.56306586704608</v>
      </c>
      <c r="EN71" s="60">
        <f t="shared" si="74"/>
        <v>595.89639920037939</v>
      </c>
      <c r="EO71" s="60">
        <f ca="1">AVERAGE(OFFSET($EN$3,0,0,'Données projet'!$E$15+1,1))-AVERAGE(OFFSET($H$3,0,0,'Données projet'!$E$15+1,1))</f>
        <v>236.22643401787644</v>
      </c>
      <c r="EP71" s="60">
        <f t="shared" si="100"/>
        <v>188.80444043778022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8">
        <f t="shared" si="56"/>
        <v>256.66666666666669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0" t="e">
        <f t="shared" si="55"/>
        <v>#NUM!</v>
      </c>
      <c r="S72" s="60">
        <f ca="1">AVERAGE(OFFSET($R$3,0,0,'Données projet'!$E$9+1,1))-AVERAGE(OFFSET($H$3,0,0,'Données projet'!$E$9+1,1))</f>
        <v>144.55635559713392</v>
      </c>
      <c r="T72" s="60">
        <f t="shared" si="88"/>
        <v>349.14692715126904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28.150370387583102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2.9704637830339282E-7</v>
      </c>
      <c r="AC72" s="24">
        <f t="shared" si="57"/>
        <v>28.150370684629479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231.80975999999993</v>
      </c>
      <c r="AK72" s="14">
        <f t="shared" si="89"/>
        <v>56.673815277159328</v>
      </c>
      <c r="AL72" s="22">
        <f t="shared" si="58"/>
        <v>502.44222694105241</v>
      </c>
      <c r="AM72" s="60">
        <f t="shared" si="59"/>
        <v>795.77556027438573</v>
      </c>
      <c r="AN72" s="60">
        <f ca="1">AVERAGE(OFFSET($AM$3,0,0,'Données projet'!$E$10+1,1))-AVERAGE(OFFSET($H$3,0,0,'Données projet'!$E$10+1,1))</f>
        <v>428.8489304403459</v>
      </c>
      <c r="AO72" s="60">
        <f t="shared" si="90"/>
        <v>247.01165577562966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256.19999999999993</v>
      </c>
      <c r="BE72" s="14">
        <f>BD72*VLOOKUP('Données projet'!$B$11,Paramètres!$A$1:$I$89,3,0)*VLOOKUP('Données projet'!$B$11,Paramètres!$A$1:$I$89,5,0)</f>
        <v>259.78679999999997</v>
      </c>
      <c r="BF72" s="14">
        <f t="shared" si="91"/>
        <v>62.676930162260739</v>
      </c>
      <c r="BG72" s="22">
        <f t="shared" si="61"/>
        <v>561.62433003260401</v>
      </c>
      <c r="BH72" s="60">
        <f t="shared" si="62"/>
        <v>854.95766336593738</v>
      </c>
      <c r="BI72" s="60">
        <f ca="1">AVERAGE(OFFSET($BH$3,0,0,'Données projet'!$E$11+1,1))-AVERAGE(OFFSET($H$3,0,0,'Données projet'!$E$11+1,1))</f>
        <v>475.47920969424894</v>
      </c>
      <c r="BJ72" s="60">
        <f t="shared" si="92"/>
        <v>271.73544012419364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3.6</v>
      </c>
      <c r="BY72" s="13">
        <f>IF('Données projet'!$A$114&gt;35,BY71+BX72-CG71,IF(A72&lt;'Données projet'!$A$114,$BV$205^A72,IF(A72='Données projet'!$A$114,'Données projet'!$B$114,BY71+BX72-CG71)))</f>
        <v>128.39999999999995</v>
      </c>
      <c r="BZ72" s="14">
        <f>BY72*VLOOKUP('Données projet'!$B$12,Paramètres!$A$1:$I$89,3,0)*VLOOKUP('Données projet'!$B$12,Paramètres!$A$1:$I$89,5,0)</f>
        <v>124.18847999999994</v>
      </c>
      <c r="CA72" s="14">
        <f t="shared" si="93"/>
        <v>32.64993430645783</v>
      </c>
      <c r="CB72" s="22">
        <f t="shared" si="64"/>
        <v>273.16023825041395</v>
      </c>
      <c r="CC72" s="60">
        <f t="shared" si="65"/>
        <v>566.49357158374733</v>
      </c>
      <c r="CD72" s="60">
        <f ca="1">AVERAGE(OFFSET($CC$3,0,0,'Données projet'!$E$12+1,1))-AVERAGE(OFFSET($H$3,0,0,'Données projet'!$E$12+1,1))</f>
        <v>255.59755832175625</v>
      </c>
      <c r="CE72" s="60">
        <f t="shared" si="94"/>
        <v>154.0840647586964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3.6</v>
      </c>
      <c r="CT72" s="13">
        <f>IF('Données projet'!$A$140&gt;35,CT71+CS72-DB71,IF(A72&lt;'Données projet'!$A$140,$CQ$205^A72,IF(A72='Données projet'!$A$140,'Données projet'!$B$140,CT71+CS72-DB71)))</f>
        <v>128.39999999999995</v>
      </c>
      <c r="CU72" s="18">
        <f>CT72*VLOOKUP('Données projet'!$B$13,Paramètres!$A$1:$I$89,3,0)*VLOOKUP('Données projet'!$B$13,Paramètres!$A$1:$I$89,5,0)</f>
        <v>138.20975999999993</v>
      </c>
      <c r="CV72" s="14">
        <f t="shared" si="95"/>
        <v>35.886579965971777</v>
      </c>
      <c r="CW72" s="22">
        <f t="shared" si="67"/>
        <v>303.21779210740073</v>
      </c>
      <c r="CX72" s="60">
        <f t="shared" si="68"/>
        <v>596.55112544073404</v>
      </c>
      <c r="CY72" s="60">
        <f ca="1">AVERAGE(OFFSET($CX$3,0,0,'Données projet'!$E$13+1,1))-AVERAGE(OFFSET($H$3,0,0,'Données projet'!$E$13+1,1))</f>
        <v>280.20599015000306</v>
      </c>
      <c r="CZ72" s="60">
        <f t="shared" si="96"/>
        <v>166.97658184507787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4.6153846153846185</v>
      </c>
      <c r="DO72" s="13">
        <f>IF('Données projet'!$A$166&gt;35,DO71+DN72-DW71,IF(A72&lt;'Données projet'!$A$166,$DL$205^A72,IF(A72='Données projet'!$A$166,'Données projet'!$B$166,DO71+DN72-DW71)))</f>
        <v>227.43589743589732</v>
      </c>
      <c r="DP72" s="18">
        <f>DO72*VLOOKUP('Données projet'!$B$14,Paramètres!$A$1:$I$89,3,0)*VLOOKUP('Données projet'!$B$14,Paramètres!$A$1:$I$89,5,0)</f>
        <v>152.56399999999994</v>
      </c>
      <c r="DQ72" s="14">
        <f t="shared" si="97"/>
        <v>39.16068780876315</v>
      </c>
      <c r="DR72" s="22">
        <f t="shared" si="70"/>
        <v>333.9204979335957</v>
      </c>
      <c r="DS72" s="60">
        <f t="shared" si="71"/>
        <v>627.25383126692896</v>
      </c>
      <c r="DT72" s="60">
        <f ca="1">AVERAGE(OFFSET($DS$3,0,0,'Données projet'!$E$14+1,1))-AVERAGE(OFFSET($H$3,0,0,'Données projet'!$E$14+1,1))</f>
        <v>291.18686311753402</v>
      </c>
      <c r="DU72" s="60">
        <f t="shared" si="98"/>
        <v>215.44422413249839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4</v>
      </c>
      <c r="EJ72" s="13">
        <f>IF('Données projet'!$A$192&gt;35,EJ71+EI72-ER71,IF(A72&lt;'Données projet'!$A$192,$EG$205^A72,IF(A72='Données projet'!$A$192,'Données projet'!$B$192,EJ71+EI72-ER71)))</f>
        <v>173.99999999999991</v>
      </c>
      <c r="EK72" s="18">
        <f>EJ72*VLOOKUP('Données projet'!$B$15,Paramètres!$A$1:$I$89,3,0)*VLOOKUP('Données projet'!$B$15,Paramètres!$A$1:$I$89,5,0)</f>
        <v>141.14879999999994</v>
      </c>
      <c r="EL72" s="14">
        <f t="shared" si="99"/>
        <v>36.560054140504484</v>
      </c>
      <c r="EM72" s="22">
        <f t="shared" si="73"/>
        <v>309.50958762804521</v>
      </c>
      <c r="EN72" s="60">
        <f t="shared" si="74"/>
        <v>602.84292096137847</v>
      </c>
      <c r="EO72" s="60">
        <f ca="1">AVERAGE(OFFSET($EN$3,0,0,'Données projet'!$E$15+1,1))-AVERAGE(OFFSET($H$3,0,0,'Données projet'!$E$15+1,1))</f>
        <v>236.22643401787644</v>
      </c>
      <c r="EP72" s="60">
        <f t="shared" si="100"/>
        <v>188.80444043778022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8">
        <f t="shared" si="56"/>
        <v>256.66666666666669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0" t="e">
        <f t="shared" si="55"/>
        <v>#NUM!</v>
      </c>
      <c r="S73" s="60">
        <f ca="1">AVERAGE(OFFSET($R$3,0,0,'Données projet'!$E$9+1,1))-AVERAGE(OFFSET($H$3,0,0,'Données projet'!$E$9+1,1))</f>
        <v>144.55635559713392</v>
      </c>
      <c r="T73" s="60">
        <f t="shared" si="88"/>
        <v>349.14692715126904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27.598358794313135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2.1004350842523361E-7</v>
      </c>
      <c r="AC73" s="24">
        <f t="shared" si="57"/>
        <v>27.598359004356645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237.96239999999995</v>
      </c>
      <c r="AK73" s="14">
        <f t="shared" si="89"/>
        <v>58.00091360766335</v>
      </c>
      <c r="AL73" s="22">
        <f t="shared" si="58"/>
        <v>515.4694378666801</v>
      </c>
      <c r="AM73" s="60">
        <f t="shared" si="59"/>
        <v>808.80277120001347</v>
      </c>
      <c r="AN73" s="60">
        <f ca="1">AVERAGE(OFFSET($AM$3,0,0,'Données projet'!$E$10+1,1))-AVERAGE(OFFSET($H$3,0,0,'Données projet'!$E$10+1,1))</f>
        <v>428.8489304403459</v>
      </c>
      <c r="AO73" s="60">
        <f t="shared" si="90"/>
        <v>247.01165577562966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263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262.99999999999994</v>
      </c>
      <c r="BE73" s="14">
        <f>BD73*VLOOKUP('Données projet'!$B$11,Paramètres!$A$1:$I$89,3,0)*VLOOKUP('Données projet'!$B$11,Paramètres!$A$1:$I$89,5,0)</f>
        <v>266.68199999999996</v>
      </c>
      <c r="BF73" s="14">
        <f t="shared" si="91"/>
        <v>64.144600001897771</v>
      </c>
      <c r="BG73" s="22">
        <f t="shared" si="61"/>
        <v>576.189661669972</v>
      </c>
      <c r="BH73" s="60">
        <f t="shared" si="62"/>
        <v>869.52299500330537</v>
      </c>
      <c r="BI73" s="60">
        <f ca="1">AVERAGE(OFFSET($BH$3,0,0,'Données projet'!$E$11+1,1))-AVERAGE(OFFSET($H$3,0,0,'Données projet'!$E$11+1,1))</f>
        <v>475.47920969424894</v>
      </c>
      <c r="BJ73" s="60">
        <f t="shared" si="92"/>
        <v>271.73544012419364</v>
      </c>
      <c r="BK73" s="16">
        <f>IF(ISNA(VLOOKUP(A73,'Données projet'!$A$87:$I$107,3,0)),0,VLOOKUP(A73,'Données projet'!$A$87:$I$107,3,0))</f>
        <v>5</v>
      </c>
      <c r="BL73" s="16">
        <f>IF(ISNA(VLOOKUP(A73,'Données projet'!$A$87:$I$107,4,0)),0,VLOOKUP(A73,'Données projet'!$A$87:$I$107,4,0))</f>
        <v>42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132</v>
      </c>
      <c r="BW73" s="13">
        <f>VLOOKUP(A73,'Données projet'!$A$113:$I$133,9,0)</f>
        <v>3.6</v>
      </c>
      <c r="BX73" s="13">
        <f t="array" ref="BX73">INDEX(BW:BW,MIN(IF(ISNUMBER(BW73:BW269),ROW(BW73:BW269),"")))</f>
        <v>3.6</v>
      </c>
      <c r="BY73" s="13">
        <f>IF('Données projet'!$A$114&gt;35,BY72+BX73-CG72,IF(A73&lt;'Données projet'!$A$114,$BV$205^A73,IF(A73='Données projet'!$A$114,'Données projet'!$B$114,BY72+BX73-CG72)))</f>
        <v>131.99999999999994</v>
      </c>
      <c r="BZ73" s="14">
        <f>BY73*VLOOKUP('Données projet'!$B$12,Paramètres!$A$1:$I$89,3,0)*VLOOKUP('Données projet'!$B$12,Paramètres!$A$1:$I$89,5,0)</f>
        <v>127.67039999999994</v>
      </c>
      <c r="CA73" s="14">
        <f t="shared" si="93"/>
        <v>33.457491972285482</v>
      </c>
      <c r="CB73" s="22">
        <f t="shared" si="64"/>
        <v>280.63107851839709</v>
      </c>
      <c r="CC73" s="60">
        <f t="shared" si="65"/>
        <v>573.96441185173035</v>
      </c>
      <c r="CD73" s="60">
        <f ca="1">AVERAGE(OFFSET($CC$3,0,0,'Données projet'!$E$12+1,1))-AVERAGE(OFFSET($H$3,0,0,'Données projet'!$E$12+1,1))</f>
        <v>255.59755832175625</v>
      </c>
      <c r="CE73" s="60">
        <f t="shared" si="94"/>
        <v>154.0840647586964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132</v>
      </c>
      <c r="CR73" s="13">
        <f>VLOOKUP(A73,'Données projet'!$A$139:$I$159,9,0)</f>
        <v>3.6</v>
      </c>
      <c r="CS73" s="13">
        <f t="array" ref="CS73">INDEX(CR:CR,MIN(IF(ISNUMBER(CR73:CR269),ROW(CR73:CR269),"")))</f>
        <v>3.6</v>
      </c>
      <c r="CT73" s="13">
        <f>IF('Données projet'!$A$140&gt;35,CT72+CS73-DB72,IF(A73&lt;'Données projet'!$A$140,$CQ$205^A73,IF(A73='Données projet'!$A$140,'Données projet'!$B$140,CT72+CS73-DB72)))</f>
        <v>131.99999999999994</v>
      </c>
      <c r="CU73" s="18">
        <f>CT73*VLOOKUP('Données projet'!$B$13,Paramètres!$A$1:$I$89,3,0)*VLOOKUP('Données projet'!$B$13,Paramètres!$A$1:$I$89,5,0)</f>
        <v>142.08479999999994</v>
      </c>
      <c r="CV73" s="14">
        <f t="shared" si="95"/>
        <v>36.77419224965486</v>
      </c>
      <c r="CW73" s="22">
        <f t="shared" si="67"/>
        <v>311.51274483481546</v>
      </c>
      <c r="CX73" s="60">
        <f t="shared" si="68"/>
        <v>604.84607816814878</v>
      </c>
      <c r="CY73" s="60">
        <f ca="1">AVERAGE(OFFSET($CX$3,0,0,'Données projet'!$E$13+1,1))-AVERAGE(OFFSET($H$3,0,0,'Données projet'!$E$13+1,1))</f>
        <v>280.20599015000306</v>
      </c>
      <c r="CZ73" s="60">
        <f t="shared" si="96"/>
        <v>166.97658184507787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232.05128205128204</v>
      </c>
      <c r="DM73" s="13">
        <f>VLOOKUP(A73,'Données projet'!$A$165:$I$185,9,0)</f>
        <v>4.6153846153846185</v>
      </c>
      <c r="DN73" s="13">
        <f t="array" ref="DN73">INDEX(DM:DM,MIN(IF(ISNUMBER(DM73:DM269),ROW(DM73:DM269),"")))</f>
        <v>4.6153846153846185</v>
      </c>
      <c r="DO73" s="13">
        <f>IF('Données projet'!$A$166&gt;35,DO72+DN73-DW72,IF(A73&lt;'Données projet'!$A$166,$DL$205^A73,IF(A73='Données projet'!$A$166,'Données projet'!$B$166,DO72+DN73-DW72)))</f>
        <v>232.05128205128193</v>
      </c>
      <c r="DP73" s="18">
        <f>DO73*VLOOKUP('Données projet'!$B$14,Paramètres!$A$1:$I$89,3,0)*VLOOKUP('Données projet'!$B$14,Paramètres!$A$1:$I$89,5,0)</f>
        <v>155.65999999999991</v>
      </c>
      <c r="DQ73" s="14">
        <f t="shared" si="97"/>
        <v>39.862055101936797</v>
      </c>
      <c r="DR73" s="22">
        <f t="shared" si="70"/>
        <v>340.53424596920644</v>
      </c>
      <c r="DS73" s="60">
        <f t="shared" si="71"/>
        <v>633.86757930253975</v>
      </c>
      <c r="DT73" s="60">
        <f ca="1">AVERAGE(OFFSET($DS$3,0,0,'Données projet'!$E$14+1,1))-AVERAGE(OFFSET($H$3,0,0,'Données projet'!$E$14+1,1))</f>
        <v>291.18686311753402</v>
      </c>
      <c r="DU73" s="60">
        <f t="shared" si="98"/>
        <v>215.44422413249839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178</v>
      </c>
      <c r="EH73" s="13">
        <f>VLOOKUP(A73,'Données projet'!$A$191:$I$211,9,0)</f>
        <v>4</v>
      </c>
      <c r="EI73" s="13">
        <f t="array" ref="EI73">INDEX(EH:EH,MIN(IF(ISNUMBER(EH73:EH269),ROW(EH73:EH269),"")))</f>
        <v>4</v>
      </c>
      <c r="EJ73" s="13">
        <f>IF('Données projet'!$A$192&gt;35,EJ72+EI73-ER72,IF(A73&lt;'Données projet'!$A$192,$EG$205^A73,IF(A73='Données projet'!$A$192,'Données projet'!$B$192,EJ72+EI73-ER72)))</f>
        <v>177.99999999999991</v>
      </c>
      <c r="EK73" s="18">
        <f>EJ73*VLOOKUP('Données projet'!$B$15,Paramètres!$A$1:$I$89,3,0)*VLOOKUP('Données projet'!$B$15,Paramètres!$A$1:$I$89,5,0)</f>
        <v>144.39359999999994</v>
      </c>
      <c r="EL73" s="14">
        <f t="shared" si="99"/>
        <v>37.301700301601691</v>
      </c>
      <c r="EM73" s="22">
        <f t="shared" si="73"/>
        <v>316.45264802528953</v>
      </c>
      <c r="EN73" s="60">
        <f t="shared" si="74"/>
        <v>609.78598135862285</v>
      </c>
      <c r="EO73" s="60">
        <f ca="1">AVERAGE(OFFSET($EN$3,0,0,'Données projet'!$E$15+1,1))-AVERAGE(OFFSET($H$3,0,0,'Données projet'!$E$15+1,1))</f>
        <v>236.22643401787644</v>
      </c>
      <c r="EP73" s="60">
        <f t="shared" si="100"/>
        <v>188.80444043778022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8">
        <f t="shared" si="56"/>
        <v>256.66666666666669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0" t="e">
        <f t="shared" si="55"/>
        <v>#NUM!</v>
      </c>
      <c r="S74" s="60">
        <f ca="1">AVERAGE(OFFSET($R$3,0,0,'Données projet'!$E$9+1,1))-AVERAGE(OFFSET($H$3,0,0,'Données projet'!$E$9+1,1))</f>
        <v>144.55635559713392</v>
      </c>
      <c r="T74" s="60">
        <f t="shared" si="88"/>
        <v>349.14692715126904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27.057171811693365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1.4852318915169641E-7</v>
      </c>
      <c r="AC74" s="24">
        <f t="shared" si="57"/>
        <v>27.057171960216554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205.57055999999994</v>
      </c>
      <c r="AK74" s="14">
        <f t="shared" si="89"/>
        <v>50.966443946767392</v>
      </c>
      <c r="AL74" s="22">
        <f t="shared" si="58"/>
        <v>446.80194854061978</v>
      </c>
      <c r="AM74" s="60">
        <f t="shared" si="59"/>
        <v>740.13528187395309</v>
      </c>
      <c r="AN74" s="60">
        <f ca="1">AVERAGE(OFFSET($AM$3,0,0,'Données projet'!$E$10+1,1))-AVERAGE(OFFSET($H$3,0,0,'Données projet'!$E$10+1,1))</f>
        <v>428.8489304403459</v>
      </c>
      <c r="AO74" s="60">
        <f t="shared" si="90"/>
        <v>247.01165577562966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227.19999999999993</v>
      </c>
      <c r="BE74" s="14">
        <f>BD74*VLOOKUP('Données projet'!$B$11,Paramètres!$A$1:$I$89,3,0)*VLOOKUP('Données projet'!$B$11,Paramètres!$A$1:$I$89,5,0)</f>
        <v>230.38079999999994</v>
      </c>
      <c r="BF74" s="14">
        <f t="shared" si="91"/>
        <v>56.365011465139979</v>
      </c>
      <c r="BG74" s="22">
        <f t="shared" si="61"/>
        <v>499.41562163511867</v>
      </c>
      <c r="BH74" s="60">
        <f t="shared" si="62"/>
        <v>792.74895496845193</v>
      </c>
      <c r="BI74" s="60">
        <f ca="1">AVERAGE(OFFSET($BH$3,0,0,'Données projet'!$E$11+1,1))-AVERAGE(OFFSET($H$3,0,0,'Données projet'!$E$11+1,1))</f>
        <v>475.47920969424894</v>
      </c>
      <c r="BJ74" s="60">
        <f t="shared" si="92"/>
        <v>271.73544012419364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3.4</v>
      </c>
      <c r="BY74" s="13">
        <f>IF('Données projet'!$A$114&gt;35,BY73+BX74-CG73,IF(A74&lt;'Données projet'!$A$114,$BV$205^A74,IF(A74='Données projet'!$A$114,'Données projet'!$B$114,BY73+BX74-CG73)))</f>
        <v>135.39999999999995</v>
      </c>
      <c r="BZ74" s="14">
        <f>BY74*VLOOKUP('Données projet'!$B$12,Paramètres!$A$1:$I$89,3,0)*VLOOKUP('Données projet'!$B$12,Paramètres!$A$1:$I$89,5,0)</f>
        <v>130.95887999999994</v>
      </c>
      <c r="CA74" s="14">
        <f t="shared" si="93"/>
        <v>34.217833491149499</v>
      </c>
      <c r="CB74" s="22">
        <f t="shared" si="64"/>
        <v>287.68277599708523</v>
      </c>
      <c r="CC74" s="60">
        <f t="shared" si="65"/>
        <v>581.01610933041854</v>
      </c>
      <c r="CD74" s="60">
        <f ca="1">AVERAGE(OFFSET($CC$3,0,0,'Données projet'!$E$12+1,1))-AVERAGE(OFFSET($H$3,0,0,'Données projet'!$E$12+1,1))</f>
        <v>255.59755832175625</v>
      </c>
      <c r="CE74" s="60">
        <f t="shared" si="94"/>
        <v>154.0840647586964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3.4</v>
      </c>
      <c r="CT74" s="13">
        <f>IF('Données projet'!$A$140&gt;35,CT73+CS74-DB73,IF(A74&lt;'Données projet'!$A$140,$CQ$205^A74,IF(A74='Données projet'!$A$140,'Données projet'!$B$140,CT73+CS74-DB73)))</f>
        <v>135.39999999999995</v>
      </c>
      <c r="CU74" s="18">
        <f>CT74*VLOOKUP('Données projet'!$B$13,Paramètres!$A$1:$I$89,3,0)*VLOOKUP('Données projet'!$B$13,Paramètres!$A$1:$I$89,5,0)</f>
        <v>145.74455999999995</v>
      </c>
      <c r="CV74" s="14">
        <f t="shared" si="95"/>
        <v>37.609907766324859</v>
      </c>
      <c r="CW74" s="22">
        <f t="shared" si="67"/>
        <v>319.34236469301567</v>
      </c>
      <c r="CX74" s="60">
        <f t="shared" si="68"/>
        <v>612.67569802634898</v>
      </c>
      <c r="CY74" s="60">
        <f ca="1">AVERAGE(OFFSET($CX$3,0,0,'Données projet'!$E$13+1,1))-AVERAGE(OFFSET($H$3,0,0,'Données projet'!$E$13+1,1))</f>
        <v>280.20599015000306</v>
      </c>
      <c r="CZ74" s="60">
        <f t="shared" si="96"/>
        <v>166.97658184507787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4.2307692307692317</v>
      </c>
      <c r="DO74" s="13">
        <f>IF('Données projet'!$A$166&gt;35,DO73+DN74-DW73,IF(A74&lt;'Données projet'!$A$166,$DL$205^A74,IF(A74='Données projet'!$A$166,'Données projet'!$B$166,DO73+DN74-DW73)))</f>
        <v>236.28205128205116</v>
      </c>
      <c r="DP74" s="18">
        <f>DO74*VLOOKUP('Données projet'!$B$14,Paramètres!$A$1:$I$89,3,0)*VLOOKUP('Données projet'!$B$14,Paramètres!$A$1:$I$89,5,0)</f>
        <v>158.49799999999993</v>
      </c>
      <c r="DQ74" s="14">
        <f t="shared" si="97"/>
        <v>40.503549370816764</v>
      </c>
      <c r="DR74" s="22">
        <f t="shared" si="70"/>
        <v>346.59436515417241</v>
      </c>
      <c r="DS74" s="60">
        <f t="shared" si="71"/>
        <v>639.92769848750572</v>
      </c>
      <c r="DT74" s="60">
        <f ca="1">AVERAGE(OFFSET($DS$3,0,0,'Données projet'!$E$14+1,1))-AVERAGE(OFFSET($H$3,0,0,'Données projet'!$E$14+1,1))</f>
        <v>291.18686311753402</v>
      </c>
      <c r="DU74" s="60">
        <f t="shared" si="98"/>
        <v>215.44422413249839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3.6</v>
      </c>
      <c r="EJ74" s="13">
        <f>IF('Données projet'!$A$192&gt;35,EJ73+EI74-ER73,IF(A74&lt;'Données projet'!$A$192,$EG$205^A74,IF(A74='Données projet'!$A$192,'Données projet'!$B$192,EJ73+EI74-ER73)))</f>
        <v>181.59999999999991</v>
      </c>
      <c r="EK74" s="18">
        <f>EJ74*VLOOKUP('Données projet'!$B$15,Paramètres!$A$1:$I$89,3,0)*VLOOKUP('Données projet'!$B$15,Paramètres!$A$1:$I$89,5,0)</f>
        <v>147.31391999999994</v>
      </c>
      <c r="EL74" s="14">
        <f t="shared" si="99"/>
        <v>37.967523841665994</v>
      </c>
      <c r="EM74" s="22">
        <f t="shared" si="73"/>
        <v>322.6985146909015</v>
      </c>
      <c r="EN74" s="60">
        <f t="shared" si="74"/>
        <v>616.03184802423482</v>
      </c>
      <c r="EO74" s="60">
        <f ca="1">AVERAGE(OFFSET($EN$3,0,0,'Données projet'!$E$15+1,1))-AVERAGE(OFFSET($H$3,0,0,'Données projet'!$E$15+1,1))</f>
        <v>236.22643401787644</v>
      </c>
      <c r="EP74" s="60">
        <f t="shared" si="100"/>
        <v>188.80444043778022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8">
        <f t="shared" si="56"/>
        <v>256.66666666666669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0" t="e">
        <f t="shared" si="55"/>
        <v>#NUM!</v>
      </c>
      <c r="S75" s="60">
        <f ca="1">AVERAGE(OFFSET($R$3,0,0,'Données projet'!$E$9+1,1))-AVERAGE(OFFSET($H$3,0,0,'Données projet'!$E$9+1,1))</f>
        <v>144.55635559713392</v>
      </c>
      <c r="T75" s="60">
        <f t="shared" si="88"/>
        <v>349.14692715126904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26.526597175711302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1.050217542126168E-7</v>
      </c>
      <c r="AC75" s="24">
        <f t="shared" si="57"/>
        <v>26.526597280733057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211.18031999999994</v>
      </c>
      <c r="AK75" s="14">
        <f t="shared" si="89"/>
        <v>52.193431117443019</v>
      </c>
      <c r="AL75" s="22">
        <f t="shared" si="58"/>
        <v>458.70928319621316</v>
      </c>
      <c r="AM75" s="60">
        <f t="shared" si="59"/>
        <v>752.04261652954642</v>
      </c>
      <c r="AN75" s="60">
        <f ca="1">AVERAGE(OFFSET($AM$3,0,0,'Données projet'!$E$10+1,1))-AVERAGE(OFFSET($H$3,0,0,'Données projet'!$E$10+1,1))</f>
        <v>428.8489304403459</v>
      </c>
      <c r="AO75" s="60">
        <f t="shared" si="90"/>
        <v>247.01165577562966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233.39999999999992</v>
      </c>
      <c r="BE75" s="14">
        <f>BD75*VLOOKUP('Données projet'!$B$11,Paramètres!$A$1:$I$89,3,0)*VLOOKUP('Données projet'!$B$11,Paramètres!$A$1:$I$89,5,0)</f>
        <v>236.66759999999994</v>
      </c>
      <c r="BF75" s="14">
        <f t="shared" si="91"/>
        <v>57.721965974560838</v>
      </c>
      <c r="BG75" s="22">
        <f t="shared" si="61"/>
        <v>512.72849407235992</v>
      </c>
      <c r="BH75" s="60">
        <f t="shared" si="62"/>
        <v>806.06182740569329</v>
      </c>
      <c r="BI75" s="60">
        <f ca="1">AVERAGE(OFFSET($BH$3,0,0,'Données projet'!$E$11+1,1))-AVERAGE(OFFSET($H$3,0,0,'Données projet'!$E$11+1,1))</f>
        <v>475.47920969424894</v>
      </c>
      <c r="BJ75" s="60">
        <f t="shared" si="92"/>
        <v>271.73544012419364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3.4</v>
      </c>
      <c r="BY75" s="13">
        <f>IF('Données projet'!$A$114&gt;35,BY74+BX75-CG74,IF(A75&lt;'Données projet'!$A$114,$BV$205^A75,IF(A75='Données projet'!$A$114,'Données projet'!$B$114,BY74+BX75-CG74)))</f>
        <v>138.79999999999995</v>
      </c>
      <c r="BZ75" s="14">
        <f>BY75*VLOOKUP('Données projet'!$B$12,Paramètres!$A$1:$I$89,3,0)*VLOOKUP('Données projet'!$B$12,Paramètres!$A$1:$I$89,5,0)</f>
        <v>134.24735999999996</v>
      </c>
      <c r="CA75" s="14">
        <f t="shared" si="93"/>
        <v>34.975955609758309</v>
      </c>
      <c r="CB75" s="22">
        <f t="shared" si="64"/>
        <v>294.73060802032893</v>
      </c>
      <c r="CC75" s="60">
        <f t="shared" si="65"/>
        <v>588.06394135366224</v>
      </c>
      <c r="CD75" s="60">
        <f ca="1">AVERAGE(OFFSET($CC$3,0,0,'Données projet'!$E$12+1,1))-AVERAGE(OFFSET($H$3,0,0,'Données projet'!$E$12+1,1))</f>
        <v>255.59755832175625</v>
      </c>
      <c r="CE75" s="60">
        <f t="shared" si="94"/>
        <v>154.0840647586964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3.4</v>
      </c>
      <c r="CT75" s="13">
        <f>IF('Données projet'!$A$140&gt;35,CT74+CS75-DB74,IF(A75&lt;'Données projet'!$A$140,$CQ$205^A75,IF(A75='Données projet'!$A$140,'Données projet'!$B$140,CT74+CS75-DB74)))</f>
        <v>138.79999999999995</v>
      </c>
      <c r="CU75" s="18">
        <f>CT75*VLOOKUP('Données projet'!$B$13,Paramètres!$A$1:$I$89,3,0)*VLOOKUP('Données projet'!$B$13,Paramètres!$A$1:$I$89,5,0)</f>
        <v>149.40431999999996</v>
      </c>
      <c r="CV75" s="14">
        <f t="shared" si="95"/>
        <v>38.443183869672019</v>
      </c>
      <c r="CW75" s="22">
        <f t="shared" si="67"/>
        <v>327.16773590634534</v>
      </c>
      <c r="CX75" s="60">
        <f t="shared" si="68"/>
        <v>620.5010692396786</v>
      </c>
      <c r="CY75" s="60">
        <f ca="1">AVERAGE(OFFSET($CX$3,0,0,'Données projet'!$E$13+1,1))-AVERAGE(OFFSET($H$3,0,0,'Données projet'!$E$13+1,1))</f>
        <v>280.20599015000306</v>
      </c>
      <c r="CZ75" s="60">
        <f t="shared" si="96"/>
        <v>166.97658184507787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4.2307692307692317</v>
      </c>
      <c r="DO75" s="13">
        <f>IF('Données projet'!$A$166&gt;35,DO74+DN75-DW74,IF(A75&lt;'Données projet'!$A$166,$DL$205^A75,IF(A75='Données projet'!$A$166,'Données projet'!$B$166,DO74+DN75-DW74)))</f>
        <v>240.51282051282038</v>
      </c>
      <c r="DP75" s="18">
        <f>DO75*VLOOKUP('Données projet'!$B$14,Paramètres!$A$1:$I$89,3,0)*VLOOKUP('Données projet'!$B$14,Paramètres!$A$1:$I$89,5,0)</f>
        <v>161.33599999999993</v>
      </c>
      <c r="DQ75" s="14">
        <f t="shared" si="97"/>
        <v>41.143707947471945</v>
      </c>
      <c r="DR75" s="22">
        <f t="shared" si="70"/>
        <v>352.65215800851342</v>
      </c>
      <c r="DS75" s="60">
        <f t="shared" si="71"/>
        <v>645.98549134184668</v>
      </c>
      <c r="DT75" s="60">
        <f ca="1">AVERAGE(OFFSET($DS$3,0,0,'Données projet'!$E$14+1,1))-AVERAGE(OFFSET($H$3,0,0,'Données projet'!$E$14+1,1))</f>
        <v>291.18686311753402</v>
      </c>
      <c r="DU75" s="60">
        <f t="shared" si="98"/>
        <v>215.44422413249839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3.6</v>
      </c>
      <c r="EJ75" s="13">
        <f>IF('Données projet'!$A$192&gt;35,EJ74+EI75-ER74,IF(A75&lt;'Données projet'!$A$192,$EG$205^A75,IF(A75='Données projet'!$A$192,'Données projet'!$B$192,EJ74+EI75-ER74)))</f>
        <v>185.1999999999999</v>
      </c>
      <c r="EK75" s="18">
        <f>EJ75*VLOOKUP('Données projet'!$B$15,Paramètres!$A$1:$I$89,3,0)*VLOOKUP('Données projet'!$B$15,Paramètres!$A$1:$I$89,5,0)</f>
        <v>150.23423999999994</v>
      </c>
      <c r="EL75" s="14">
        <f t="shared" si="99"/>
        <v>38.631812666215332</v>
      </c>
      <c r="EM75" s="22">
        <f t="shared" si="73"/>
        <v>328.94170839365825</v>
      </c>
      <c r="EN75" s="60">
        <f t="shared" si="74"/>
        <v>622.2750417269915</v>
      </c>
      <c r="EO75" s="60">
        <f ca="1">AVERAGE(OFFSET($EN$3,0,0,'Données projet'!$E$15+1,1))-AVERAGE(OFFSET($H$3,0,0,'Données projet'!$E$15+1,1))</f>
        <v>236.22643401787644</v>
      </c>
      <c r="EP75" s="60">
        <f t="shared" si="100"/>
        <v>188.80444043778022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8">
        <f t="shared" si="56"/>
        <v>256.66666666666669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0" t="e">
        <f t="shared" si="55"/>
        <v>#NUM!</v>
      </c>
      <c r="S76" s="60">
        <f ca="1">AVERAGE(OFFSET($R$3,0,0,'Données projet'!$E$9+1,1))-AVERAGE(OFFSET($H$3,0,0,'Données projet'!$E$9+1,1))</f>
        <v>144.55635559713392</v>
      </c>
      <c r="T76" s="60">
        <f t="shared" si="88"/>
        <v>349.14692715126904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26.006426784722276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7.4261594575848205E-8</v>
      </c>
      <c r="AC76" s="24">
        <f t="shared" si="57"/>
        <v>26.006426858983872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216.7900799999999</v>
      </c>
      <c r="AK76" s="14">
        <f t="shared" si="89"/>
        <v>53.416629794462551</v>
      </c>
      <c r="AL76" s="22">
        <f t="shared" si="58"/>
        <v>470.61001955868869</v>
      </c>
      <c r="AM76" s="60">
        <f t="shared" si="59"/>
        <v>763.94335289202195</v>
      </c>
      <c r="AN76" s="60">
        <f ca="1">AVERAGE(OFFSET($AM$3,0,0,'Données projet'!$E$10+1,1))-AVERAGE(OFFSET($H$3,0,0,'Données projet'!$E$10+1,1))</f>
        <v>428.8489304403459</v>
      </c>
      <c r="AO76" s="60">
        <f t="shared" si="90"/>
        <v>247.01165577562966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239.59999999999991</v>
      </c>
      <c r="BE76" s="14">
        <f>BD76*VLOOKUP('Données projet'!$B$11,Paramètres!$A$1:$I$89,3,0)*VLOOKUP('Données projet'!$B$11,Paramètres!$A$1:$I$89,5,0)</f>
        <v>242.95439999999994</v>
      </c>
      <c r="BF76" s="14">
        <f t="shared" si="91"/>
        <v>59.074730698078945</v>
      </c>
      <c r="BG76" s="22">
        <f t="shared" si="61"/>
        <v>526.034069299154</v>
      </c>
      <c r="BH76" s="60">
        <f t="shared" si="62"/>
        <v>819.36740263248726</v>
      </c>
      <c r="BI76" s="60">
        <f ca="1">AVERAGE(OFFSET($BH$3,0,0,'Données projet'!$E$11+1,1))-AVERAGE(OFFSET($H$3,0,0,'Données projet'!$E$11+1,1))</f>
        <v>475.47920969424894</v>
      </c>
      <c r="BJ76" s="60">
        <f t="shared" si="92"/>
        <v>271.73544012419364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3.4</v>
      </c>
      <c r="BY76" s="13">
        <f>IF('Données projet'!$A$114&gt;35,BY75+BX76-CG75,IF(A76&lt;'Données projet'!$A$114,$BV$205^A76,IF(A76='Données projet'!$A$114,'Données projet'!$B$114,BY75+BX76-CG75)))</f>
        <v>142.19999999999996</v>
      </c>
      <c r="BZ76" s="14">
        <f>BY76*VLOOKUP('Données projet'!$B$12,Paramètres!$A$1:$I$89,3,0)*VLOOKUP('Données projet'!$B$12,Paramètres!$A$1:$I$89,5,0)</f>
        <v>137.53583999999995</v>
      </c>
      <c r="CA76" s="14">
        <f t="shared" si="93"/>
        <v>35.731918947808438</v>
      </c>
      <c r="CB76" s="22">
        <f t="shared" si="64"/>
        <v>301.7746801674329</v>
      </c>
      <c r="CC76" s="60">
        <f t="shared" si="65"/>
        <v>595.10801350076622</v>
      </c>
      <c r="CD76" s="60">
        <f ca="1">AVERAGE(OFFSET($CC$3,0,0,'Données projet'!$E$12+1,1))-AVERAGE(OFFSET($H$3,0,0,'Données projet'!$E$12+1,1))</f>
        <v>255.59755832175625</v>
      </c>
      <c r="CE76" s="60">
        <f t="shared" si="94"/>
        <v>154.0840647586964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3.4</v>
      </c>
      <c r="CT76" s="13">
        <f>IF('Données projet'!$A$140&gt;35,CT75+CS76-DB75,IF(A76&lt;'Données projet'!$A$140,$CQ$205^A76,IF(A76='Données projet'!$A$140,'Données projet'!$B$140,CT75+CS76-DB75)))</f>
        <v>142.19999999999996</v>
      </c>
      <c r="CU76" s="18">
        <f>CT76*VLOOKUP('Données projet'!$B$13,Paramètres!$A$1:$I$89,3,0)*VLOOKUP('Données projet'!$B$13,Paramètres!$A$1:$I$89,5,0)</f>
        <v>153.06407999999996</v>
      </c>
      <c r="CV76" s="14">
        <f t="shared" si="95"/>
        <v>39.27408718873059</v>
      </c>
      <c r="CW76" s="22">
        <f t="shared" si="67"/>
        <v>334.98897452037232</v>
      </c>
      <c r="CX76" s="60">
        <f t="shared" si="68"/>
        <v>628.32230785370564</v>
      </c>
      <c r="CY76" s="60">
        <f ca="1">AVERAGE(OFFSET($CX$3,0,0,'Données projet'!$E$13+1,1))-AVERAGE(OFFSET($H$3,0,0,'Données projet'!$E$13+1,1))</f>
        <v>280.20599015000306</v>
      </c>
      <c r="CZ76" s="60">
        <f t="shared" si="96"/>
        <v>166.97658184507787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4.2307692307692317</v>
      </c>
      <c r="DO76" s="13">
        <f>IF('Données projet'!$A$166&gt;35,DO75+DN76-DW75,IF(A76&lt;'Données projet'!$A$166,$DL$205^A76,IF(A76='Données projet'!$A$166,'Données projet'!$B$166,DO75+DN76-DW75)))</f>
        <v>244.74358974358961</v>
      </c>
      <c r="DP76" s="18">
        <f>DO76*VLOOKUP('Données projet'!$B$14,Paramètres!$A$1:$I$89,3,0)*VLOOKUP('Données projet'!$B$14,Paramètres!$A$1:$I$89,5,0)</f>
        <v>164.17399999999989</v>
      </c>
      <c r="DQ76" s="14">
        <f t="shared" si="97"/>
        <v>41.782557038337067</v>
      </c>
      <c r="DR76" s="22">
        <f t="shared" si="70"/>
        <v>358.7076701751036</v>
      </c>
      <c r="DS76" s="60">
        <f t="shared" si="71"/>
        <v>652.04100350843692</v>
      </c>
      <c r="DT76" s="60">
        <f ca="1">AVERAGE(OFFSET($DS$3,0,0,'Données projet'!$E$14+1,1))-AVERAGE(OFFSET($H$3,0,0,'Données projet'!$E$14+1,1))</f>
        <v>291.18686311753402</v>
      </c>
      <c r="DU76" s="60">
        <f t="shared" si="98"/>
        <v>215.44422413249839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3.6</v>
      </c>
      <c r="EJ76" s="13">
        <f>IF('Données projet'!$A$192&gt;35,EJ75+EI76-ER75,IF(A76&lt;'Données projet'!$A$192,$EG$205^A76,IF(A76='Données projet'!$A$192,'Données projet'!$B$192,EJ75+EI76-ER75)))</f>
        <v>188.7999999999999</v>
      </c>
      <c r="EK76" s="18">
        <f>EJ76*VLOOKUP('Données projet'!$B$15,Paramètres!$A$1:$I$89,3,0)*VLOOKUP('Données projet'!$B$15,Paramètres!$A$1:$I$89,5,0)</f>
        <v>153.15455999999992</v>
      </c>
      <c r="EL76" s="14">
        <f t="shared" si="99"/>
        <v>39.29460004681124</v>
      </c>
      <c r="EM76" s="22">
        <f t="shared" si="73"/>
        <v>335.18228708152941</v>
      </c>
      <c r="EN76" s="60">
        <f t="shared" si="74"/>
        <v>628.51562041486272</v>
      </c>
      <c r="EO76" s="60">
        <f ca="1">AVERAGE(OFFSET($EN$3,0,0,'Données projet'!$E$15+1,1))-AVERAGE(OFFSET($H$3,0,0,'Données projet'!$E$15+1,1))</f>
        <v>236.22643401787644</v>
      </c>
      <c r="EP76" s="60">
        <f t="shared" si="100"/>
        <v>188.80444043778022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8">
        <f t="shared" si="56"/>
        <v>256.66666666666669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0" t="e">
        <f t="shared" si="55"/>
        <v>#NUM!</v>
      </c>
      <c r="S77" s="60">
        <f ca="1">AVERAGE(OFFSET($R$3,0,0,'Données projet'!$E$9+1,1))-AVERAGE(OFFSET($H$3,0,0,'Données projet'!$E$9+1,1))</f>
        <v>144.55635559713392</v>
      </c>
      <c r="T77" s="60">
        <f t="shared" si="88"/>
        <v>349.14692715126904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25.496456617827935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5.2510877106308402E-8</v>
      </c>
      <c r="AC77" s="24">
        <f t="shared" si="57"/>
        <v>25.496456670338812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222.3998399999999</v>
      </c>
      <c r="AK77" s="14">
        <f t="shared" si="89"/>
        <v>54.636149281681448</v>
      </c>
      <c r="AL77" s="22">
        <f t="shared" si="58"/>
        <v>482.50434799892832</v>
      </c>
      <c r="AM77" s="60">
        <f t="shared" si="59"/>
        <v>775.83768133226158</v>
      </c>
      <c r="AN77" s="60">
        <f ca="1">AVERAGE(OFFSET($AM$3,0,0,'Données projet'!$E$10+1,1))-AVERAGE(OFFSET($H$3,0,0,'Données projet'!$E$10+1,1))</f>
        <v>428.8489304403459</v>
      </c>
      <c r="AO77" s="60">
        <f t="shared" si="90"/>
        <v>247.01165577562966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</v>
      </c>
      <c r="BE77" s="14">
        <f>BD77*VLOOKUP('Données projet'!$B$11,Paramètres!$A$1:$I$89,3,0)*VLOOKUP('Données projet'!$B$11,Paramètres!$A$1:$I$89,5,0)</f>
        <v>249.24119999999988</v>
      </c>
      <c r="BF77" s="14">
        <f t="shared" si="91"/>
        <v>60.42342651744687</v>
      </c>
      <c r="BG77" s="22">
        <f t="shared" si="61"/>
        <v>539.3325578512198</v>
      </c>
      <c r="BH77" s="60">
        <f t="shared" si="62"/>
        <v>832.66589118455317</v>
      </c>
      <c r="BI77" s="60">
        <f ca="1">AVERAGE(OFFSET($BH$3,0,0,'Données projet'!$E$11+1,1))-AVERAGE(OFFSET($H$3,0,0,'Données projet'!$E$11+1,1))</f>
        <v>475.47920969424894</v>
      </c>
      <c r="BJ77" s="60">
        <f t="shared" si="92"/>
        <v>271.73544012419364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3.4</v>
      </c>
      <c r="BY77" s="13">
        <f>IF('Données projet'!$A$114&gt;35,BY76+BX77-CG76,IF(A77&lt;'Données projet'!$A$114,$BV$205^A77,IF(A77='Données projet'!$A$114,'Données projet'!$B$114,BY76+BX77-CG76)))</f>
        <v>145.59999999999997</v>
      </c>
      <c r="BZ77" s="14">
        <f>BY77*VLOOKUP('Données projet'!$B$12,Paramètres!$A$1:$I$89,3,0)*VLOOKUP('Données projet'!$B$12,Paramètres!$A$1:$I$89,5,0)</f>
        <v>140.82431999999997</v>
      </c>
      <c r="CA77" s="14">
        <f t="shared" si="93"/>
        <v>36.485781060837802</v>
      </c>
      <c r="CB77" s="22">
        <f t="shared" si="64"/>
        <v>308.81509268095914</v>
      </c>
      <c r="CC77" s="60">
        <f t="shared" si="65"/>
        <v>602.14842601429245</v>
      </c>
      <c r="CD77" s="60">
        <f ca="1">AVERAGE(OFFSET($CC$3,0,0,'Données projet'!$E$12+1,1))-AVERAGE(OFFSET($H$3,0,0,'Données projet'!$E$12+1,1))</f>
        <v>255.59755832175625</v>
      </c>
      <c r="CE77" s="60">
        <f t="shared" si="94"/>
        <v>154.0840647586964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3.4</v>
      </c>
      <c r="CT77" s="13">
        <f>IF('Données projet'!$A$140&gt;35,CT76+CS77-DB76,IF(A77&lt;'Données projet'!$A$140,$CQ$205^A77,IF(A77='Données projet'!$A$140,'Données projet'!$B$140,CT76+CS77-DB76)))</f>
        <v>145.59999999999997</v>
      </c>
      <c r="CU77" s="18">
        <f>CT77*VLOOKUP('Données projet'!$B$13,Paramètres!$A$1:$I$89,3,0)*VLOOKUP('Données projet'!$B$13,Paramètres!$A$1:$I$89,5,0)</f>
        <v>156.72383999999997</v>
      </c>
      <c r="CV77" s="14">
        <f t="shared" si="95"/>
        <v>40.102680984620484</v>
      </c>
      <c r="CW77" s="22">
        <f t="shared" si="67"/>
        <v>342.80619071488059</v>
      </c>
      <c r="CX77" s="60">
        <f t="shared" si="68"/>
        <v>636.13952404821384</v>
      </c>
      <c r="CY77" s="60">
        <f ca="1">AVERAGE(OFFSET($CX$3,0,0,'Données projet'!$E$13+1,1))-AVERAGE(OFFSET($H$3,0,0,'Données projet'!$E$13+1,1))</f>
        <v>280.20599015000306</v>
      </c>
      <c r="CZ77" s="60">
        <f t="shared" si="96"/>
        <v>166.97658184507787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4.2307692307692317</v>
      </c>
      <c r="DO77" s="13">
        <f>IF('Données projet'!$A$166&gt;35,DO76+DN77-DW76,IF(A77&lt;'Données projet'!$A$166,$DL$205^A77,IF(A77='Données projet'!$A$166,'Données projet'!$B$166,DO76+DN77-DW76)))</f>
        <v>248.97435897435884</v>
      </c>
      <c r="DP77" s="18">
        <f>DO77*VLOOKUP('Données projet'!$B$14,Paramètres!$A$1:$I$89,3,0)*VLOOKUP('Données projet'!$B$14,Paramètres!$A$1:$I$89,5,0)</f>
        <v>167.01199999999992</v>
      </c>
      <c r="DQ77" s="14">
        <f t="shared" si="97"/>
        <v>42.420121891899903</v>
      </c>
      <c r="DR77" s="22">
        <f t="shared" si="70"/>
        <v>364.76094562839216</v>
      </c>
      <c r="DS77" s="60">
        <f t="shared" si="71"/>
        <v>658.09427896172542</v>
      </c>
      <c r="DT77" s="60">
        <f ca="1">AVERAGE(OFFSET($DS$3,0,0,'Données projet'!$E$14+1,1))-AVERAGE(OFFSET($H$3,0,0,'Données projet'!$E$14+1,1))</f>
        <v>291.18686311753402</v>
      </c>
      <c r="DU77" s="60">
        <f t="shared" si="98"/>
        <v>215.44422413249839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3.6</v>
      </c>
      <c r="EJ77" s="13">
        <f>IF('Données projet'!$A$192&gt;35,EJ76+EI77-ER76,IF(A77&lt;'Données projet'!$A$192,$EG$205^A77,IF(A77='Données projet'!$A$192,'Données projet'!$B$192,EJ76+EI77-ER76)))</f>
        <v>192.39999999999989</v>
      </c>
      <c r="EK77" s="18">
        <f>EJ77*VLOOKUP('Données projet'!$B$15,Paramètres!$A$1:$I$89,3,0)*VLOOKUP('Données projet'!$B$15,Paramètres!$A$1:$I$89,5,0)</f>
        <v>156.07487999999992</v>
      </c>
      <c r="EL77" s="14">
        <f t="shared" si="99"/>
        <v>39.955917913584059</v>
      </c>
      <c r="EM77" s="22">
        <f t="shared" si="73"/>
        <v>341.42030636615868</v>
      </c>
      <c r="EN77" s="60">
        <f t="shared" si="74"/>
        <v>634.75363969949194</v>
      </c>
      <c r="EO77" s="60">
        <f ca="1">AVERAGE(OFFSET($EN$3,0,0,'Données projet'!$E$15+1,1))-AVERAGE(OFFSET($H$3,0,0,'Données projet'!$E$15+1,1))</f>
        <v>236.22643401787644</v>
      </c>
      <c r="EP77" s="60">
        <f t="shared" si="100"/>
        <v>188.80444043778022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8">
        <f t="shared" si="56"/>
        <v>256.66666666666669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0" t="e">
        <f t="shared" si="55"/>
        <v>#NUM!</v>
      </c>
      <c r="S78" s="60">
        <f ca="1">AVERAGE(OFFSET($R$3,0,0,'Données projet'!$E$9+1,1))-AVERAGE(OFFSET($H$3,0,0,'Données projet'!$E$9+1,1))</f>
        <v>144.55635559713392</v>
      </c>
      <c r="T78" s="60">
        <f t="shared" si="88"/>
        <v>349.14692715126904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24.996486654855303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3.7130797287924103E-8</v>
      </c>
      <c r="AC78" s="24">
        <f t="shared" si="57"/>
        <v>24.9964866919861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228.00959999999986</v>
      </c>
      <c r="AK78" s="14">
        <f t="shared" si="89"/>
        <v>55.852093054619779</v>
      </c>
      <c r="AL78" s="22">
        <f t="shared" si="58"/>
        <v>494.39244873679587</v>
      </c>
      <c r="AM78" s="60">
        <f t="shared" si="59"/>
        <v>787.72578207012918</v>
      </c>
      <c r="AN78" s="60">
        <f ca="1">AVERAGE(OFFSET($AM$3,0,0,'Données projet'!$E$10+1,1))-AVERAGE(OFFSET($H$3,0,0,'Données projet'!$E$10+1,1))</f>
        <v>428.8489304403459</v>
      </c>
      <c r="AO78" s="60">
        <f t="shared" si="90"/>
        <v>247.01165577562966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251.99999999999989</v>
      </c>
      <c r="BE78" s="14">
        <f>BD78*VLOOKUP('Données projet'!$B$11,Paramètres!$A$1:$I$89,3,0)*VLOOKUP('Données projet'!$B$11,Paramètres!$A$1:$I$89,5,0)</f>
        <v>255.52799999999991</v>
      </c>
      <c r="BF78" s="14">
        <f t="shared" si="91"/>
        <v>61.768167868721477</v>
      </c>
      <c r="BG78" s="22">
        <f t="shared" si="61"/>
        <v>552.62415903802309</v>
      </c>
      <c r="BH78" s="60">
        <f t="shared" si="62"/>
        <v>845.95749237135647</v>
      </c>
      <c r="BI78" s="60">
        <f ca="1">AVERAGE(OFFSET($BH$3,0,0,'Données projet'!$E$11+1,1))-AVERAGE(OFFSET($H$3,0,0,'Données projet'!$E$11+1,1))</f>
        <v>475.47920969424894</v>
      </c>
      <c r="BJ78" s="60">
        <f t="shared" si="92"/>
        <v>271.73544012419364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149</v>
      </c>
      <c r="BW78" s="13">
        <f>VLOOKUP(A78,'Données projet'!$A$113:$I$133,9,0)</f>
        <v>3.4</v>
      </c>
      <c r="BX78" s="13">
        <f t="array" ref="BX78">INDEX(BW:BW,MIN(IF(ISNUMBER(BW78:BW274),ROW(BW78:BW274),"")))</f>
        <v>3.4</v>
      </c>
      <c r="BY78" s="13">
        <f>IF('Données projet'!$A$114&gt;35,BY77+BX78-CG77,IF(A78&lt;'Données projet'!$A$114,$BV$205^A78,IF(A78='Données projet'!$A$114,'Données projet'!$B$114,BY77+BX78-CG77)))</f>
        <v>148.99999999999997</v>
      </c>
      <c r="BZ78" s="14">
        <f>BY78*VLOOKUP('Données projet'!$B$12,Paramètres!$A$1:$I$89,3,0)*VLOOKUP('Données projet'!$B$12,Paramètres!$A$1:$I$89,5,0)</f>
        <v>144.11279999999996</v>
      </c>
      <c r="CA78" s="14">
        <f t="shared" si="93"/>
        <v>37.237596662992466</v>
      </c>
      <c r="CB78" s="22">
        <f t="shared" si="64"/>
        <v>315.85194085471181</v>
      </c>
      <c r="CC78" s="60">
        <f t="shared" si="65"/>
        <v>609.18527418804513</v>
      </c>
      <c r="CD78" s="60">
        <f ca="1">AVERAGE(OFFSET($CC$3,0,0,'Données projet'!$E$12+1,1))-AVERAGE(OFFSET($H$3,0,0,'Données projet'!$E$12+1,1))</f>
        <v>255.59755832175625</v>
      </c>
      <c r="CE78" s="60">
        <f t="shared" si="94"/>
        <v>154.0840647586964</v>
      </c>
      <c r="CF78" s="16">
        <f>IF(ISNA(VLOOKUP(A78,'Données projet'!$A$113:$I$133,3,0)),0,VLOOKUP(A78,'Données projet'!$A$113:$I$133,3,0))</f>
        <v>5</v>
      </c>
      <c r="CG78" s="16">
        <f>IF(ISNA(VLOOKUP(A78,'Données projet'!$A$113:$I$133,4,0)),0,VLOOKUP(A78,'Données projet'!$A$113:$I$133,4,0))</f>
        <v>20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149</v>
      </c>
      <c r="CR78" s="13">
        <f>VLOOKUP(A78,'Données projet'!$A$139:$I$159,9,0)</f>
        <v>3.4</v>
      </c>
      <c r="CS78" s="13">
        <f t="array" ref="CS78">INDEX(CR:CR,MIN(IF(ISNUMBER(CR78:CR274),ROW(CR78:CR274),"")))</f>
        <v>3.4</v>
      </c>
      <c r="CT78" s="13">
        <f>IF('Données projet'!$A$140&gt;35,CT77+CS78-DB77,IF(A78&lt;'Données projet'!$A$140,$CQ$205^A78,IF(A78='Données projet'!$A$140,'Données projet'!$B$140,CT77+CS78-DB77)))</f>
        <v>148.99999999999997</v>
      </c>
      <c r="CU78" s="18">
        <f>CT78*VLOOKUP('Données projet'!$B$13,Paramètres!$A$1:$I$89,3,0)*VLOOKUP('Données projet'!$B$13,Paramètres!$A$1:$I$89,5,0)</f>
        <v>160.38359999999997</v>
      </c>
      <c r="CV78" s="14">
        <f t="shared" si="95"/>
        <v>40.929025395397851</v>
      </c>
      <c r="CW78" s="22">
        <f t="shared" si="67"/>
        <v>350.61948923031787</v>
      </c>
      <c r="CX78" s="60">
        <f t="shared" si="68"/>
        <v>643.95282256365113</v>
      </c>
      <c r="CY78" s="60">
        <f ca="1">AVERAGE(OFFSET($CX$3,0,0,'Données projet'!$E$13+1,1))-AVERAGE(OFFSET($H$3,0,0,'Données projet'!$E$13+1,1))</f>
        <v>280.20599015000306</v>
      </c>
      <c r="CZ78" s="60">
        <f t="shared" si="96"/>
        <v>166.97658184507787</v>
      </c>
      <c r="DA78" s="16">
        <f>IF(ISNA(VLOOKUP(A78,'Données projet'!$A$139:$I$159,3,0)),0,VLOOKUP(A78,'Données projet'!$A$139:$I$159,3,0))</f>
        <v>5</v>
      </c>
      <c r="DB78" s="16">
        <f>IF(ISNA(VLOOKUP(A78,'Données projet'!$A$139:$I$159,4,0)),0,VLOOKUP(A78,'Données projet'!$A$139:$I$159,4,0))</f>
        <v>20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253.2051282051282</v>
      </c>
      <c r="DM78" s="13">
        <f>VLOOKUP(A78,'Données projet'!$A$165:$I$185,9,0)</f>
        <v>4.2307692307692317</v>
      </c>
      <c r="DN78" s="13">
        <f t="array" ref="DN78">INDEX(DM:DM,MIN(IF(ISNUMBER(DM78:DM274),ROW(DM78:DM274),"")))</f>
        <v>4.2307692307692317</v>
      </c>
      <c r="DO78" s="13">
        <f>IF('Données projet'!$A$166&gt;35,DO77+DN78-DW77,IF(A78&lt;'Données projet'!$A$166,$DL$205^A78,IF(A78='Données projet'!$A$166,'Données projet'!$B$166,DO77+DN78-DW77)))</f>
        <v>253.20512820512806</v>
      </c>
      <c r="DP78" s="18">
        <f>DO78*VLOOKUP('Données projet'!$B$14,Paramètres!$A$1:$I$89,3,0)*VLOOKUP('Données projet'!$B$14,Paramètres!$A$1:$I$89,5,0)</f>
        <v>169.84999999999991</v>
      </c>
      <c r="DQ78" s="14">
        <f t="shared" si="97"/>
        <v>43.056426849389865</v>
      </c>
      <c r="DR78" s="22">
        <f t="shared" si="70"/>
        <v>370.81202676268725</v>
      </c>
      <c r="DS78" s="60">
        <f t="shared" si="71"/>
        <v>664.14536009602057</v>
      </c>
      <c r="DT78" s="60">
        <f ca="1">AVERAGE(OFFSET($DS$3,0,0,'Données projet'!$E$14+1,1))-AVERAGE(OFFSET($H$3,0,0,'Données projet'!$E$14+1,1))</f>
        <v>291.18686311753402</v>
      </c>
      <c r="DU78" s="60">
        <f t="shared" si="98"/>
        <v>215.44422413249839</v>
      </c>
      <c r="DV78" s="16">
        <f>IF(ISNA(VLOOKUP(A78,'Données projet'!$A$165:$I$185,3,0)),0,VLOOKUP(A78,'Données projet'!$A$165:$I$185,3,0))</f>
        <v>6</v>
      </c>
      <c r="DW78" s="16">
        <f>IF(ISNA(VLOOKUP(A78,'Données projet'!$A$165:$I$185,4,0)),0,VLOOKUP(A78,'Données projet'!$A$165:$I$185,4,0))</f>
        <v>24.358974358974358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196</v>
      </c>
      <c r="EH78" s="13">
        <f>VLOOKUP(A78,'Données projet'!$A$191:$I$211,9,0)</f>
        <v>3.6</v>
      </c>
      <c r="EI78" s="13">
        <f t="array" ref="EI78">INDEX(EH:EH,MIN(IF(ISNUMBER(EH78:EH274),ROW(EH78:EH274),"")))</f>
        <v>3.6</v>
      </c>
      <c r="EJ78" s="13">
        <f>IF('Données projet'!$A$192&gt;35,EJ77+EI78-ER77,IF(A78&lt;'Données projet'!$A$192,$EG$205^A78,IF(A78='Données projet'!$A$192,'Données projet'!$B$192,EJ77+EI78-ER77)))</f>
        <v>195.99999999999989</v>
      </c>
      <c r="EK78" s="18">
        <f>EJ78*VLOOKUP('Données projet'!$B$15,Paramètres!$A$1:$I$89,3,0)*VLOOKUP('Données projet'!$B$15,Paramètres!$A$1:$I$89,5,0)</f>
        <v>158.99519999999993</v>
      </c>
      <c r="EL78" s="14">
        <f t="shared" si="99"/>
        <v>40.615796933386008</v>
      </c>
      <c r="EM78" s="22">
        <f t="shared" si="73"/>
        <v>347.65581965898053</v>
      </c>
      <c r="EN78" s="60">
        <f t="shared" si="74"/>
        <v>640.98915299231385</v>
      </c>
      <c r="EO78" s="60">
        <f ca="1">AVERAGE(OFFSET($EN$3,0,0,'Données projet'!$E$15+1,1))-AVERAGE(OFFSET($H$3,0,0,'Données projet'!$E$15+1,1))</f>
        <v>236.22643401787644</v>
      </c>
      <c r="EP78" s="60">
        <f t="shared" si="100"/>
        <v>188.80444043778022</v>
      </c>
      <c r="EQ78" s="16">
        <f>IF(ISNA(VLOOKUP(A78,'Données projet'!$A$191:$I$211,3,0)),0,VLOOKUP(A78,'Données projet'!$A$191:$I$211,3,0))</f>
        <v>6</v>
      </c>
      <c r="ER78" s="16">
        <f>IF(ISNA(VLOOKUP(A78,'Données projet'!$A$191:$I$211,4,0)),0,VLOOKUP(A78,'Données projet'!$A$191:$I$211,4,0))</f>
        <v>22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8">
        <f t="shared" si="56"/>
        <v>256.66666666666669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0" t="e">
        <f t="shared" si="55"/>
        <v>#NUM!</v>
      </c>
      <c r="S79" s="60">
        <f ca="1">AVERAGE(OFFSET($R$3,0,0,'Données projet'!$E$9+1,1))-AVERAGE(OFFSET($H$3,0,0,'Données projet'!$E$9+1,1))</f>
        <v>144.55635559713392</v>
      </c>
      <c r="T79" s="60">
        <f t="shared" si="88"/>
        <v>349.14692715126904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24.506320797904998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2.6255438553154201E-8</v>
      </c>
      <c r="AC79" s="24">
        <f t="shared" si="57"/>
        <v>24.506320824160436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233.43839999999989</v>
      </c>
      <c r="AK79" s="14">
        <f t="shared" si="89"/>
        <v>57.025500710931624</v>
      </c>
      <c r="AL79" s="22">
        <f t="shared" si="58"/>
        <v>505.89129373820577</v>
      </c>
      <c r="AM79" s="60">
        <f t="shared" si="59"/>
        <v>799.22462707153909</v>
      </c>
      <c r="AN79" s="60">
        <f ca="1">AVERAGE(OFFSET($AM$3,0,0,'Données projet'!$E$10+1,1))-AVERAGE(OFFSET($H$3,0,0,'Données projet'!$E$10+1,1))</f>
        <v>428.8489304403459</v>
      </c>
      <c r="AO79" s="60">
        <f t="shared" si="90"/>
        <v>247.01165577562966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257.99999999999989</v>
      </c>
      <c r="BE79" s="14">
        <f>BD79*VLOOKUP('Données projet'!$B$11,Paramètres!$A$1:$I$89,3,0)*VLOOKUP('Données projet'!$B$11,Paramètres!$A$1:$I$89,5,0)</f>
        <v>261.61199999999991</v>
      </c>
      <c r="BF79" s="14">
        <f t="shared" si="91"/>
        <v>63.065867509496442</v>
      </c>
      <c r="BG79" s="22">
        <f t="shared" si="61"/>
        <v>565.48061924570618</v>
      </c>
      <c r="BH79" s="60">
        <f t="shared" si="62"/>
        <v>858.81395257903955</v>
      </c>
      <c r="BI79" s="60">
        <f ca="1">AVERAGE(OFFSET($BH$3,0,0,'Données projet'!$E$11+1,1))-AVERAGE(OFFSET($H$3,0,0,'Données projet'!$E$11+1,1))</f>
        <v>475.47920969424894</v>
      </c>
      <c r="BJ79" s="60">
        <f t="shared" si="92"/>
        <v>271.73544012419364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3.4</v>
      </c>
      <c r="BY79" s="13">
        <f>IF('Données projet'!$A$114&gt;35,BY78+BX79-CG78,IF(A79&lt;'Données projet'!$A$114,$BV$205^A79,IF(A79='Données projet'!$A$114,'Données projet'!$B$114,BY78+BX79-CG78)))</f>
        <v>132.39999999999998</v>
      </c>
      <c r="BZ79" s="14">
        <f>BY79*VLOOKUP('Données projet'!$B$12,Paramètres!$A$1:$I$89,3,0)*VLOOKUP('Données projet'!$B$12,Paramètres!$A$1:$I$89,5,0)</f>
        <v>128.05727999999996</v>
      </c>
      <c r="CA79" s="14">
        <f t="shared" si="93"/>
        <v>33.54706115995706</v>
      </c>
      <c r="CB79" s="22">
        <f t="shared" si="64"/>
        <v>281.46089418692515</v>
      </c>
      <c r="CC79" s="60">
        <f t="shared" si="65"/>
        <v>574.79422752025846</v>
      </c>
      <c r="CD79" s="60">
        <f ca="1">AVERAGE(OFFSET($CC$3,0,0,'Données projet'!$E$12+1,1))-AVERAGE(OFFSET($H$3,0,0,'Données projet'!$E$12+1,1))</f>
        <v>255.59755832175625</v>
      </c>
      <c r="CE79" s="60">
        <f t="shared" si="94"/>
        <v>154.0840647586964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3.4</v>
      </c>
      <c r="CT79" s="13">
        <f>IF('Données projet'!$A$140&gt;35,CT78+CS79-DB78,IF(A79&lt;'Données projet'!$A$140,$CQ$205^A79,IF(A79='Données projet'!$A$140,'Données projet'!$B$140,CT78+CS79-DB78)))</f>
        <v>132.39999999999998</v>
      </c>
      <c r="CU79" s="18">
        <f>CT79*VLOOKUP('Données projet'!$B$13,Paramètres!$A$1:$I$89,3,0)*VLOOKUP('Données projet'!$B$13,Paramètres!$A$1:$I$89,5,0)</f>
        <v>142.51535999999999</v>
      </c>
      <c r="CV79" s="14">
        <f t="shared" si="95"/>
        <v>36.87264058911223</v>
      </c>
      <c r="CW79" s="22">
        <f t="shared" si="67"/>
        <v>312.43410102603713</v>
      </c>
      <c r="CX79" s="60">
        <f t="shared" si="68"/>
        <v>605.76743435937044</v>
      </c>
      <c r="CY79" s="60">
        <f ca="1">AVERAGE(OFFSET($CX$3,0,0,'Données projet'!$E$13+1,1))-AVERAGE(OFFSET($H$3,0,0,'Données projet'!$E$13+1,1))</f>
        <v>280.20599015000306</v>
      </c>
      <c r="CZ79" s="60">
        <f t="shared" si="96"/>
        <v>166.97658184507787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4.2307692307692317</v>
      </c>
      <c r="DO79" s="13">
        <f>IF('Données projet'!$A$166&gt;35,DO78+DN79-DW78,IF(A79&lt;'Données projet'!$A$166,$DL$205^A79,IF(A79='Données projet'!$A$166,'Données projet'!$B$166,DO78+DN79-DW78)))</f>
        <v>233.07692307692292</v>
      </c>
      <c r="DP79" s="18">
        <f>DO79*VLOOKUP('Données projet'!$B$14,Paramètres!$A$1:$I$89,3,0)*VLOOKUP('Données projet'!$B$14,Paramètres!$A$1:$I$89,5,0)</f>
        <v>156.3479999999999</v>
      </c>
      <c r="DQ79" s="14">
        <f t="shared" si="97"/>
        <v>40.017692964060089</v>
      </c>
      <c r="DR79" s="22">
        <f t="shared" si="70"/>
        <v>342.0035819124044</v>
      </c>
      <c r="DS79" s="60">
        <f t="shared" si="71"/>
        <v>635.33691524573771</v>
      </c>
      <c r="DT79" s="60">
        <f ca="1">AVERAGE(OFFSET($DS$3,0,0,'Données projet'!$E$14+1,1))-AVERAGE(OFFSET($H$3,0,0,'Données projet'!$E$14+1,1))</f>
        <v>291.18686311753402</v>
      </c>
      <c r="DU79" s="60">
        <f t="shared" si="98"/>
        <v>215.44422413249839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3.6</v>
      </c>
      <c r="EJ79" s="13">
        <f>IF('Données projet'!$A$192&gt;35,EJ78+EI79-ER78,IF(A79&lt;'Données projet'!$A$192,$EG$205^A79,IF(A79='Données projet'!$A$192,'Données projet'!$B$192,EJ78+EI79-ER78)))</f>
        <v>177.59999999999988</v>
      </c>
      <c r="EK79" s="18">
        <f>EJ79*VLOOKUP('Données projet'!$B$15,Paramètres!$A$1:$I$89,3,0)*VLOOKUP('Données projet'!$B$15,Paramètres!$A$1:$I$89,5,0)</f>
        <v>144.06911999999991</v>
      </c>
      <c r="EL79" s="14">
        <f t="shared" si="99"/>
        <v>37.22762367982471</v>
      </c>
      <c r="EM79" s="22">
        <f t="shared" si="73"/>
        <v>315.75849524236122</v>
      </c>
      <c r="EN79" s="60">
        <f t="shared" si="74"/>
        <v>609.09182857569454</v>
      </c>
      <c r="EO79" s="60">
        <f ca="1">AVERAGE(OFFSET($EN$3,0,0,'Données projet'!$E$15+1,1))-AVERAGE(OFFSET($H$3,0,0,'Données projet'!$E$15+1,1))</f>
        <v>236.22643401787644</v>
      </c>
      <c r="EP79" s="60">
        <f t="shared" si="100"/>
        <v>188.80444043778022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8">
        <f t="shared" si="56"/>
        <v>256.66666666666669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0" t="e">
        <f t="shared" si="55"/>
        <v>#NUM!</v>
      </c>
      <c r="S80" s="60">
        <f ca="1">AVERAGE(OFFSET($R$3,0,0,'Données projet'!$E$9+1,1))-AVERAGE(OFFSET($H$3,0,0,'Données projet'!$E$9+1,1))</f>
        <v>144.55635559713392</v>
      </c>
      <c r="T80" s="60">
        <f t="shared" si="88"/>
        <v>349.14692715126904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24.025766794437835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1.8565398643962051E-8</v>
      </c>
      <c r="AC80" s="24">
        <f t="shared" si="57"/>
        <v>24.025766813003234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238.86719999999988</v>
      </c>
      <c r="AK80" s="14">
        <f t="shared" si="89"/>
        <v>58.195735973104156</v>
      </c>
      <c r="AL80" s="22">
        <f t="shared" si="58"/>
        <v>517.38461348648957</v>
      </c>
      <c r="AM80" s="60">
        <f t="shared" si="59"/>
        <v>810.71794681982283</v>
      </c>
      <c r="AN80" s="60">
        <f ca="1">AVERAGE(OFFSET($AM$3,0,0,'Données projet'!$E$10+1,1))-AVERAGE(OFFSET($H$3,0,0,'Données projet'!$E$10+1,1))</f>
        <v>428.8489304403459</v>
      </c>
      <c r="AO80" s="60">
        <f t="shared" si="90"/>
        <v>247.01165577562966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263.99999999999989</v>
      </c>
      <c r="BE80" s="14">
        <f>BD80*VLOOKUP('Données projet'!$B$11,Paramètres!$A$1:$I$89,3,0)*VLOOKUP('Données projet'!$B$11,Paramètres!$A$1:$I$89,5,0)</f>
        <v>267.69599999999991</v>
      </c>
      <c r="BF80" s="14">
        <f t="shared" si="91"/>
        <v>64.360058723585439</v>
      </c>
      <c r="BG80" s="22">
        <f t="shared" si="61"/>
        <v>578.33096894357777</v>
      </c>
      <c r="BH80" s="60">
        <f t="shared" si="62"/>
        <v>871.66430227691103</v>
      </c>
      <c r="BI80" s="60">
        <f ca="1">AVERAGE(OFFSET($BH$3,0,0,'Données projet'!$E$11+1,1))-AVERAGE(OFFSET($H$3,0,0,'Données projet'!$E$11+1,1))</f>
        <v>475.47920969424894</v>
      </c>
      <c r="BJ80" s="60">
        <f t="shared" si="92"/>
        <v>271.73544012419364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3.4</v>
      </c>
      <c r="BY80" s="13">
        <f>IF('Données projet'!$A$114&gt;35,BY79+BX80-CG79,IF(A80&lt;'Données projet'!$A$114,$BV$205^A80,IF(A80='Données projet'!$A$114,'Données projet'!$B$114,BY79+BX80-CG79)))</f>
        <v>135.79999999999998</v>
      </c>
      <c r="BZ80" s="14">
        <f>BY80*VLOOKUP('Données projet'!$B$12,Paramètres!$A$1:$I$89,3,0)*VLOOKUP('Données projet'!$B$12,Paramètres!$A$1:$I$89,5,0)</f>
        <v>131.34575999999998</v>
      </c>
      <c r="CA80" s="14">
        <f t="shared" si="93"/>
        <v>34.30713832111968</v>
      </c>
      <c r="CB80" s="22">
        <f t="shared" si="64"/>
        <v>288.5121312426167</v>
      </c>
      <c r="CC80" s="60">
        <f t="shared" si="65"/>
        <v>581.84546457595002</v>
      </c>
      <c r="CD80" s="60">
        <f ca="1">AVERAGE(OFFSET($CC$3,0,0,'Données projet'!$E$12+1,1))-AVERAGE(OFFSET($H$3,0,0,'Données projet'!$E$12+1,1))</f>
        <v>255.59755832175625</v>
      </c>
      <c r="CE80" s="60">
        <f t="shared" si="94"/>
        <v>154.0840647586964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3.4</v>
      </c>
      <c r="CT80" s="13">
        <f>IF('Données projet'!$A$140&gt;35,CT79+CS80-DB79,IF(A80&lt;'Données projet'!$A$140,$CQ$205^A80,IF(A80='Données projet'!$A$140,'Données projet'!$B$140,CT79+CS80-DB79)))</f>
        <v>135.79999999999998</v>
      </c>
      <c r="CU80" s="18">
        <f>CT80*VLOOKUP('Données projet'!$B$13,Paramètres!$A$1:$I$89,3,0)*VLOOKUP('Données projet'!$B$13,Paramètres!$A$1:$I$89,5,0)</f>
        <v>146.17511999999999</v>
      </c>
      <c r="CV80" s="14">
        <f t="shared" si="95"/>
        <v>37.708065541834948</v>
      </c>
      <c r="CW80" s="22">
        <f t="shared" si="67"/>
        <v>320.26321481869581</v>
      </c>
      <c r="CX80" s="60">
        <f t="shared" si="68"/>
        <v>613.59654815202907</v>
      </c>
      <c r="CY80" s="60">
        <f ca="1">AVERAGE(OFFSET($CX$3,0,0,'Données projet'!$E$13+1,1))-AVERAGE(OFFSET($H$3,0,0,'Données projet'!$E$13+1,1))</f>
        <v>280.20599015000306</v>
      </c>
      <c r="CZ80" s="60">
        <f t="shared" si="96"/>
        <v>166.97658184507787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4.2307692307692317</v>
      </c>
      <c r="DO80" s="13">
        <f>IF('Données projet'!$A$166&gt;35,DO79+DN80-DW79,IF(A80&lt;'Données projet'!$A$166,$DL$205^A80,IF(A80='Données projet'!$A$166,'Données projet'!$B$166,DO79+DN80-DW79)))</f>
        <v>237.30769230769215</v>
      </c>
      <c r="DP80" s="18">
        <f>DO80*VLOOKUP('Données projet'!$B$14,Paramètres!$A$1:$I$89,3,0)*VLOOKUP('Données projet'!$B$14,Paramètres!$A$1:$I$89,5,0)</f>
        <v>159.18599999999989</v>
      </c>
      <c r="DQ80" s="14">
        <f t="shared" si="97"/>
        <v>40.658860968776935</v>
      </c>
      <c r="DR80" s="22">
        <f t="shared" si="70"/>
        <v>348.06313285395299</v>
      </c>
      <c r="DS80" s="60">
        <f t="shared" si="71"/>
        <v>641.39646618728625</v>
      </c>
      <c r="DT80" s="60">
        <f ca="1">AVERAGE(OFFSET($DS$3,0,0,'Données projet'!$E$14+1,1))-AVERAGE(OFFSET($H$3,0,0,'Données projet'!$E$14+1,1))</f>
        <v>291.18686311753402</v>
      </c>
      <c r="DU80" s="60">
        <f t="shared" si="98"/>
        <v>215.44422413249839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3.6</v>
      </c>
      <c r="EJ80" s="13">
        <f>IF('Données projet'!$A$192&gt;35,EJ79+EI80-ER79,IF(A80&lt;'Données projet'!$A$192,$EG$205^A80,IF(A80='Données projet'!$A$192,'Données projet'!$B$192,EJ79+EI80-ER79)))</f>
        <v>181.19999999999987</v>
      </c>
      <c r="EK80" s="18">
        <f>EJ80*VLOOKUP('Données projet'!$B$15,Paramètres!$A$1:$I$89,3,0)*VLOOKUP('Données projet'!$B$15,Paramètres!$A$1:$I$89,5,0)</f>
        <v>146.98943999999989</v>
      </c>
      <c r="EL80" s="14">
        <f t="shared" si="99"/>
        <v>37.89361985872371</v>
      </c>
      <c r="EM80" s="22">
        <f t="shared" si="73"/>
        <v>322.00466258727687</v>
      </c>
      <c r="EN80" s="60">
        <f t="shared" si="74"/>
        <v>615.33799592061018</v>
      </c>
      <c r="EO80" s="60">
        <f ca="1">AVERAGE(OFFSET($EN$3,0,0,'Données projet'!$E$15+1,1))-AVERAGE(OFFSET($H$3,0,0,'Données projet'!$E$15+1,1))</f>
        <v>236.22643401787644</v>
      </c>
      <c r="EP80" s="60">
        <f t="shared" si="100"/>
        <v>188.80444043778022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8">
        <f t="shared" si="56"/>
        <v>256.66666666666669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0" t="e">
        <f t="shared" si="55"/>
        <v>#NUM!</v>
      </c>
      <c r="S81" s="60">
        <f ca="1">AVERAGE(OFFSET($R$3,0,0,'Données projet'!$E$9+1,1))-AVERAGE(OFFSET($H$3,0,0,'Données projet'!$E$9+1,1))</f>
        <v>144.55635559713392</v>
      </c>
      <c r="T81" s="60">
        <f t="shared" si="88"/>
        <v>349.14692715126904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23.554636161869666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1.31277192765771E-8</v>
      </c>
      <c r="AC81" s="24">
        <f t="shared" si="57"/>
        <v>23.554636174997384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244.29599999999991</v>
      </c>
      <c r="AK81" s="14">
        <f t="shared" si="89"/>
        <v>59.362879241040318</v>
      </c>
      <c r="AL81" s="22">
        <f t="shared" si="58"/>
        <v>528.87254801147833</v>
      </c>
      <c r="AM81" s="60">
        <f t="shared" si="59"/>
        <v>822.20588134481159</v>
      </c>
      <c r="AN81" s="60">
        <f ca="1">AVERAGE(OFFSET($AM$3,0,0,'Données projet'!$E$10+1,1))-AVERAGE(OFFSET($H$3,0,0,'Données projet'!$E$10+1,1))</f>
        <v>428.8489304403459</v>
      </c>
      <c r="AO81" s="60">
        <f t="shared" si="90"/>
        <v>247.01165577562966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269.99999999999989</v>
      </c>
      <c r="BE81" s="14">
        <f>BD81*VLOOKUP('Données projet'!$B$11,Paramètres!$A$1:$I$89,3,0)*VLOOKUP('Données projet'!$B$11,Paramètres!$A$1:$I$89,5,0)</f>
        <v>273.77999999999992</v>
      </c>
      <c r="BF81" s="14">
        <f t="shared" si="91"/>
        <v>65.650830427167435</v>
      </c>
      <c r="BG81" s="22">
        <f t="shared" si="61"/>
        <v>591.17536299398307</v>
      </c>
      <c r="BH81" s="60">
        <f t="shared" si="62"/>
        <v>884.50869632731633</v>
      </c>
      <c r="BI81" s="60">
        <f ca="1">AVERAGE(OFFSET($BH$3,0,0,'Données projet'!$E$11+1,1))-AVERAGE(OFFSET($H$3,0,0,'Données projet'!$E$11+1,1))</f>
        <v>475.47920969424894</v>
      </c>
      <c r="BJ81" s="60">
        <f t="shared" si="92"/>
        <v>271.73544012419364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3.4</v>
      </c>
      <c r="BY81" s="13">
        <f>IF('Données projet'!$A$114&gt;35,BY80+BX81-CG80,IF(A81&lt;'Données projet'!$A$114,$BV$205^A81,IF(A81='Données projet'!$A$114,'Données projet'!$B$114,BY80+BX81-CG80)))</f>
        <v>139.19999999999999</v>
      </c>
      <c r="BZ81" s="14">
        <f>BY81*VLOOKUP('Données projet'!$B$12,Paramètres!$A$1:$I$89,3,0)*VLOOKUP('Données projet'!$B$12,Paramètres!$A$1:$I$89,5,0)</f>
        <v>134.63423999999998</v>
      </c>
      <c r="CA81" s="14">
        <f t="shared" si="93"/>
        <v>35.065003380589694</v>
      </c>
      <c r="CB81" s="22">
        <f t="shared" si="64"/>
        <v>295.55951555452697</v>
      </c>
      <c r="CC81" s="60">
        <f t="shared" si="65"/>
        <v>588.89284888786028</v>
      </c>
      <c r="CD81" s="60">
        <f ca="1">AVERAGE(OFFSET($CC$3,0,0,'Données projet'!$E$12+1,1))-AVERAGE(OFFSET($H$3,0,0,'Données projet'!$E$12+1,1))</f>
        <v>255.59755832175625</v>
      </c>
      <c r="CE81" s="60">
        <f t="shared" si="94"/>
        <v>154.0840647586964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3.4</v>
      </c>
      <c r="CT81" s="13">
        <f>IF('Données projet'!$A$140&gt;35,CT80+CS81-DB80,IF(A81&lt;'Données projet'!$A$140,$CQ$205^A81,IF(A81='Données projet'!$A$140,'Données projet'!$B$140,CT80+CS81-DB80)))</f>
        <v>139.19999999999999</v>
      </c>
      <c r="CU81" s="18">
        <f>CT81*VLOOKUP('Données projet'!$B$13,Paramètres!$A$1:$I$89,3,0)*VLOOKUP('Données projet'!$B$13,Paramètres!$A$1:$I$89,5,0)</f>
        <v>149.83488</v>
      </c>
      <c r="CV81" s="14">
        <f t="shared" si="95"/>
        <v>38.541059103316854</v>
      </c>
      <c r="CW81" s="22">
        <f t="shared" si="67"/>
        <v>328.08809393827681</v>
      </c>
      <c r="CX81" s="60">
        <f t="shared" si="68"/>
        <v>621.42142727161013</v>
      </c>
      <c r="CY81" s="60">
        <f ca="1">AVERAGE(OFFSET($CX$3,0,0,'Données projet'!$E$13+1,1))-AVERAGE(OFFSET($H$3,0,0,'Données projet'!$E$13+1,1))</f>
        <v>280.20599015000306</v>
      </c>
      <c r="CZ81" s="60">
        <f t="shared" si="96"/>
        <v>166.97658184507787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4.2307692307692317</v>
      </c>
      <c r="DO81" s="13">
        <f>IF('Données projet'!$A$166&gt;35,DO80+DN81-DW80,IF(A81&lt;'Données projet'!$A$166,$DL$205^A81,IF(A81='Données projet'!$A$166,'Données projet'!$B$166,DO80+DN81-DW80)))</f>
        <v>241.53846153846138</v>
      </c>
      <c r="DP81" s="18">
        <f>DO81*VLOOKUP('Données projet'!$B$14,Paramètres!$A$1:$I$89,3,0)*VLOOKUP('Données projet'!$B$14,Paramètres!$A$1:$I$89,5,0)</f>
        <v>162.02399999999989</v>
      </c>
      <c r="DQ81" s="14">
        <f t="shared" si="97"/>
        <v>41.298699725174792</v>
      </c>
      <c r="DR81" s="22">
        <f t="shared" si="70"/>
        <v>354.12036868801255</v>
      </c>
      <c r="DS81" s="60">
        <f t="shared" si="71"/>
        <v>647.45370202134586</v>
      </c>
      <c r="DT81" s="60">
        <f ca="1">AVERAGE(OFFSET($DS$3,0,0,'Données projet'!$E$14+1,1))-AVERAGE(OFFSET($H$3,0,0,'Données projet'!$E$14+1,1))</f>
        <v>291.18686311753402</v>
      </c>
      <c r="DU81" s="60">
        <f t="shared" si="98"/>
        <v>215.44422413249839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3.6</v>
      </c>
      <c r="EJ81" s="13">
        <f>IF('Données projet'!$A$192&gt;35,EJ80+EI81-ER80,IF(A81&lt;'Données projet'!$A$192,$EG$205^A81,IF(A81='Données projet'!$A$192,'Données projet'!$B$192,EJ80+EI81-ER80)))</f>
        <v>184.79999999999987</v>
      </c>
      <c r="EK81" s="18">
        <f>EJ81*VLOOKUP('Données projet'!$B$15,Paramètres!$A$1:$I$89,3,0)*VLOOKUP('Données projet'!$B$15,Paramètres!$A$1:$I$89,5,0)</f>
        <v>149.90975999999989</v>
      </c>
      <c r="EL81" s="14">
        <f t="shared" si="99"/>
        <v>38.558077538852132</v>
      </c>
      <c r="EM81" s="22">
        <f t="shared" si="73"/>
        <v>328.24815038016726</v>
      </c>
      <c r="EN81" s="60">
        <f t="shared" si="74"/>
        <v>621.58148371350057</v>
      </c>
      <c r="EO81" s="60">
        <f ca="1">AVERAGE(OFFSET($EN$3,0,0,'Données projet'!$E$15+1,1))-AVERAGE(OFFSET($H$3,0,0,'Données projet'!$E$15+1,1))</f>
        <v>236.22643401787644</v>
      </c>
      <c r="EP81" s="60">
        <f t="shared" si="100"/>
        <v>188.80444043778022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8">
        <f t="shared" si="56"/>
        <v>256.66666666666669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0" t="e">
        <f t="shared" si="55"/>
        <v>#NUM!</v>
      </c>
      <c r="S82" s="60">
        <f ca="1">AVERAGE(OFFSET($R$3,0,0,'Données projet'!$E$9+1,1))-AVERAGE(OFFSET($H$3,0,0,'Données projet'!$E$9+1,1))</f>
        <v>144.55635559713392</v>
      </c>
      <c r="T82" s="60">
        <f t="shared" si="88"/>
        <v>349.14692715126904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23.092744113644848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9.2826993219810257E-9</v>
      </c>
      <c r="AC82" s="24">
        <f t="shared" si="57"/>
        <v>23.092744122927549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249.7247999999999</v>
      </c>
      <c r="AK82" s="14">
        <f t="shared" si="89"/>
        <v>60.527007137298092</v>
      </c>
      <c r="AL82" s="22">
        <f t="shared" si="58"/>
        <v>540.35523076412733</v>
      </c>
      <c r="AM82" s="60">
        <f t="shared" si="59"/>
        <v>833.68856409746058</v>
      </c>
      <c r="AN82" s="60">
        <f ca="1">AVERAGE(OFFSET($AM$3,0,0,'Données projet'!$E$10+1,1))-AVERAGE(OFFSET($H$3,0,0,'Données projet'!$E$10+1,1))</f>
        <v>428.8489304403459</v>
      </c>
      <c r="AO82" s="60">
        <f t="shared" si="90"/>
        <v>247.01165577562966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275.99999999999989</v>
      </c>
      <c r="BE82" s="14">
        <f>BD82*VLOOKUP('Données projet'!$B$11,Paramètres!$A$1:$I$89,3,0)*VLOOKUP('Données projet'!$B$11,Paramètres!$A$1:$I$89,5,0)</f>
        <v>279.86399999999986</v>
      </c>
      <c r="BF82" s="14">
        <f t="shared" si="91"/>
        <v>66.938267358965007</v>
      </c>
      <c r="BG82" s="22">
        <f t="shared" si="61"/>
        <v>604.01394898353044</v>
      </c>
      <c r="BH82" s="60">
        <f t="shared" si="62"/>
        <v>897.34728231686381</v>
      </c>
      <c r="BI82" s="60">
        <f ca="1">AVERAGE(OFFSET($BH$3,0,0,'Données projet'!$E$11+1,1))-AVERAGE(OFFSET($H$3,0,0,'Données projet'!$E$11+1,1))</f>
        <v>475.47920969424894</v>
      </c>
      <c r="BJ82" s="60">
        <f t="shared" si="92"/>
        <v>271.73544012419364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3.4</v>
      </c>
      <c r="BY82" s="13">
        <f>IF('Données projet'!$A$114&gt;35,BY81+BX82-CG81,IF(A82&lt;'Données projet'!$A$114,$BV$205^A82,IF(A82='Données projet'!$A$114,'Données projet'!$B$114,BY81+BX82-CG81)))</f>
        <v>142.6</v>
      </c>
      <c r="BZ82" s="14">
        <f>BY82*VLOOKUP('Données projet'!$B$12,Paramètres!$A$1:$I$89,3,0)*VLOOKUP('Données projet'!$B$12,Paramètres!$A$1:$I$89,5,0)</f>
        <v>137.92272</v>
      </c>
      <c r="CA82" s="14">
        <f t="shared" si="93"/>
        <v>35.82071658526872</v>
      </c>
      <c r="CB82" s="22">
        <f t="shared" si="64"/>
        <v>302.60315205267631</v>
      </c>
      <c r="CC82" s="60">
        <f t="shared" si="65"/>
        <v>595.93648538600962</v>
      </c>
      <c r="CD82" s="60">
        <f ca="1">AVERAGE(OFFSET($CC$3,0,0,'Données projet'!$E$12+1,1))-AVERAGE(OFFSET($H$3,0,0,'Données projet'!$E$12+1,1))</f>
        <v>255.59755832175625</v>
      </c>
      <c r="CE82" s="60">
        <f t="shared" si="94"/>
        <v>154.0840647586964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3.4</v>
      </c>
      <c r="CT82" s="13">
        <f>IF('Données projet'!$A$140&gt;35,CT81+CS82-DB81,IF(A82&lt;'Données projet'!$A$140,$CQ$205^A82,IF(A82='Données projet'!$A$140,'Données projet'!$B$140,CT81+CS82-DB81)))</f>
        <v>142.6</v>
      </c>
      <c r="CU82" s="18">
        <f>CT82*VLOOKUP('Données projet'!$B$13,Paramètres!$A$1:$I$89,3,0)*VLOOKUP('Données projet'!$B$13,Paramètres!$A$1:$I$89,5,0)</f>
        <v>153.49464</v>
      </c>
      <c r="CV82" s="14">
        <f t="shared" si="95"/>
        <v>39.371687492841382</v>
      </c>
      <c r="CW82" s="22">
        <f t="shared" si="67"/>
        <v>335.90885371669873</v>
      </c>
      <c r="CX82" s="60">
        <f t="shared" si="68"/>
        <v>629.24218705003204</v>
      </c>
      <c r="CY82" s="60">
        <f ca="1">AVERAGE(OFFSET($CX$3,0,0,'Données projet'!$E$13+1,1))-AVERAGE(OFFSET($H$3,0,0,'Données projet'!$E$13+1,1))</f>
        <v>280.20599015000306</v>
      </c>
      <c r="CZ82" s="60">
        <f t="shared" si="96"/>
        <v>166.97658184507787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4.2307692307692317</v>
      </c>
      <c r="DO82" s="13">
        <f>IF('Données projet'!$A$166&gt;35,DO81+DN82-DW81,IF(A82&lt;'Données projet'!$A$166,$DL$205^A82,IF(A82='Données projet'!$A$166,'Données projet'!$B$166,DO81+DN82-DW81)))</f>
        <v>245.7692307692306</v>
      </c>
      <c r="DP82" s="18">
        <f>DO82*VLOOKUP('Données projet'!$B$14,Paramètres!$A$1:$I$89,3,0)*VLOOKUP('Données projet'!$B$14,Paramètres!$A$1:$I$89,5,0)</f>
        <v>164.86199999999988</v>
      </c>
      <c r="DQ82" s="14">
        <f t="shared" si="97"/>
        <v>41.937235202605173</v>
      </c>
      <c r="DR82" s="22">
        <f t="shared" si="70"/>
        <v>360.17533464453709</v>
      </c>
      <c r="DS82" s="60">
        <f t="shared" si="71"/>
        <v>653.50866797787035</v>
      </c>
      <c r="DT82" s="60">
        <f ca="1">AVERAGE(OFFSET($DS$3,0,0,'Données projet'!$E$14+1,1))-AVERAGE(OFFSET($H$3,0,0,'Données projet'!$E$14+1,1))</f>
        <v>291.18686311753402</v>
      </c>
      <c r="DU82" s="60">
        <f t="shared" si="98"/>
        <v>215.44422413249839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3.6</v>
      </c>
      <c r="EJ82" s="13">
        <f>IF('Données projet'!$A$192&gt;35,EJ81+EI82-ER81,IF(A82&lt;'Données projet'!$A$192,$EG$205^A82,IF(A82='Données projet'!$A$192,'Données projet'!$B$192,EJ81+EI82-ER81)))</f>
        <v>188.39999999999986</v>
      </c>
      <c r="EK82" s="18">
        <f>EJ82*VLOOKUP('Données projet'!$B$15,Paramètres!$A$1:$I$89,3,0)*VLOOKUP('Données projet'!$B$15,Paramètres!$A$1:$I$89,5,0)</f>
        <v>152.8300799999999</v>
      </c>
      <c r="EL82" s="14">
        <f t="shared" si="99"/>
        <v>39.221030145920402</v>
      </c>
      <c r="EM82" s="22">
        <f t="shared" si="73"/>
        <v>334.48901683747783</v>
      </c>
      <c r="EN82" s="60">
        <f t="shared" si="74"/>
        <v>627.82235017081121</v>
      </c>
      <c r="EO82" s="60">
        <f ca="1">AVERAGE(OFFSET($EN$3,0,0,'Données projet'!$E$15+1,1))-AVERAGE(OFFSET($H$3,0,0,'Données projet'!$E$15+1,1))</f>
        <v>236.22643401787644</v>
      </c>
      <c r="EP82" s="60">
        <f t="shared" si="100"/>
        <v>188.80444043778022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8">
        <f t="shared" si="56"/>
        <v>256.66666666666669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0" t="e">
        <f t="shared" si="55"/>
        <v>#NUM!</v>
      </c>
      <c r="S83" s="60">
        <f ca="1">AVERAGE(OFFSET($R$3,0,0,'Données projet'!$E$9+1,1))-AVERAGE(OFFSET($H$3,0,0,'Données projet'!$E$9+1,1))</f>
        <v>144.55635559713392</v>
      </c>
      <c r="T83" s="60">
        <f t="shared" si="88"/>
        <v>349.14692715126904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22.639909486759386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6.5638596382885502E-9</v>
      </c>
      <c r="AC83" s="24">
        <f t="shared" si="57"/>
        <v>22.639909493323245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255.15359999999987</v>
      </c>
      <c r="AK83" s="14">
        <f t="shared" si="89"/>
        <v>61.688192762754376</v>
      </c>
      <c r="AL83" s="22">
        <f t="shared" si="58"/>
        <v>551.83278906179692</v>
      </c>
      <c r="AM83" s="60">
        <f t="shared" si="59"/>
        <v>845.16612239513029</v>
      </c>
      <c r="AN83" s="60">
        <f ca="1">AVERAGE(OFFSET($AM$3,0,0,'Données projet'!$E$10+1,1))-AVERAGE(OFFSET($H$3,0,0,'Données projet'!$E$10+1,1))</f>
        <v>428.8489304403459</v>
      </c>
      <c r="AO83" s="60">
        <f t="shared" si="90"/>
        <v>247.01165577562966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281.99999999999989</v>
      </c>
      <c r="BE83" s="14">
        <f>BD83*VLOOKUP('Données projet'!$B$11,Paramètres!$A$1:$I$89,3,0)*VLOOKUP('Données projet'!$B$11,Paramètres!$A$1:$I$89,5,0)</f>
        <v>285.94799999999992</v>
      </c>
      <c r="BF83" s="14">
        <f t="shared" si="91"/>
        <v>68.222450362989363</v>
      </c>
      <c r="BG83" s="22">
        <f t="shared" si="61"/>
        <v>616.84686771553959</v>
      </c>
      <c r="BH83" s="60">
        <f t="shared" si="62"/>
        <v>910.18020104887296</v>
      </c>
      <c r="BI83" s="60">
        <f ca="1">AVERAGE(OFFSET($BH$3,0,0,'Données projet'!$E$11+1,1))-AVERAGE(OFFSET($H$3,0,0,'Données projet'!$E$11+1,1))</f>
        <v>475.47920969424894</v>
      </c>
      <c r="BJ83" s="60">
        <f t="shared" si="92"/>
        <v>271.73544012419364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42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146</v>
      </c>
      <c r="BW83" s="13">
        <f>VLOOKUP(A83,'Données projet'!$A$113:$I$133,9,0)</f>
        <v>3.4</v>
      </c>
      <c r="BX83" s="13">
        <f t="array" ref="BX83">INDEX(BW:BW,MIN(IF(ISNUMBER(BW83:BW279),ROW(BW83:BW279),"")))</f>
        <v>3.4</v>
      </c>
      <c r="BY83" s="13">
        <f>IF('Données projet'!$A$114&gt;35,BY82+BX83-CG82,IF(A83&lt;'Données projet'!$A$114,$BV$205^A83,IF(A83='Données projet'!$A$114,'Données projet'!$B$114,BY82+BX83-CG82)))</f>
        <v>146</v>
      </c>
      <c r="BZ83" s="14">
        <f>BY83*VLOOKUP('Données projet'!$B$12,Paramètres!$A$1:$I$89,3,0)*VLOOKUP('Données projet'!$B$12,Paramètres!$A$1:$I$89,5,0)</f>
        <v>141.21119999999999</v>
      </c>
      <c r="CA83" s="14">
        <f t="shared" si="93"/>
        <v>36.574335145278738</v>
      </c>
      <c r="CB83" s="22">
        <f t="shared" si="64"/>
        <v>309.64314037802711</v>
      </c>
      <c r="CC83" s="60">
        <f t="shared" si="65"/>
        <v>602.97647371136043</v>
      </c>
      <c r="CD83" s="60">
        <f ca="1">AVERAGE(OFFSET($CC$3,0,0,'Données projet'!$E$12+1,1))-AVERAGE(OFFSET($H$3,0,0,'Données projet'!$E$12+1,1))</f>
        <v>255.59755832175625</v>
      </c>
      <c r="CE83" s="60">
        <f t="shared" si="94"/>
        <v>154.0840647586964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146</v>
      </c>
      <c r="CR83" s="13">
        <f>VLOOKUP(A83,'Données projet'!$A$139:$I$159,9,0)</f>
        <v>3.4</v>
      </c>
      <c r="CS83" s="13">
        <f t="array" ref="CS83">INDEX(CR:CR,MIN(IF(ISNUMBER(CR83:CR279),ROW(CR83:CR279),"")))</f>
        <v>3.4</v>
      </c>
      <c r="CT83" s="13">
        <f>IF('Données projet'!$A$140&gt;35,CT82+CS83-DB82,IF(A83&lt;'Données projet'!$A$140,$CQ$205^A83,IF(A83='Données projet'!$A$140,'Données projet'!$B$140,CT82+CS83-DB82)))</f>
        <v>146</v>
      </c>
      <c r="CU83" s="18">
        <f>CT83*VLOOKUP('Données projet'!$B$13,Paramètres!$A$1:$I$89,3,0)*VLOOKUP('Données projet'!$B$13,Paramètres!$A$1:$I$89,5,0)</f>
        <v>157.15440000000001</v>
      </c>
      <c r="CV83" s="14">
        <f t="shared" si="95"/>
        <v>40.200013591870956</v>
      </c>
      <c r="CW83" s="22">
        <f t="shared" si="67"/>
        <v>343.72560367250861</v>
      </c>
      <c r="CX83" s="60">
        <f t="shared" si="68"/>
        <v>637.05893700584193</v>
      </c>
      <c r="CY83" s="60">
        <f ca="1">AVERAGE(OFFSET($CX$3,0,0,'Données projet'!$E$13+1,1))-AVERAGE(OFFSET($H$3,0,0,'Données projet'!$E$13+1,1))</f>
        <v>280.20599015000306</v>
      </c>
      <c r="CZ83" s="60">
        <f t="shared" si="96"/>
        <v>166.97658184507787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250</v>
      </c>
      <c r="DM83" s="13">
        <f>VLOOKUP(A83,'Données projet'!$A$165:$I$185,9,0)</f>
        <v>4.2307692307692317</v>
      </c>
      <c r="DN83" s="13">
        <f t="array" ref="DN83">INDEX(DM:DM,MIN(IF(ISNUMBER(DM83:DM279),ROW(DM83:DM279),"")))</f>
        <v>4.2307692307692317</v>
      </c>
      <c r="DO83" s="13">
        <f>IF('Données projet'!$A$166&gt;35,DO82+DN83-DW82,IF(A83&lt;'Données projet'!$A$166,$DL$205^A83,IF(A83='Données projet'!$A$166,'Données projet'!$B$166,DO82+DN83-DW82)))</f>
        <v>249.99999999999983</v>
      </c>
      <c r="DP83" s="18">
        <f>DO83*VLOOKUP('Données projet'!$B$14,Paramètres!$A$1:$I$89,3,0)*VLOOKUP('Données projet'!$B$14,Paramètres!$A$1:$I$89,5,0)</f>
        <v>167.6999999999999</v>
      </c>
      <c r="DQ83" s="14">
        <f t="shared" si="97"/>
        <v>42.57449242509739</v>
      </c>
      <c r="DR83" s="22">
        <f t="shared" si="70"/>
        <v>366.22807430704444</v>
      </c>
      <c r="DS83" s="60">
        <f t="shared" si="71"/>
        <v>659.56140764037775</v>
      </c>
      <c r="DT83" s="60">
        <f ca="1">AVERAGE(OFFSET($DS$3,0,0,'Données projet'!$E$14+1,1))-AVERAGE(OFFSET($H$3,0,0,'Données projet'!$E$14+1,1))</f>
        <v>291.18686311753402</v>
      </c>
      <c r="DU83" s="60">
        <f t="shared" si="98"/>
        <v>215.44422413249839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192</v>
      </c>
      <c r="EH83" s="13">
        <f>VLOOKUP(A83,'Données projet'!$A$191:$I$211,9,0)</f>
        <v>3.6</v>
      </c>
      <c r="EI83" s="13">
        <f t="array" ref="EI83">INDEX(EH:EH,MIN(IF(ISNUMBER(EH83:EH279),ROW(EH83:EH279),"")))</f>
        <v>3.6</v>
      </c>
      <c r="EJ83" s="13">
        <f>IF('Données projet'!$A$192&gt;35,EJ82+EI83-ER82,IF(A83&lt;'Données projet'!$A$192,$EG$205^A83,IF(A83='Données projet'!$A$192,'Données projet'!$B$192,EJ82+EI83-ER82)))</f>
        <v>191.99999999999986</v>
      </c>
      <c r="EK83" s="18">
        <f>EJ83*VLOOKUP('Données projet'!$B$15,Paramètres!$A$1:$I$89,3,0)*VLOOKUP('Données projet'!$B$15,Paramètres!$A$1:$I$89,5,0)</f>
        <v>155.7503999999999</v>
      </c>
      <c r="EL83" s="14">
        <f t="shared" si="99"/>
        <v>39.882509755133754</v>
      </c>
      <c r="EM83" s="22">
        <f t="shared" si="73"/>
        <v>340.7273178235244</v>
      </c>
      <c r="EN83" s="60">
        <f t="shared" si="74"/>
        <v>634.06065115685772</v>
      </c>
      <c r="EO83" s="60">
        <f ca="1">AVERAGE(OFFSET($EN$3,0,0,'Données projet'!$E$15+1,1))-AVERAGE(OFFSET($H$3,0,0,'Données projet'!$E$15+1,1))</f>
        <v>236.22643401787644</v>
      </c>
      <c r="EP83" s="60">
        <f t="shared" si="100"/>
        <v>188.80444043778022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8">
        <f t="shared" si="56"/>
        <v>256.66666666666669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0" t="e">
        <f t="shared" si="55"/>
        <v>#NUM!</v>
      </c>
      <c r="S84" s="60">
        <f ca="1">AVERAGE(OFFSET($R$3,0,0,'Données projet'!$E$9+1,1))-AVERAGE(OFFSET($H$3,0,0,'Données projet'!$E$9+1,1))</f>
        <v>144.55635559713392</v>
      </c>
      <c r="T84" s="60">
        <f t="shared" si="88"/>
        <v>349.14692715126904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22.195954670705298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4.6413496609905128E-9</v>
      </c>
      <c r="AC84" s="24">
        <f t="shared" si="57"/>
        <v>22.195954675346648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245.59999999999991</v>
      </c>
      <c r="AJ84" s="14">
        <f>AI84*VLOOKUP('Données projet'!$B$10,Paramètres!$A$1:$I$89,3,0)*VLOOKUP('Données projet'!$B$10,Paramètres!$A$1:$I$89,5,0)</f>
        <v>222.21887999999993</v>
      </c>
      <c r="AK84" s="14">
        <f t="shared" si="89"/>
        <v>54.596866296848852</v>
      </c>
      <c r="AL84" s="22">
        <f t="shared" si="58"/>
        <v>482.12075813367829</v>
      </c>
      <c r="AM84" s="60">
        <f t="shared" si="59"/>
        <v>775.45409146701161</v>
      </c>
      <c r="AN84" s="60">
        <f ca="1">AVERAGE(OFFSET($AM$3,0,0,'Données projet'!$E$10+1,1))-AVERAGE(OFFSET($H$3,0,0,'Données projet'!$E$10+1,1))</f>
        <v>428.8489304403459</v>
      </c>
      <c r="AO84" s="60">
        <f t="shared" si="90"/>
        <v>247.01165577562966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245.59999999999991</v>
      </c>
      <c r="BE84" s="14">
        <f>BD84*VLOOKUP('Données projet'!$B$11,Paramètres!$A$1:$I$89,3,0)*VLOOKUP('Données projet'!$B$11,Paramètres!$A$1:$I$89,5,0)</f>
        <v>249.03839999999994</v>
      </c>
      <c r="BF84" s="14">
        <f t="shared" si="91"/>
        <v>60.379982523339947</v>
      </c>
      <c r="BG84" s="22">
        <f t="shared" si="61"/>
        <v>538.90368289481694</v>
      </c>
      <c r="BH84" s="60">
        <f t="shared" si="62"/>
        <v>832.2370162281502</v>
      </c>
      <c r="BI84" s="60">
        <f ca="1">AVERAGE(OFFSET($BH$3,0,0,'Données projet'!$E$11+1,1))-AVERAGE(OFFSET($H$3,0,0,'Données projet'!$E$11+1,1))</f>
        <v>475.47920969424894</v>
      </c>
      <c r="BJ84" s="60">
        <f t="shared" si="92"/>
        <v>271.73544012419364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</v>
      </c>
      <c r="BY84" s="13">
        <f>IF('Données projet'!$A$114&gt;35,BY83+BX84-CG83,IF(A84&lt;'Données projet'!$A$114,$BV$205^A84,IF(A84='Données projet'!$A$114,'Données projet'!$B$114,BY83+BX84-CG83)))</f>
        <v>149</v>
      </c>
      <c r="BZ84" s="14">
        <f>BY84*VLOOKUP('Données projet'!$B$12,Paramètres!$A$1:$I$89,3,0)*VLOOKUP('Données projet'!$B$12,Paramètres!$A$1:$I$89,5,0)</f>
        <v>144.11279999999999</v>
      </c>
      <c r="CA84" s="14">
        <f t="shared" si="93"/>
        <v>37.237596662992502</v>
      </c>
      <c r="CB84" s="22">
        <f t="shared" si="64"/>
        <v>315.85194085471193</v>
      </c>
      <c r="CC84" s="60">
        <f t="shared" si="65"/>
        <v>609.18527418804524</v>
      </c>
      <c r="CD84" s="60">
        <f ca="1">AVERAGE(OFFSET($CC$3,0,0,'Données projet'!$E$12+1,1))-AVERAGE(OFFSET($H$3,0,0,'Données projet'!$E$12+1,1))</f>
        <v>255.59755832175625</v>
      </c>
      <c r="CE84" s="60">
        <f t="shared" si="94"/>
        <v>154.0840647586964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3</v>
      </c>
      <c r="CT84" s="13">
        <f>IF('Données projet'!$A$140&gt;35,CT83+CS84-DB83,IF(A84&lt;'Données projet'!$A$140,$CQ$205^A84,IF(A84='Données projet'!$A$140,'Données projet'!$B$140,CT83+CS84-DB83)))</f>
        <v>149</v>
      </c>
      <c r="CU84" s="18">
        <f>CT84*VLOOKUP('Données projet'!$B$13,Paramètres!$A$1:$I$89,3,0)*VLOOKUP('Données projet'!$B$13,Paramètres!$A$1:$I$89,5,0)</f>
        <v>160.38359999999997</v>
      </c>
      <c r="CV84" s="14">
        <f t="shared" si="95"/>
        <v>40.929025395397851</v>
      </c>
      <c r="CW84" s="22">
        <f t="shared" si="67"/>
        <v>350.61948923031787</v>
      </c>
      <c r="CX84" s="60">
        <f t="shared" si="68"/>
        <v>643.95282256365113</v>
      </c>
      <c r="CY84" s="60">
        <f ca="1">AVERAGE(OFFSET($CX$3,0,0,'Données projet'!$E$13+1,1))-AVERAGE(OFFSET($H$3,0,0,'Données projet'!$E$13+1,1))</f>
        <v>280.20599015000306</v>
      </c>
      <c r="CZ84" s="60">
        <f t="shared" si="96"/>
        <v>166.97658184507787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3.8461538461538454</v>
      </c>
      <c r="DO84" s="13">
        <f>IF('Données projet'!$A$166&gt;35,DO83+DN84-DW83,IF(A84&lt;'Données projet'!$A$166,$DL$205^A84,IF(A84='Données projet'!$A$166,'Données projet'!$B$166,DO83+DN84-DW83)))</f>
        <v>253.84615384615367</v>
      </c>
      <c r="DP84" s="18">
        <f>DO84*VLOOKUP('Données projet'!$B$14,Paramètres!$A$1:$I$89,3,0)*VLOOKUP('Données projet'!$B$14,Paramètres!$A$1:$I$89,5,0)</f>
        <v>170.27999999999989</v>
      </c>
      <c r="DQ84" s="14">
        <f t="shared" si="97"/>
        <v>43.152728263239666</v>
      </c>
      <c r="DR84" s="22">
        <f t="shared" si="70"/>
        <v>371.72866839180887</v>
      </c>
      <c r="DS84" s="60">
        <f t="shared" si="71"/>
        <v>665.06200172514218</v>
      </c>
      <c r="DT84" s="60">
        <f ca="1">AVERAGE(OFFSET($DS$3,0,0,'Données projet'!$E$14+1,1))-AVERAGE(OFFSET($H$3,0,0,'Données projet'!$E$14+1,1))</f>
        <v>291.18686311753402</v>
      </c>
      <c r="DU84" s="60">
        <f t="shared" si="98"/>
        <v>215.44422413249839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3.2</v>
      </c>
      <c r="EJ84" s="13">
        <f>IF('Données projet'!$A$192&gt;35,EJ83+EI84-ER83,IF(A84&lt;'Données projet'!$A$192,$EG$205^A84,IF(A84='Données projet'!$A$192,'Données projet'!$B$192,EJ83+EI84-ER83)))</f>
        <v>195.19999999999985</v>
      </c>
      <c r="EK84" s="18">
        <f>EJ84*VLOOKUP('Données projet'!$B$15,Paramètres!$A$1:$I$89,3,0)*VLOOKUP('Données projet'!$B$15,Paramètres!$A$1:$I$89,5,0)</f>
        <v>158.34623999999988</v>
      </c>
      <c r="EL84" s="14">
        <f t="shared" si="99"/>
        <v>40.469279968461166</v>
      </c>
      <c r="EM84" s="22">
        <f t="shared" si="73"/>
        <v>346.27036394506968</v>
      </c>
      <c r="EN84" s="60">
        <f t="shared" si="74"/>
        <v>639.60369727840293</v>
      </c>
      <c r="EO84" s="60">
        <f ca="1">AVERAGE(OFFSET($EN$3,0,0,'Données projet'!$E$15+1,1))-AVERAGE(OFFSET($H$3,0,0,'Données projet'!$E$15+1,1))</f>
        <v>236.22643401787644</v>
      </c>
      <c r="EP84" s="60">
        <f t="shared" si="100"/>
        <v>188.80444043778022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8">
        <f t="shared" si="56"/>
        <v>256.66666666666669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0" t="e">
        <f t="shared" si="55"/>
        <v>#NUM!</v>
      </c>
      <c r="S85" s="60">
        <f ca="1">AVERAGE(OFFSET($R$3,0,0,'Données projet'!$E$9+1,1))-AVERAGE(OFFSET($H$3,0,0,'Données projet'!$E$9+1,1))</f>
        <v>144.55635559713392</v>
      </c>
      <c r="T85" s="60">
        <f t="shared" si="88"/>
        <v>349.14692715126904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21.760705537808331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3.2819298191442751E-9</v>
      </c>
      <c r="AC85" s="24">
        <f t="shared" si="57"/>
        <v>21.76070554109026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251.1999999999999</v>
      </c>
      <c r="AJ85" s="14">
        <f>AI85*VLOOKUP('Données projet'!$B$10,Paramètres!$A$1:$I$89,3,0)*VLOOKUP('Données projet'!$B$10,Paramètres!$A$1:$I$89,5,0)</f>
        <v>227.28575999999993</v>
      </c>
      <c r="AK85" s="14">
        <f t="shared" si="89"/>
        <v>55.695394520076327</v>
      </c>
      <c r="AL85" s="22">
        <f t="shared" si="58"/>
        <v>492.85884412246605</v>
      </c>
      <c r="AM85" s="60">
        <f t="shared" si="59"/>
        <v>786.19217745579931</v>
      </c>
      <c r="AN85" s="60">
        <f ca="1">AVERAGE(OFFSET($AM$3,0,0,'Données projet'!$E$10+1,1))-AVERAGE(OFFSET($H$3,0,0,'Données projet'!$E$10+1,1))</f>
        <v>428.8489304403459</v>
      </c>
      <c r="AO85" s="60">
        <f t="shared" si="90"/>
        <v>247.01165577562966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251.1999999999999</v>
      </c>
      <c r="BE85" s="14">
        <f>BD85*VLOOKUP('Données projet'!$B$11,Paramètres!$A$1:$I$89,3,0)*VLOOKUP('Données projet'!$B$11,Paramètres!$A$1:$I$89,5,0)</f>
        <v>254.71679999999992</v>
      </c>
      <c r="BF85" s="14">
        <f t="shared" si="91"/>
        <v>61.594871205031538</v>
      </c>
      <c r="BG85" s="22">
        <f t="shared" si="61"/>
        <v>550.9094940154298</v>
      </c>
      <c r="BH85" s="60">
        <f t="shared" si="62"/>
        <v>844.24282734876306</v>
      </c>
      <c r="BI85" s="60">
        <f ca="1">AVERAGE(OFFSET($BH$3,0,0,'Données projet'!$E$11+1,1))-AVERAGE(OFFSET($H$3,0,0,'Données projet'!$E$11+1,1))</f>
        <v>475.47920969424894</v>
      </c>
      <c r="BJ85" s="60">
        <f t="shared" si="92"/>
        <v>271.73544012419364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</v>
      </c>
      <c r="BY85" s="13">
        <f>IF('Données projet'!$A$114&gt;35,BY84+BX85-CG84,IF(A85&lt;'Données projet'!$A$114,$BV$205^A85,IF(A85='Données projet'!$A$114,'Données projet'!$B$114,BY84+BX85-CG84)))</f>
        <v>152</v>
      </c>
      <c r="BZ85" s="14">
        <f>BY85*VLOOKUP('Données projet'!$B$12,Paramètres!$A$1:$I$89,3,0)*VLOOKUP('Données projet'!$B$12,Paramètres!$A$1:$I$89,5,0)</f>
        <v>147.01439999999999</v>
      </c>
      <c r="CA85" s="14">
        <f t="shared" si="93"/>
        <v>37.899305454176826</v>
      </c>
      <c r="CB85" s="22">
        <f t="shared" si="64"/>
        <v>322.05803699935797</v>
      </c>
      <c r="CC85" s="60">
        <f t="shared" si="65"/>
        <v>615.39137033269128</v>
      </c>
      <c r="CD85" s="60">
        <f ca="1">AVERAGE(OFFSET($CC$3,0,0,'Données projet'!$E$12+1,1))-AVERAGE(OFFSET($H$3,0,0,'Données projet'!$E$12+1,1))</f>
        <v>255.59755832175625</v>
      </c>
      <c r="CE85" s="60">
        <f t="shared" si="94"/>
        <v>154.0840647586964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3</v>
      </c>
      <c r="CT85" s="13">
        <f>IF('Données projet'!$A$140&gt;35,CT84+CS85-DB84,IF(A85&lt;'Données projet'!$A$140,$CQ$205^A85,IF(A85='Données projet'!$A$140,'Données projet'!$B$140,CT84+CS85-DB84)))</f>
        <v>152</v>
      </c>
      <c r="CU85" s="18">
        <f>CT85*VLOOKUP('Données projet'!$B$13,Paramètres!$A$1:$I$89,3,0)*VLOOKUP('Données projet'!$B$13,Paramètres!$A$1:$I$89,5,0)</f>
        <v>163.61279999999999</v>
      </c>
      <c r="CV85" s="14">
        <f t="shared" si="95"/>
        <v>41.656330547871804</v>
      </c>
      <c r="CW85" s="22">
        <f t="shared" si="67"/>
        <v>357.51040237087665</v>
      </c>
      <c r="CX85" s="60">
        <f t="shared" si="68"/>
        <v>650.84373570420996</v>
      </c>
      <c r="CY85" s="60">
        <f ca="1">AVERAGE(OFFSET($CX$3,0,0,'Données projet'!$E$13+1,1))-AVERAGE(OFFSET($H$3,0,0,'Données projet'!$E$13+1,1))</f>
        <v>280.20599015000306</v>
      </c>
      <c r="CZ85" s="60">
        <f t="shared" si="96"/>
        <v>166.97658184507787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3.8461538461538454</v>
      </c>
      <c r="DO85" s="13">
        <f>IF('Données projet'!$A$166&gt;35,DO84+DN85-DW84,IF(A85&lt;'Données projet'!$A$166,$DL$205^A85,IF(A85='Données projet'!$A$166,'Données projet'!$B$166,DO84+DN85-DW84)))</f>
        <v>257.69230769230751</v>
      </c>
      <c r="DP85" s="18">
        <f>DO85*VLOOKUP('Données projet'!$B$14,Paramètres!$A$1:$I$89,3,0)*VLOOKUP('Données projet'!$B$14,Paramètres!$A$1:$I$89,5,0)</f>
        <v>172.85999999999987</v>
      </c>
      <c r="DQ85" s="14">
        <f t="shared" si="97"/>
        <v>43.729945161157801</v>
      </c>
      <c r="DR85" s="22">
        <f t="shared" si="70"/>
        <v>377.22748782234959</v>
      </c>
      <c r="DS85" s="60">
        <f t="shared" si="71"/>
        <v>670.5608211556829</v>
      </c>
      <c r="DT85" s="60">
        <f ca="1">AVERAGE(OFFSET($DS$3,0,0,'Données projet'!$E$14+1,1))-AVERAGE(OFFSET($H$3,0,0,'Données projet'!$E$14+1,1))</f>
        <v>291.18686311753402</v>
      </c>
      <c r="DU85" s="60">
        <f t="shared" si="98"/>
        <v>215.44422413249839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3.2</v>
      </c>
      <c r="EJ85" s="13">
        <f>IF('Données projet'!$A$192&gt;35,EJ84+EI85-ER84,IF(A85&lt;'Données projet'!$A$192,$EG$205^A85,IF(A85='Données projet'!$A$192,'Données projet'!$B$192,EJ84+EI85-ER84)))</f>
        <v>198.39999999999984</v>
      </c>
      <c r="EK85" s="18">
        <f>EJ85*VLOOKUP('Données projet'!$B$15,Paramètres!$A$1:$I$89,3,0)*VLOOKUP('Données projet'!$B$15,Paramètres!$A$1:$I$89,5,0)</f>
        <v>160.94207999999989</v>
      </c>
      <c r="EL85" s="14">
        <f t="shared" si="99"/>
        <v>41.054931523415746</v>
      </c>
      <c r="EM85" s="22">
        <f t="shared" si="73"/>
        <v>351.81146173661563</v>
      </c>
      <c r="EN85" s="60">
        <f t="shared" si="74"/>
        <v>645.14479506994894</v>
      </c>
      <c r="EO85" s="60">
        <f ca="1">AVERAGE(OFFSET($EN$3,0,0,'Données projet'!$E$15+1,1))-AVERAGE(OFFSET($H$3,0,0,'Données projet'!$E$15+1,1))</f>
        <v>236.22643401787644</v>
      </c>
      <c r="EP85" s="60">
        <f t="shared" si="100"/>
        <v>188.80444043778022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8">
        <f t="shared" si="56"/>
        <v>256.66666666666669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0" t="e">
        <f t="shared" si="55"/>
        <v>#NUM!</v>
      </c>
      <c r="S86" s="60">
        <f ca="1">AVERAGE(OFFSET($R$3,0,0,'Données projet'!$E$9+1,1))-AVERAGE(OFFSET($H$3,0,0,'Données projet'!$E$9+1,1))</f>
        <v>144.55635559713392</v>
      </c>
      <c r="T86" s="60">
        <f t="shared" si="88"/>
        <v>349.14692715126904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21.333991374931717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2.3206748304952564E-9</v>
      </c>
      <c r="AC86" s="24">
        <f t="shared" si="57"/>
        <v>21.333991377252392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256.7999999999999</v>
      </c>
      <c r="AJ86" s="14">
        <f>AI86*VLOOKUP('Données projet'!$B$10,Paramètres!$A$1:$I$89,3,0)*VLOOKUP('Données projet'!$B$10,Paramètres!$A$1:$I$89,5,0)</f>
        <v>232.35263999999989</v>
      </c>
      <c r="AK86" s="14">
        <f t="shared" si="89"/>
        <v>56.791075613550255</v>
      </c>
      <c r="AL86" s="22">
        <f t="shared" si="58"/>
        <v>503.59197136026643</v>
      </c>
      <c r="AM86" s="60">
        <f t="shared" si="59"/>
        <v>796.92530469359974</v>
      </c>
      <c r="AN86" s="60">
        <f ca="1">AVERAGE(OFFSET($AM$3,0,0,'Données projet'!$E$10+1,1))-AVERAGE(OFFSET($H$3,0,0,'Données projet'!$E$10+1,1))</f>
        <v>428.8489304403459</v>
      </c>
      <c r="AO86" s="60">
        <f t="shared" si="90"/>
        <v>247.01165577562966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256.7999999999999</v>
      </c>
      <c r="BE86" s="14">
        <f>BD86*VLOOKUP('Données projet'!$B$11,Paramètres!$A$1:$I$89,3,0)*VLOOKUP('Données projet'!$B$11,Paramètres!$A$1:$I$89,5,0)</f>
        <v>260.39519999999987</v>
      </c>
      <c r="BF86" s="14">
        <f t="shared" si="91"/>
        <v>62.806611177714331</v>
      </c>
      <c r="BG86" s="22">
        <f t="shared" si="61"/>
        <v>562.90982113451889</v>
      </c>
      <c r="BH86" s="60">
        <f t="shared" si="62"/>
        <v>856.24315446785226</v>
      </c>
      <c r="BI86" s="60">
        <f ca="1">AVERAGE(OFFSET($BH$3,0,0,'Données projet'!$E$11+1,1))-AVERAGE(OFFSET($H$3,0,0,'Données projet'!$E$11+1,1))</f>
        <v>475.47920969424894</v>
      </c>
      <c r="BJ86" s="60">
        <f t="shared" si="92"/>
        <v>271.73544012419364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</v>
      </c>
      <c r="BY86" s="13">
        <f>IF('Données projet'!$A$114&gt;35,BY85+BX86-CG85,IF(A86&lt;'Données projet'!$A$114,$BV$205^A86,IF(A86='Données projet'!$A$114,'Données projet'!$B$114,BY85+BX86-CG85)))</f>
        <v>155</v>
      </c>
      <c r="BZ86" s="14">
        <f>BY86*VLOOKUP('Données projet'!$B$12,Paramètres!$A$1:$I$89,3,0)*VLOOKUP('Données projet'!$B$12,Paramètres!$A$1:$I$89,5,0)</f>
        <v>149.916</v>
      </c>
      <c r="CA86" s="14">
        <f t="shared" si="93"/>
        <v>38.559495697142914</v>
      </c>
      <c r="CB86" s="22">
        <f t="shared" si="64"/>
        <v>328.26148833919052</v>
      </c>
      <c r="CC86" s="60">
        <f t="shared" si="65"/>
        <v>621.59482167252384</v>
      </c>
      <c r="CD86" s="60">
        <f ca="1">AVERAGE(OFFSET($CC$3,0,0,'Données projet'!$E$12+1,1))-AVERAGE(OFFSET($H$3,0,0,'Données projet'!$E$12+1,1))</f>
        <v>255.59755832175625</v>
      </c>
      <c r="CE86" s="60">
        <f t="shared" si="94"/>
        <v>154.0840647586964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3</v>
      </c>
      <c r="CT86" s="13">
        <f>IF('Données projet'!$A$140&gt;35,CT85+CS86-DB85,IF(A86&lt;'Données projet'!$A$140,$CQ$205^A86,IF(A86='Données projet'!$A$140,'Données projet'!$B$140,CT85+CS86-DB85)))</f>
        <v>155</v>
      </c>
      <c r="CU86" s="18">
        <f>CT86*VLOOKUP('Données projet'!$B$13,Paramètres!$A$1:$I$89,3,0)*VLOOKUP('Données projet'!$B$13,Paramètres!$A$1:$I$89,5,0)</f>
        <v>166.84199999999998</v>
      </c>
      <c r="CV86" s="14">
        <f t="shared" si="95"/>
        <v>42.381966615760334</v>
      </c>
      <c r="CW86" s="22">
        <f t="shared" si="67"/>
        <v>364.39840852244924</v>
      </c>
      <c r="CX86" s="60">
        <f t="shared" si="68"/>
        <v>657.7317418557825</v>
      </c>
      <c r="CY86" s="60">
        <f ca="1">AVERAGE(OFFSET($CX$3,0,0,'Données projet'!$E$13+1,1))-AVERAGE(OFFSET($H$3,0,0,'Données projet'!$E$13+1,1))</f>
        <v>280.20599015000306</v>
      </c>
      <c r="CZ86" s="60">
        <f t="shared" si="96"/>
        <v>166.97658184507787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3.8461538461538454</v>
      </c>
      <c r="DO86" s="13">
        <f>IF('Données projet'!$A$166&gt;35,DO85+DN86-DW85,IF(A86&lt;'Données projet'!$A$166,$DL$205^A86,IF(A86='Données projet'!$A$166,'Données projet'!$B$166,DO85+DN86-DW85)))</f>
        <v>261.53846153846138</v>
      </c>
      <c r="DP86" s="18">
        <f>DO86*VLOOKUP('Données projet'!$B$14,Paramètres!$A$1:$I$89,3,0)*VLOOKUP('Données projet'!$B$14,Paramètres!$A$1:$I$89,5,0)</f>
        <v>175.43999999999991</v>
      </c>
      <c r="DQ86" s="14">
        <f t="shared" si="97"/>
        <v>44.306160083661858</v>
      </c>
      <c r="DR86" s="22">
        <f t="shared" si="70"/>
        <v>382.72456214571093</v>
      </c>
      <c r="DS86" s="60">
        <f t="shared" si="71"/>
        <v>676.05789547904419</v>
      </c>
      <c r="DT86" s="60">
        <f ca="1">AVERAGE(OFFSET($DS$3,0,0,'Données projet'!$E$14+1,1))-AVERAGE(OFFSET($H$3,0,0,'Données projet'!$E$14+1,1))</f>
        <v>291.18686311753402</v>
      </c>
      <c r="DU86" s="60">
        <f t="shared" si="98"/>
        <v>215.44422413249839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3.2</v>
      </c>
      <c r="EJ86" s="13">
        <f>IF('Données projet'!$A$192&gt;35,EJ85+EI86-ER85,IF(A86&lt;'Données projet'!$A$192,$EG$205^A86,IF(A86='Données projet'!$A$192,'Données projet'!$B$192,EJ85+EI86-ER85)))</f>
        <v>201.59999999999982</v>
      </c>
      <c r="EK86" s="18">
        <f>EJ86*VLOOKUP('Données projet'!$B$15,Paramètres!$A$1:$I$89,3,0)*VLOOKUP('Données projet'!$B$15,Paramètres!$A$1:$I$89,5,0)</f>
        <v>163.53791999999987</v>
      </c>
      <c r="EL86" s="14">
        <f t="shared" si="99"/>
        <v>41.639484545926564</v>
      </c>
      <c r="EM86" s="22">
        <f t="shared" si="73"/>
        <v>357.35064625082185</v>
      </c>
      <c r="EN86" s="60">
        <f t="shared" si="74"/>
        <v>650.68397958415517</v>
      </c>
      <c r="EO86" s="60">
        <f ca="1">AVERAGE(OFFSET($EN$3,0,0,'Données projet'!$E$15+1,1))-AVERAGE(OFFSET($H$3,0,0,'Données projet'!$E$15+1,1))</f>
        <v>236.22643401787644</v>
      </c>
      <c r="EP86" s="60">
        <f t="shared" si="100"/>
        <v>188.80444043778022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8">
        <f t="shared" si="56"/>
        <v>256.66666666666669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0" t="e">
        <f t="shared" si="55"/>
        <v>#NUM!</v>
      </c>
      <c r="S87" s="60">
        <f ca="1">AVERAGE(OFFSET($R$3,0,0,'Données projet'!$E$9+1,1))-AVERAGE(OFFSET($H$3,0,0,'Données projet'!$E$9+1,1))</f>
        <v>144.55635559713392</v>
      </c>
      <c r="T87" s="60">
        <f t="shared" si="88"/>
        <v>349.14692715126904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20.915644816519173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1.6409649095721376E-9</v>
      </c>
      <c r="AC87" s="24">
        <f t="shared" si="57"/>
        <v>20.915644818160139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262.39999999999992</v>
      </c>
      <c r="AJ87" s="14">
        <f>AI87*VLOOKUP('Données projet'!$B$10,Paramètres!$A$1:$I$89,3,0)*VLOOKUP('Données projet'!$B$10,Paramètres!$A$1:$I$89,5,0)</f>
        <v>237.41951999999992</v>
      </c>
      <c r="AK87" s="14">
        <f t="shared" si="89"/>
        <v>57.883978814320919</v>
      </c>
      <c r="AL87" s="22">
        <f t="shared" si="58"/>
        <v>514.32026043494204</v>
      </c>
      <c r="AM87" s="60">
        <f t="shared" si="59"/>
        <v>807.65359376827541</v>
      </c>
      <c r="AN87" s="60">
        <f ca="1">AVERAGE(OFFSET($AM$3,0,0,'Données projet'!$E$10+1,1))-AVERAGE(OFFSET($H$3,0,0,'Données projet'!$E$10+1,1))</f>
        <v>428.8489304403459</v>
      </c>
      <c r="AO87" s="60">
        <f t="shared" si="90"/>
        <v>247.01165577562966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262.39999999999992</v>
      </c>
      <c r="BE87" s="14">
        <f>BD87*VLOOKUP('Données projet'!$B$11,Paramètres!$A$1:$I$89,3,0)*VLOOKUP('Données projet'!$B$11,Paramètres!$A$1:$I$89,5,0)</f>
        <v>266.07359999999994</v>
      </c>
      <c r="BF87" s="14">
        <f t="shared" si="91"/>
        <v>64.015279012301136</v>
      </c>
      <c r="BG87" s="22">
        <f t="shared" si="61"/>
        <v>574.90479761309098</v>
      </c>
      <c r="BH87" s="60">
        <f t="shared" si="62"/>
        <v>868.23813094642423</v>
      </c>
      <c r="BI87" s="60">
        <f ca="1">AVERAGE(OFFSET($BH$3,0,0,'Données projet'!$E$11+1,1))-AVERAGE(OFFSET($H$3,0,0,'Données projet'!$E$11+1,1))</f>
        <v>475.47920969424894</v>
      </c>
      <c r="BJ87" s="60">
        <f t="shared" si="92"/>
        <v>271.73544012419364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</v>
      </c>
      <c r="BY87" s="13">
        <f>IF('Données projet'!$A$114&gt;35,BY86+BX87-CG86,IF(A87&lt;'Données projet'!$A$114,$BV$205^A87,IF(A87='Données projet'!$A$114,'Données projet'!$B$114,BY86+BX87-CG86)))</f>
        <v>158</v>
      </c>
      <c r="BZ87" s="14">
        <f>BY87*VLOOKUP('Données projet'!$B$12,Paramètres!$A$1:$I$89,3,0)*VLOOKUP('Données projet'!$B$12,Paramètres!$A$1:$I$89,5,0)</f>
        <v>152.8176</v>
      </c>
      <c r="CA87" s="14">
        <f t="shared" si="93"/>
        <v>39.218200171484227</v>
      </c>
      <c r="CB87" s="22">
        <f t="shared" si="64"/>
        <v>334.46235196533502</v>
      </c>
      <c r="CC87" s="60">
        <f t="shared" si="65"/>
        <v>627.79568529866833</v>
      </c>
      <c r="CD87" s="60">
        <f ca="1">AVERAGE(OFFSET($CC$3,0,0,'Données projet'!$E$12+1,1))-AVERAGE(OFFSET($H$3,0,0,'Données projet'!$E$12+1,1))</f>
        <v>255.59755832175625</v>
      </c>
      <c r="CE87" s="60">
        <f t="shared" si="94"/>
        <v>154.0840647586964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3</v>
      </c>
      <c r="CT87" s="13">
        <f>IF('Données projet'!$A$140&gt;35,CT86+CS87-DB86,IF(A87&lt;'Données projet'!$A$140,$CQ$205^A87,IF(A87='Données projet'!$A$140,'Données projet'!$B$140,CT86+CS87-DB86)))</f>
        <v>158</v>
      </c>
      <c r="CU87" s="18">
        <f>CT87*VLOOKUP('Données projet'!$B$13,Paramètres!$A$1:$I$89,3,0)*VLOOKUP('Données projet'!$B$13,Paramètres!$A$1:$I$89,5,0)</f>
        <v>170.0712</v>
      </c>
      <c r="CV87" s="14">
        <f t="shared" si="95"/>
        <v>43.10596962815594</v>
      </c>
      <c r="CW87" s="22">
        <f t="shared" si="67"/>
        <v>371.28357043570492</v>
      </c>
      <c r="CX87" s="60">
        <f t="shared" si="68"/>
        <v>664.61690376903823</v>
      </c>
      <c r="CY87" s="60">
        <f ca="1">AVERAGE(OFFSET($CX$3,0,0,'Données projet'!$E$13+1,1))-AVERAGE(OFFSET($H$3,0,0,'Données projet'!$E$13+1,1))</f>
        <v>280.20599015000306</v>
      </c>
      <c r="CZ87" s="60">
        <f t="shared" si="96"/>
        <v>166.97658184507787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3.8461538461538454</v>
      </c>
      <c r="DO87" s="13">
        <f>IF('Données projet'!$A$166&gt;35,DO86+DN87-DW86,IF(A87&lt;'Données projet'!$A$166,$DL$205^A87,IF(A87='Données projet'!$A$166,'Données projet'!$B$166,DO86+DN87-DW86)))</f>
        <v>265.38461538461524</v>
      </c>
      <c r="DP87" s="18">
        <f>DO87*VLOOKUP('Données projet'!$B$14,Paramètres!$A$1:$I$89,3,0)*VLOOKUP('Données projet'!$B$14,Paramètres!$A$1:$I$89,5,0)</f>
        <v>178.01999999999992</v>
      </c>
      <c r="DQ87" s="14">
        <f t="shared" si="97"/>
        <v>44.881389467952083</v>
      </c>
      <c r="DR87" s="22">
        <f t="shared" si="70"/>
        <v>388.21991999001642</v>
      </c>
      <c r="DS87" s="60">
        <f t="shared" si="71"/>
        <v>681.55325332334974</v>
      </c>
      <c r="DT87" s="60">
        <f ca="1">AVERAGE(OFFSET($DS$3,0,0,'Données projet'!$E$14+1,1))-AVERAGE(OFFSET($H$3,0,0,'Données projet'!$E$14+1,1))</f>
        <v>291.18686311753402</v>
      </c>
      <c r="DU87" s="60">
        <f t="shared" si="98"/>
        <v>215.44422413249839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3.2</v>
      </c>
      <c r="EJ87" s="13">
        <f>IF('Données projet'!$A$192&gt;35,EJ86+EI87-ER86,IF(A87&lt;'Données projet'!$A$192,$EG$205^A87,IF(A87='Données projet'!$A$192,'Données projet'!$B$192,EJ86+EI87-ER86)))</f>
        <v>204.79999999999981</v>
      </c>
      <c r="EK87" s="18">
        <f>EJ87*VLOOKUP('Données projet'!$B$15,Paramètres!$A$1:$I$89,3,0)*VLOOKUP('Données projet'!$B$15,Paramètres!$A$1:$I$89,5,0)</f>
        <v>166.13375999999985</v>
      </c>
      <c r="EL87" s="14">
        <f t="shared" si="99"/>
        <v>42.22295848635887</v>
      </c>
      <c r="EM87" s="22">
        <f t="shared" si="73"/>
        <v>362.88795136374142</v>
      </c>
      <c r="EN87" s="60">
        <f t="shared" si="74"/>
        <v>656.22128469707468</v>
      </c>
      <c r="EO87" s="60">
        <f ca="1">AVERAGE(OFFSET($EN$3,0,0,'Données projet'!$E$15+1,1))-AVERAGE(OFFSET($H$3,0,0,'Données projet'!$E$15+1,1))</f>
        <v>236.22643401787644</v>
      </c>
      <c r="EP87" s="60">
        <f t="shared" si="100"/>
        <v>188.80444043778022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8">
        <f t="shared" si="56"/>
        <v>256.66666666666669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0" t="e">
        <f t="shared" si="55"/>
        <v>#NUM!</v>
      </c>
      <c r="S88" s="60">
        <f ca="1">AVERAGE(OFFSET($R$3,0,0,'Données projet'!$E$9+1,1))-AVERAGE(OFFSET($H$3,0,0,'Données projet'!$E$9+1,1))</f>
        <v>144.55635559713392</v>
      </c>
      <c r="T88" s="60">
        <f t="shared" si="88"/>
        <v>349.14692715126904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20.505501778950894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1.1603374152476282E-9</v>
      </c>
      <c r="AC88" s="24">
        <f t="shared" si="57"/>
        <v>20.505501780111231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267.99999999999994</v>
      </c>
      <c r="AJ88" s="14">
        <f>AI88*VLOOKUP('Données projet'!$B$10,Paramètres!$A$1:$I$89,3,0)*VLOOKUP('Données projet'!$B$10,Paramètres!$A$1:$I$89,5,0)</f>
        <v>242.48639999999995</v>
      </c>
      <c r="AK88" s="14">
        <f t="shared" si="89"/>
        <v>58.974170235372419</v>
      </c>
      <c r="AL88" s="22">
        <f t="shared" si="58"/>
        <v>525.04382649327351</v>
      </c>
      <c r="AM88" s="60">
        <f t="shared" si="59"/>
        <v>818.37715982660688</v>
      </c>
      <c r="AN88" s="60">
        <f ca="1">AVERAGE(OFFSET($AM$3,0,0,'Données projet'!$E$10+1,1))-AVERAGE(OFFSET($H$3,0,0,'Données projet'!$E$10+1,1))</f>
        <v>428.8489304403459</v>
      </c>
      <c r="AO88" s="60">
        <f t="shared" si="90"/>
        <v>247.01165577562966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267.99999999999994</v>
      </c>
      <c r="BE88" s="14">
        <f>BD88*VLOOKUP('Données projet'!$B$11,Paramètres!$A$1:$I$89,3,0)*VLOOKUP('Données projet'!$B$11,Paramètres!$A$1:$I$89,5,0)</f>
        <v>271.75199999999995</v>
      </c>
      <c r="BF88" s="14">
        <f t="shared" si="91"/>
        <v>65.220947824724931</v>
      </c>
      <c r="BG88" s="22">
        <f t="shared" si="61"/>
        <v>586.89455079472907</v>
      </c>
      <c r="BH88" s="60">
        <f t="shared" si="62"/>
        <v>880.22788412806244</v>
      </c>
      <c r="BI88" s="60">
        <f ca="1">AVERAGE(OFFSET($BH$3,0,0,'Données projet'!$E$11+1,1))-AVERAGE(OFFSET($H$3,0,0,'Données projet'!$E$11+1,1))</f>
        <v>475.47920969424894</v>
      </c>
      <c r="BJ88" s="60">
        <f t="shared" si="92"/>
        <v>271.73544012419364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161</v>
      </c>
      <c r="BW88" s="13">
        <f>VLOOKUP(A88,'Données projet'!$A$113:$I$133,9,0)</f>
        <v>3</v>
      </c>
      <c r="BX88" s="13">
        <f t="array" ref="BX88">INDEX(BW:BW,MIN(IF(ISNUMBER(BW88:BW284),ROW(BW88:BW284),"")))</f>
        <v>3</v>
      </c>
      <c r="BY88" s="13">
        <f>IF('Données projet'!$A$114&gt;35,BY87+BX88-CG87,IF(A88&lt;'Données projet'!$A$114,$BV$205^A88,IF(A88='Données projet'!$A$114,'Données projet'!$B$114,BY87+BX88-CG87)))</f>
        <v>161</v>
      </c>
      <c r="BZ88" s="14">
        <f>BY88*VLOOKUP('Données projet'!$B$12,Paramètres!$A$1:$I$89,3,0)*VLOOKUP('Données projet'!$B$12,Paramètres!$A$1:$I$89,5,0)</f>
        <v>155.7192</v>
      </c>
      <c r="CA88" s="14">
        <f t="shared" si="93"/>
        <v>39.875450340770094</v>
      </c>
      <c r="CB88" s="22">
        <f t="shared" si="64"/>
        <v>340.66068267684119</v>
      </c>
      <c r="CC88" s="60">
        <f t="shared" si="65"/>
        <v>633.99401601017451</v>
      </c>
      <c r="CD88" s="60">
        <f ca="1">AVERAGE(OFFSET($CC$3,0,0,'Données projet'!$E$12+1,1))-AVERAGE(OFFSET($H$3,0,0,'Données projet'!$E$12+1,1))</f>
        <v>255.59755832175625</v>
      </c>
      <c r="CE88" s="60">
        <f t="shared" si="94"/>
        <v>154.0840647586964</v>
      </c>
      <c r="CF88" s="16">
        <f>IF(ISNA(VLOOKUP(A88,'Données projet'!$A$113:$I$133,3,0)),0,VLOOKUP(A88,'Données projet'!$A$113:$I$133,3,0))</f>
        <v>6</v>
      </c>
      <c r="CG88" s="16">
        <f>IF(ISNA(VLOOKUP(A88,'Données projet'!$A$113:$I$133,4,0)),0,VLOOKUP(A88,'Données projet'!$A$113:$I$133,4,0))</f>
        <v>18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161</v>
      </c>
      <c r="CR88" s="13">
        <f>VLOOKUP(A88,'Données projet'!$A$139:$I$159,9,0)</f>
        <v>3</v>
      </c>
      <c r="CS88" s="13">
        <f t="array" ref="CS88">INDEX(CR:CR,MIN(IF(ISNUMBER(CR88:CR284),ROW(CR88:CR284),"")))</f>
        <v>3</v>
      </c>
      <c r="CT88" s="13">
        <f>IF('Données projet'!$A$140&gt;35,CT87+CS88-DB87,IF(A88&lt;'Données projet'!$A$140,$CQ$205^A88,IF(A88='Données projet'!$A$140,'Données projet'!$B$140,CT87+CS88-DB87)))</f>
        <v>161</v>
      </c>
      <c r="CU88" s="18">
        <f>CT88*VLOOKUP('Données projet'!$B$13,Paramètres!$A$1:$I$89,3,0)*VLOOKUP('Données projet'!$B$13,Paramètres!$A$1:$I$89,5,0)</f>
        <v>173.3004</v>
      </c>
      <c r="CV88" s="14">
        <f t="shared" si="95"/>
        <v>43.82837416766705</v>
      </c>
      <c r="CW88" s="22">
        <f t="shared" si="67"/>
        <v>378.1659483420201</v>
      </c>
      <c r="CX88" s="60">
        <f t="shared" si="68"/>
        <v>671.49928167535336</v>
      </c>
      <c r="CY88" s="60">
        <f ca="1">AVERAGE(OFFSET($CX$3,0,0,'Données projet'!$E$13+1,1))-AVERAGE(OFFSET($H$3,0,0,'Données projet'!$E$13+1,1))</f>
        <v>280.20599015000306</v>
      </c>
      <c r="CZ88" s="60">
        <f t="shared" si="96"/>
        <v>166.97658184507787</v>
      </c>
      <c r="DA88" s="16">
        <f>IF(ISNA(VLOOKUP(A88,'Données projet'!$A$139:$I$159,3,0)),0,VLOOKUP(A88,'Données projet'!$A$139:$I$159,3,0))</f>
        <v>6</v>
      </c>
      <c r="DB88" s="16">
        <f>IF(ISNA(VLOOKUP(A88,'Données projet'!$A$139:$I$159,4,0)),0,VLOOKUP(A88,'Données projet'!$A$139:$I$159,4,0))</f>
        <v>18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269.23076923076923</v>
      </c>
      <c r="DM88" s="13">
        <f>VLOOKUP(A88,'Données projet'!$A$165:$I$185,9,0)</f>
        <v>3.8461538461538454</v>
      </c>
      <c r="DN88" s="13">
        <f t="array" ref="DN88">INDEX(DM:DM,MIN(IF(ISNUMBER(DM88:DM284),ROW(DM88:DM284),"")))</f>
        <v>3.8461538461538454</v>
      </c>
      <c r="DO88" s="13">
        <f>IF('Données projet'!$A$166&gt;35,DO87+DN88-DW87,IF(A88&lt;'Données projet'!$A$166,$DL$205^A88,IF(A88='Données projet'!$A$166,'Données projet'!$B$166,DO87+DN88-DW87)))</f>
        <v>269.23076923076911</v>
      </c>
      <c r="DP88" s="18">
        <f>DO88*VLOOKUP('Données projet'!$B$14,Paramètres!$A$1:$I$89,3,0)*VLOOKUP('Données projet'!$B$14,Paramètres!$A$1:$I$89,5,0)</f>
        <v>180.59999999999994</v>
      </c>
      <c r="DQ88" s="14">
        <f t="shared" si="97"/>
        <v>45.455649247431545</v>
      </c>
      <c r="DR88" s="22">
        <f t="shared" si="70"/>
        <v>393.71358910594313</v>
      </c>
      <c r="DS88" s="60">
        <f t="shared" si="71"/>
        <v>687.04692243927639</v>
      </c>
      <c r="DT88" s="60">
        <f ca="1">AVERAGE(OFFSET($DS$3,0,0,'Données projet'!$E$14+1,1))-AVERAGE(OFFSET($H$3,0,0,'Données projet'!$E$14+1,1))</f>
        <v>291.18686311753402</v>
      </c>
      <c r="DU88" s="60">
        <f t="shared" si="98"/>
        <v>215.44422413249839</v>
      </c>
      <c r="DV88" s="16">
        <f>IF(ISNA(VLOOKUP(A88,'Données projet'!$A$165:$I$185,3,0)),0,VLOOKUP(A88,'Données projet'!$A$165:$I$185,3,0))</f>
        <v>7</v>
      </c>
      <c r="DW88" s="16">
        <f>IF(ISNA(VLOOKUP(A88,'Données projet'!$A$165:$I$185,4,0)),0,VLOOKUP(A88,'Données projet'!$A$165:$I$185,4,0))</f>
        <v>23.717948717948715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208</v>
      </c>
      <c r="EH88" s="13">
        <f>VLOOKUP(A88,'Données projet'!$A$191:$I$211,9,0)</f>
        <v>3.2</v>
      </c>
      <c r="EI88" s="13">
        <f t="array" ref="EI88">INDEX(EH:EH,MIN(IF(ISNUMBER(EH88:EH284),ROW(EH88:EH284),"")))</f>
        <v>3.2</v>
      </c>
      <c r="EJ88" s="13">
        <f>IF('Données projet'!$A$192&gt;35,EJ87+EI88-ER87,IF(A88&lt;'Données projet'!$A$192,$EG$205^A88,IF(A88='Données projet'!$A$192,'Données projet'!$B$192,EJ87+EI88-ER87)))</f>
        <v>207.9999999999998</v>
      </c>
      <c r="EK88" s="18">
        <f>EJ88*VLOOKUP('Données projet'!$B$15,Paramètres!$A$1:$I$89,3,0)*VLOOKUP('Données projet'!$B$15,Paramètres!$A$1:$I$89,5,0)</f>
        <v>168.72959999999983</v>
      </c>
      <c r="EL88" s="14">
        <f t="shared" si="99"/>
        <v>42.805372152385033</v>
      </c>
      <c r="EM88" s="22">
        <f t="shared" si="73"/>
        <v>368.42340983207026</v>
      </c>
      <c r="EN88" s="60">
        <f t="shared" si="74"/>
        <v>661.75674316540358</v>
      </c>
      <c r="EO88" s="60">
        <f ca="1">AVERAGE(OFFSET($EN$3,0,0,'Données projet'!$E$15+1,1))-AVERAGE(OFFSET($H$3,0,0,'Données projet'!$E$15+1,1))</f>
        <v>236.22643401787644</v>
      </c>
      <c r="EP88" s="60">
        <f t="shared" si="100"/>
        <v>188.80444043778022</v>
      </c>
      <c r="EQ88" s="16">
        <f>IF(ISNA(VLOOKUP(A88,'Données projet'!$A$191:$I$211,3,0)),0,VLOOKUP(A88,'Données projet'!$A$191:$I$211,3,0))</f>
        <v>7</v>
      </c>
      <c r="ER88" s="16">
        <f>IF(ISNA(VLOOKUP(A88,'Données projet'!$A$191:$I$211,4,0)),0,VLOOKUP(A88,'Données projet'!$A$191:$I$211,4,0))</f>
        <v>21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8">
        <f t="shared" si="56"/>
        <v>256.66666666666669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0" t="e">
        <f t="shared" si="55"/>
        <v>#NUM!</v>
      </c>
      <c r="S89" s="60">
        <f ca="1">AVERAGE(OFFSET($R$3,0,0,'Données projet'!$E$9+1,1))-AVERAGE(OFFSET($H$3,0,0,'Données projet'!$E$9+1,1))</f>
        <v>144.55635559713392</v>
      </c>
      <c r="T89" s="60">
        <f t="shared" si="88"/>
        <v>349.14692715126904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20.103401396186776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8.2048245478606878E-10</v>
      </c>
      <c r="AC89" s="24">
        <f t="shared" si="57"/>
        <v>20.103401397007257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247.55327999999994</v>
      </c>
      <c r="AK89" s="14">
        <f t="shared" si="89"/>
        <v>60.061713068870255</v>
      </c>
      <c r="AL89" s="22">
        <f t="shared" si="58"/>
        <v>535.76277959494894</v>
      </c>
      <c r="AM89" s="60">
        <f t="shared" si="59"/>
        <v>829.09611292828231</v>
      </c>
      <c r="AN89" s="60">
        <f ca="1">AVERAGE(OFFSET($AM$3,0,0,'Données projet'!$E$10+1,1))-AVERAGE(OFFSET($H$3,0,0,'Données projet'!$E$10+1,1))</f>
        <v>428.8489304403459</v>
      </c>
      <c r="AO89" s="60">
        <f t="shared" si="90"/>
        <v>247.01165577562966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5.6</v>
      </c>
      <c r="BD89" s="13">
        <f>IF('Données projet'!$A$88&gt;35,BD88+BC89-BL88,IF(A89&lt;'Données projet'!$A$88,$BA$205^A89,IF(A89='Données projet'!$A$88,'Données projet'!$B$88,BD88+BC89-BL88)))</f>
        <v>273.59999999999997</v>
      </c>
      <c r="BE89" s="14">
        <f>BD89*VLOOKUP('Données projet'!$B$11,Paramètres!$A$1:$I$89,3,0)*VLOOKUP('Données projet'!$B$11,Paramètres!$A$1:$I$89,5,0)</f>
        <v>277.43039999999996</v>
      </c>
      <c r="BF89" s="14">
        <f t="shared" si="91"/>
        <v>66.423687500715673</v>
      </c>
      <c r="BG89" s="22">
        <f t="shared" si="61"/>
        <v>598.87920239707967</v>
      </c>
      <c r="BH89" s="60">
        <f t="shared" si="62"/>
        <v>892.21253573041304</v>
      </c>
      <c r="BI89" s="60">
        <f ca="1">AVERAGE(OFFSET($BH$3,0,0,'Données projet'!$E$11+1,1))-AVERAGE(OFFSET($H$3,0,0,'Données projet'!$E$11+1,1))</f>
        <v>475.47920969424894</v>
      </c>
      <c r="BJ89" s="60">
        <f t="shared" si="92"/>
        <v>271.73544012419364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3.2</v>
      </c>
      <c r="BY89" s="13">
        <f>IF('Données projet'!$A$114&gt;35,BY88+BX89-CG88,IF(A89&lt;'Données projet'!$A$114,$BV$205^A89,IF(A89='Données projet'!$A$114,'Données projet'!$B$114,BY88+BX89-CG88)))</f>
        <v>146.19999999999999</v>
      </c>
      <c r="BZ89" s="14">
        <f>BY89*VLOOKUP('Données projet'!$B$12,Paramètres!$A$1:$I$89,3,0)*VLOOKUP('Données projet'!$B$12,Paramètres!$A$1:$I$89,5,0)</f>
        <v>141.40464</v>
      </c>
      <c r="CA89" s="14">
        <f t="shared" si="93"/>
        <v>36.618601593681802</v>
      </c>
      <c r="CB89" s="22">
        <f t="shared" si="64"/>
        <v>310.05714577566249</v>
      </c>
      <c r="CC89" s="60">
        <f t="shared" si="65"/>
        <v>603.39047910899581</v>
      </c>
      <c r="CD89" s="60">
        <f ca="1">AVERAGE(OFFSET($CC$3,0,0,'Données projet'!$E$12+1,1))-AVERAGE(OFFSET($H$3,0,0,'Données projet'!$E$12+1,1))</f>
        <v>255.59755832175625</v>
      </c>
      <c r="CE89" s="60">
        <f t="shared" si="94"/>
        <v>154.0840647586964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3.2</v>
      </c>
      <c r="CT89" s="13">
        <f>IF('Données projet'!$A$140&gt;35,CT88+CS89-DB88,IF(A89&lt;'Données projet'!$A$140,$CQ$205^A89,IF(A89='Données projet'!$A$140,'Données projet'!$B$140,CT88+CS89-DB88)))</f>
        <v>146.19999999999999</v>
      </c>
      <c r="CU89" s="18">
        <f>CT89*VLOOKUP('Données projet'!$B$13,Paramètres!$A$1:$I$89,3,0)*VLOOKUP('Données projet'!$B$13,Paramètres!$A$1:$I$89,5,0)</f>
        <v>157.36967999999999</v>
      </c>
      <c r="CV89" s="14">
        <f t="shared" si="95"/>
        <v>40.248668251494934</v>
      </c>
      <c r="CW89" s="22">
        <f t="shared" si="67"/>
        <v>344.18528987135369</v>
      </c>
      <c r="CX89" s="60">
        <f t="shared" si="68"/>
        <v>637.51862320468695</v>
      </c>
      <c r="CY89" s="60">
        <f ca="1">AVERAGE(OFFSET($CX$3,0,0,'Données projet'!$E$13+1,1))-AVERAGE(OFFSET($H$3,0,0,'Données projet'!$E$13+1,1))</f>
        <v>280.20599015000306</v>
      </c>
      <c r="CZ89" s="60">
        <f t="shared" si="96"/>
        <v>166.97658184507787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3.5897435897435912</v>
      </c>
      <c r="DO89" s="13">
        <f>IF('Données projet'!$A$166&gt;35,DO88+DN89-DW88,IF(A89&lt;'Données projet'!$A$166,$DL$205^A89,IF(A89='Données projet'!$A$166,'Données projet'!$B$166,DO88+DN89-DW88)))</f>
        <v>249.10256410256397</v>
      </c>
      <c r="DP89" s="18">
        <f>DO89*VLOOKUP('Données projet'!$B$14,Paramètres!$A$1:$I$89,3,0)*VLOOKUP('Données projet'!$B$14,Paramètres!$A$1:$I$89,5,0)</f>
        <v>167.09799999999993</v>
      </c>
      <c r="DQ89" s="14">
        <f t="shared" si="97"/>
        <v>42.439422250604494</v>
      </c>
      <c r="DR89" s="22">
        <f t="shared" si="70"/>
        <v>364.94434375313602</v>
      </c>
      <c r="DS89" s="60">
        <f t="shared" si="71"/>
        <v>658.27767708646934</v>
      </c>
      <c r="DT89" s="60">
        <f ca="1">AVERAGE(OFFSET($DS$3,0,0,'Données projet'!$E$14+1,1))-AVERAGE(OFFSET($H$3,0,0,'Données projet'!$E$14+1,1))</f>
        <v>291.18686311753402</v>
      </c>
      <c r="DU89" s="60">
        <f t="shared" si="98"/>
        <v>215.44422413249839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3</v>
      </c>
      <c r="EJ89" s="13">
        <f>IF('Données projet'!$A$192&gt;35,EJ88+EI89-ER88,IF(A89&lt;'Données projet'!$A$192,$EG$205^A89,IF(A89='Données projet'!$A$192,'Données projet'!$B$192,EJ88+EI89-ER88)))</f>
        <v>189.9999999999998</v>
      </c>
      <c r="EK89" s="18">
        <f>EJ89*VLOOKUP('Données projet'!$B$15,Paramètres!$A$1:$I$89,3,0)*VLOOKUP('Données projet'!$B$15,Paramètres!$A$1:$I$89,5,0)</f>
        <v>154.12799999999984</v>
      </c>
      <c r="EL89" s="14">
        <f t="shared" si="99"/>
        <v>39.515201075361119</v>
      </c>
      <c r="EM89" s="22">
        <f t="shared" si="73"/>
        <v>337.26190853958701</v>
      </c>
      <c r="EN89" s="60">
        <f t="shared" si="74"/>
        <v>630.59524187292027</v>
      </c>
      <c r="EO89" s="60">
        <f ca="1">AVERAGE(OFFSET($EN$3,0,0,'Données projet'!$E$15+1,1))-AVERAGE(OFFSET($H$3,0,0,'Données projet'!$E$15+1,1))</f>
        <v>236.22643401787644</v>
      </c>
      <c r="EP89" s="60">
        <f t="shared" si="100"/>
        <v>188.80444043778022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8">
        <f t="shared" si="56"/>
        <v>256.66666666666669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0" t="e">
        <f t="shared" si="55"/>
        <v>#NUM!</v>
      </c>
      <c r="S90" s="60">
        <f ca="1">AVERAGE(OFFSET($R$3,0,0,'Données projet'!$E$9+1,1))-AVERAGE(OFFSET($H$3,0,0,'Données projet'!$E$9+1,1))</f>
        <v>144.55635559713392</v>
      </c>
      <c r="T90" s="60">
        <f t="shared" si="88"/>
        <v>349.14692715126904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19.709185956671647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5.8016870762381411E-10</v>
      </c>
      <c r="AC90" s="24">
        <f t="shared" si="57"/>
        <v>19.709185957251815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</v>
      </c>
      <c r="AJ90" s="14">
        <f>AI90*VLOOKUP('Données projet'!$B$10,Paramètres!$A$1:$I$89,3,0)*VLOOKUP('Données projet'!$B$10,Paramètres!$A$1:$I$89,5,0)</f>
        <v>252.62015999999997</v>
      </c>
      <c r="AK90" s="14">
        <f t="shared" si="89"/>
        <v>61.14666777229877</v>
      </c>
      <c r="AL90" s="22">
        <f t="shared" si="58"/>
        <v>546.47722503675357</v>
      </c>
      <c r="AM90" s="60">
        <f t="shared" si="59"/>
        <v>839.81055837008694</v>
      </c>
      <c r="AN90" s="60">
        <f ca="1">AVERAGE(OFFSET($AM$3,0,0,'Données projet'!$E$10+1,1))-AVERAGE(OFFSET($H$3,0,0,'Données projet'!$E$10+1,1))</f>
        <v>428.8489304403459</v>
      </c>
      <c r="AO90" s="60">
        <f t="shared" si="90"/>
        <v>247.01165577562966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5.6</v>
      </c>
      <c r="BD90" s="13">
        <f>IF('Données projet'!$A$88&gt;35,BD89+BC90-BL89,IF(A90&lt;'Données projet'!$A$88,$BA$205^A90,IF(A90='Données projet'!$A$88,'Données projet'!$B$88,BD89+BC90-BL89)))</f>
        <v>279.2</v>
      </c>
      <c r="BE90" s="14">
        <f>BD90*VLOOKUP('Données projet'!$B$11,Paramètres!$A$1:$I$89,3,0)*VLOOKUP('Données projet'!$B$11,Paramètres!$A$1:$I$89,5,0)</f>
        <v>283.10879999999997</v>
      </c>
      <c r="BF90" s="14">
        <f t="shared" si="91"/>
        <v>67.623564901653808</v>
      </c>
      <c r="BG90" s="22">
        <f t="shared" si="61"/>
        <v>610.85886887038032</v>
      </c>
      <c r="BH90" s="60">
        <f t="shared" si="62"/>
        <v>904.19220220371358</v>
      </c>
      <c r="BI90" s="60">
        <f ca="1">AVERAGE(OFFSET($BH$3,0,0,'Données projet'!$E$11+1,1))-AVERAGE(OFFSET($H$3,0,0,'Données projet'!$E$11+1,1))</f>
        <v>475.47920969424894</v>
      </c>
      <c r="BJ90" s="60">
        <f t="shared" si="92"/>
        <v>271.73544012419364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3.2</v>
      </c>
      <c r="BY90" s="13">
        <f>IF('Données projet'!$A$114&gt;35,BY89+BX90-CG89,IF(A90&lt;'Données projet'!$A$114,$BV$205^A90,IF(A90='Données projet'!$A$114,'Données projet'!$B$114,BY89+BX90-CG89)))</f>
        <v>149.39999999999998</v>
      </c>
      <c r="BZ90" s="14">
        <f>BY90*VLOOKUP('Données projet'!$B$12,Paramètres!$A$1:$I$89,3,0)*VLOOKUP('Données projet'!$B$12,Paramètres!$A$1:$I$89,5,0)</f>
        <v>144.49967999999998</v>
      </c>
      <c r="CA90" s="14">
        <f t="shared" si="93"/>
        <v>37.325913454134138</v>
      </c>
      <c r="CB90" s="22">
        <f t="shared" si="64"/>
        <v>316.67957526595023</v>
      </c>
      <c r="CC90" s="60">
        <f t="shared" si="65"/>
        <v>610.01290859928349</v>
      </c>
      <c r="CD90" s="60">
        <f ca="1">AVERAGE(OFFSET($CC$3,0,0,'Données projet'!$E$12+1,1))-AVERAGE(OFFSET($H$3,0,0,'Données projet'!$E$12+1,1))</f>
        <v>255.59755832175625</v>
      </c>
      <c r="CE90" s="60">
        <f t="shared" si="94"/>
        <v>154.0840647586964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3.2</v>
      </c>
      <c r="CT90" s="13">
        <f>IF('Données projet'!$A$140&gt;35,CT89+CS90-DB89,IF(A90&lt;'Données projet'!$A$140,$CQ$205^A90,IF(A90='Données projet'!$A$140,'Données projet'!$B$140,CT89+CS90-DB89)))</f>
        <v>149.39999999999998</v>
      </c>
      <c r="CU90" s="18">
        <f>CT90*VLOOKUP('Données projet'!$B$13,Paramètres!$A$1:$I$89,3,0)*VLOOKUP('Données projet'!$B$13,Paramètres!$A$1:$I$89,5,0)</f>
        <v>160.81415999999996</v>
      </c>
      <c r="CV90" s="14">
        <f t="shared" si="95"/>
        <v>41.026097186045085</v>
      </c>
      <c r="CW90" s="22">
        <f t="shared" si="67"/>
        <v>351.53844793236181</v>
      </c>
      <c r="CX90" s="60">
        <f t="shared" si="68"/>
        <v>644.87178126569506</v>
      </c>
      <c r="CY90" s="60">
        <f ca="1">AVERAGE(OFFSET($CX$3,0,0,'Données projet'!$E$13+1,1))-AVERAGE(OFFSET($H$3,0,0,'Données projet'!$E$13+1,1))</f>
        <v>280.20599015000306</v>
      </c>
      <c r="CZ90" s="60">
        <f t="shared" si="96"/>
        <v>166.97658184507787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3.5897435897435912</v>
      </c>
      <c r="DO90" s="13">
        <f>IF('Données projet'!$A$166&gt;35,DO89+DN90-DW89,IF(A90&lt;'Données projet'!$A$166,$DL$205^A90,IF(A90='Données projet'!$A$166,'Données projet'!$B$166,DO89+DN90-DW89)))</f>
        <v>252.69230769230757</v>
      </c>
      <c r="DP90" s="18">
        <f>DO90*VLOOKUP('Données projet'!$B$14,Paramètres!$A$1:$I$89,3,0)*VLOOKUP('Données projet'!$B$14,Paramètres!$A$1:$I$89,5,0)</f>
        <v>169.50599999999991</v>
      </c>
      <c r="DQ90" s="14">
        <f t="shared" si="97"/>
        <v>42.979365286652502</v>
      </c>
      <c r="DR90" s="22">
        <f t="shared" si="70"/>
        <v>370.07867787425289</v>
      </c>
      <c r="DS90" s="60">
        <f t="shared" si="71"/>
        <v>663.41201120758615</v>
      </c>
      <c r="DT90" s="60">
        <f ca="1">AVERAGE(OFFSET($DS$3,0,0,'Données projet'!$E$14+1,1))-AVERAGE(OFFSET($H$3,0,0,'Données projet'!$E$14+1,1))</f>
        <v>291.18686311753402</v>
      </c>
      <c r="DU90" s="60">
        <f t="shared" si="98"/>
        <v>215.44422413249839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3</v>
      </c>
      <c r="EJ90" s="13">
        <f>IF('Données projet'!$A$192&gt;35,EJ89+EI90-ER89,IF(A90&lt;'Données projet'!$A$192,$EG$205^A90,IF(A90='Données projet'!$A$192,'Données projet'!$B$192,EJ89+EI90-ER89)))</f>
        <v>192.9999999999998</v>
      </c>
      <c r="EK90" s="18">
        <f>EJ90*VLOOKUP('Données projet'!$B$15,Paramètres!$A$1:$I$89,3,0)*VLOOKUP('Données projet'!$B$15,Paramètres!$A$1:$I$89,5,0)</f>
        <v>156.56159999999986</v>
      </c>
      <c r="EL90" s="14">
        <f t="shared" si="99"/>
        <v>40.065996859746441</v>
      </c>
      <c r="EM90" s="22">
        <f t="shared" si="73"/>
        <v>342.45973119739142</v>
      </c>
      <c r="EN90" s="60">
        <f t="shared" si="74"/>
        <v>635.79306453072468</v>
      </c>
      <c r="EO90" s="60">
        <f ca="1">AVERAGE(OFFSET($EN$3,0,0,'Données projet'!$E$15+1,1))-AVERAGE(OFFSET($H$3,0,0,'Données projet'!$E$15+1,1))</f>
        <v>236.22643401787644</v>
      </c>
      <c r="EP90" s="60">
        <f t="shared" si="100"/>
        <v>188.80444043778022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8">
        <f t="shared" si="56"/>
        <v>256.66666666666669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0" t="e">
        <f t="shared" si="55"/>
        <v>#NUM!</v>
      </c>
      <c r="S91" s="60">
        <f ca="1">AVERAGE(OFFSET($R$3,0,0,'Données projet'!$E$9+1,1))-AVERAGE(OFFSET($H$3,0,0,'Données projet'!$E$9+1,1))</f>
        <v>144.55635559713392</v>
      </c>
      <c r="T91" s="60">
        <f t="shared" si="88"/>
        <v>349.14692715126904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19.322700841477733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4.1024122739303439E-10</v>
      </c>
      <c r="AC91" s="24">
        <f t="shared" si="57"/>
        <v>19.322700841887976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</v>
      </c>
      <c r="AJ91" s="14">
        <f>AI91*VLOOKUP('Données projet'!$B$10,Paramètres!$A$1:$I$89,3,0)*VLOOKUP('Données projet'!$B$10,Paramètres!$A$1:$I$89,5,0)</f>
        <v>257.68704000000002</v>
      </c>
      <c r="AK91" s="14">
        <f t="shared" si="89"/>
        <v>62.229092239243343</v>
      </c>
      <c r="AL91" s="22">
        <f t="shared" si="58"/>
        <v>557.18726365001555</v>
      </c>
      <c r="AM91" s="60">
        <f t="shared" si="59"/>
        <v>850.52059698334892</v>
      </c>
      <c r="AN91" s="60">
        <f ca="1">AVERAGE(OFFSET($AM$3,0,0,'Données projet'!$E$10+1,1))-AVERAGE(OFFSET($H$3,0,0,'Données projet'!$E$10+1,1))</f>
        <v>428.8489304403459</v>
      </c>
      <c r="AO91" s="60">
        <f t="shared" si="90"/>
        <v>247.01165577562966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5.6</v>
      </c>
      <c r="BD91" s="13">
        <f>IF('Données projet'!$A$88&gt;35,BD90+BC91-BL90,IF(A91&lt;'Données projet'!$A$88,$BA$205^A91,IF(A91='Données projet'!$A$88,'Données projet'!$B$88,BD90+BC91-BL90)))</f>
        <v>284.8</v>
      </c>
      <c r="BE91" s="14">
        <f>BD91*VLOOKUP('Données projet'!$B$11,Paramètres!$A$1:$I$89,3,0)*VLOOKUP('Données projet'!$B$11,Paramètres!$A$1:$I$89,5,0)</f>
        <v>288.78720000000004</v>
      </c>
      <c r="BF91" s="14">
        <f t="shared" si="91"/>
        <v>68.820644053442436</v>
      </c>
      <c r="BG91" s="22">
        <f t="shared" si="61"/>
        <v>622.83366172641229</v>
      </c>
      <c r="BH91" s="60">
        <f t="shared" si="62"/>
        <v>916.16699505974566</v>
      </c>
      <c r="BI91" s="60">
        <f ca="1">AVERAGE(OFFSET($BH$3,0,0,'Données projet'!$E$11+1,1))-AVERAGE(OFFSET($H$3,0,0,'Données projet'!$E$11+1,1))</f>
        <v>475.47920969424894</v>
      </c>
      <c r="BJ91" s="60">
        <f t="shared" si="92"/>
        <v>271.73544012419364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3.2</v>
      </c>
      <c r="BY91" s="13">
        <f>IF('Données projet'!$A$114&gt;35,BY90+BX91-CG90,IF(A91&lt;'Données projet'!$A$114,$BV$205^A91,IF(A91='Données projet'!$A$114,'Données projet'!$B$114,BY90+BX91-CG90)))</f>
        <v>152.59999999999997</v>
      </c>
      <c r="BZ91" s="14">
        <f>BY91*VLOOKUP('Données projet'!$B$12,Paramètres!$A$1:$I$89,3,0)*VLOOKUP('Données projet'!$B$12,Paramètres!$A$1:$I$89,5,0)</f>
        <v>147.59471999999997</v>
      </c>
      <c r="CA91" s="14">
        <f t="shared" si="93"/>
        <v>38.031463918082679</v>
      </c>
      <c r="CB91" s="22">
        <f t="shared" si="64"/>
        <v>323.29893699066059</v>
      </c>
      <c r="CC91" s="60">
        <f t="shared" si="65"/>
        <v>616.63227032399391</v>
      </c>
      <c r="CD91" s="60">
        <f ca="1">AVERAGE(OFFSET($CC$3,0,0,'Données projet'!$E$12+1,1))-AVERAGE(OFFSET($H$3,0,0,'Données projet'!$E$12+1,1))</f>
        <v>255.59755832175625</v>
      </c>
      <c r="CE91" s="60">
        <f t="shared" si="94"/>
        <v>154.0840647586964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3.2</v>
      </c>
      <c r="CT91" s="13">
        <f>IF('Données projet'!$A$140&gt;35,CT90+CS91-DB90,IF(A91&lt;'Données projet'!$A$140,$CQ$205^A91,IF(A91='Données projet'!$A$140,'Données projet'!$B$140,CT90+CS91-DB90)))</f>
        <v>152.59999999999997</v>
      </c>
      <c r="CU91" s="18">
        <f>CT91*VLOOKUP('Données projet'!$B$13,Paramètres!$A$1:$I$89,3,0)*VLOOKUP('Données projet'!$B$13,Paramètres!$A$1:$I$89,5,0)</f>
        <v>164.25863999999996</v>
      </c>
      <c r="CV91" s="14">
        <f t="shared" si="95"/>
        <v>41.80159011374478</v>
      </c>
      <c r="CW91" s="22">
        <f t="shared" si="67"/>
        <v>358.8882341147721</v>
      </c>
      <c r="CX91" s="60">
        <f t="shared" si="68"/>
        <v>652.22156744810536</v>
      </c>
      <c r="CY91" s="60">
        <f ca="1">AVERAGE(OFFSET($CX$3,0,0,'Données projet'!$E$13+1,1))-AVERAGE(OFFSET($H$3,0,0,'Données projet'!$E$13+1,1))</f>
        <v>280.20599015000306</v>
      </c>
      <c r="CZ91" s="60">
        <f t="shared" si="96"/>
        <v>166.97658184507787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3.5897435897435912</v>
      </c>
      <c r="DO91" s="13">
        <f>IF('Données projet'!$A$166&gt;35,DO90+DN91-DW90,IF(A91&lt;'Données projet'!$A$166,$DL$205^A91,IF(A91='Données projet'!$A$166,'Données projet'!$B$166,DO90+DN91-DW90)))</f>
        <v>256.28205128205116</v>
      </c>
      <c r="DP91" s="18">
        <f>DO91*VLOOKUP('Données projet'!$B$14,Paramètres!$A$1:$I$89,3,0)*VLOOKUP('Données projet'!$B$14,Paramètres!$A$1:$I$89,5,0)</f>
        <v>171.9139999999999</v>
      </c>
      <c r="DQ91" s="14">
        <f t="shared" si="97"/>
        <v>43.518416191440188</v>
      </c>
      <c r="DR91" s="22">
        <f t="shared" si="70"/>
        <v>375.2114582000915</v>
      </c>
      <c r="DS91" s="60">
        <f t="shared" si="71"/>
        <v>668.54479153342481</v>
      </c>
      <c r="DT91" s="60">
        <f ca="1">AVERAGE(OFFSET($DS$3,0,0,'Données projet'!$E$14+1,1))-AVERAGE(OFFSET($H$3,0,0,'Données projet'!$E$14+1,1))</f>
        <v>291.18686311753402</v>
      </c>
      <c r="DU91" s="60">
        <f t="shared" si="98"/>
        <v>215.44422413249839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3</v>
      </c>
      <c r="EJ91" s="13">
        <f>IF('Données projet'!$A$192&gt;35,EJ90+EI91-ER90,IF(A91&lt;'Données projet'!$A$192,$EG$205^A91,IF(A91='Données projet'!$A$192,'Données projet'!$B$192,EJ90+EI91-ER90)))</f>
        <v>195.9999999999998</v>
      </c>
      <c r="EK91" s="18">
        <f>EJ91*VLOOKUP('Données projet'!$B$15,Paramètres!$A$1:$I$89,3,0)*VLOOKUP('Données projet'!$B$15,Paramètres!$A$1:$I$89,5,0)</f>
        <v>158.99519999999984</v>
      </c>
      <c r="EL91" s="14">
        <f t="shared" si="99"/>
        <v>40.615796933386008</v>
      </c>
      <c r="EM91" s="22">
        <f t="shared" si="73"/>
        <v>347.65581965898036</v>
      </c>
      <c r="EN91" s="60">
        <f t="shared" si="74"/>
        <v>640.98915299231362</v>
      </c>
      <c r="EO91" s="60">
        <f ca="1">AVERAGE(OFFSET($EN$3,0,0,'Données projet'!$E$15+1,1))-AVERAGE(OFFSET($H$3,0,0,'Données projet'!$E$15+1,1))</f>
        <v>236.22643401787644</v>
      </c>
      <c r="EP91" s="60">
        <f t="shared" si="100"/>
        <v>188.80444043778022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8">
        <f t="shared" si="56"/>
        <v>256.66666666666669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0" t="e">
        <f t="shared" si="55"/>
        <v>#NUM!</v>
      </c>
      <c r="S92" s="60">
        <f ca="1">AVERAGE(OFFSET($R$3,0,0,'Données projet'!$E$9+1,1))-AVERAGE(OFFSET($H$3,0,0,'Données projet'!$E$9+1,1))</f>
        <v>144.55635559713392</v>
      </c>
      <c r="T92" s="60">
        <f t="shared" si="88"/>
        <v>349.14692715126904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18.943794463660129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2.9008435381190705E-10</v>
      </c>
      <c r="AC92" s="24">
        <f t="shared" si="57"/>
        <v>18.943794463950212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290.40000000000003</v>
      </c>
      <c r="AJ92" s="14">
        <f>AI92*VLOOKUP('Données projet'!$B$10,Paramètres!$A$1:$I$89,3,0)*VLOOKUP('Données projet'!$B$10,Paramètres!$A$1:$I$89,5,0)</f>
        <v>262.75392000000005</v>
      </c>
      <c r="AK92" s="14">
        <f t="shared" si="89"/>
        <v>63.309041956360382</v>
      </c>
      <c r="AL92" s="22">
        <f t="shared" si="58"/>
        <v>567.89299207399438</v>
      </c>
      <c r="AM92" s="60">
        <f t="shared" si="59"/>
        <v>861.22632540732775</v>
      </c>
      <c r="AN92" s="60">
        <f ca="1">AVERAGE(OFFSET($AM$3,0,0,'Données projet'!$E$10+1,1))-AVERAGE(OFFSET($H$3,0,0,'Données projet'!$E$10+1,1))</f>
        <v>428.8489304403459</v>
      </c>
      <c r="AO92" s="60">
        <f t="shared" si="90"/>
        <v>247.01165577562966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5.6</v>
      </c>
      <c r="BD92" s="13">
        <f>IF('Données projet'!$A$88&gt;35,BD91+BC92-BL91,IF(A92&lt;'Données projet'!$A$88,$BA$205^A92,IF(A92='Données projet'!$A$88,'Données projet'!$B$88,BD91+BC92-BL91)))</f>
        <v>290.40000000000003</v>
      </c>
      <c r="BE92" s="14">
        <f>BD92*VLOOKUP('Données projet'!$B$11,Paramètres!$A$1:$I$89,3,0)*VLOOKUP('Données projet'!$B$11,Paramètres!$A$1:$I$89,5,0)</f>
        <v>294.46560000000005</v>
      </c>
      <c r="BF92" s="14">
        <f t="shared" si="91"/>
        <v>70.014986320104285</v>
      </c>
      <c r="BG92" s="22">
        <f t="shared" si="61"/>
        <v>634.8036878408484</v>
      </c>
      <c r="BH92" s="60">
        <f t="shared" si="62"/>
        <v>928.13702117418165</v>
      </c>
      <c r="BI92" s="60">
        <f ca="1">AVERAGE(OFFSET($BH$3,0,0,'Données projet'!$E$11+1,1))-AVERAGE(OFFSET($H$3,0,0,'Données projet'!$E$11+1,1))</f>
        <v>475.47920969424894</v>
      </c>
      <c r="BJ92" s="60">
        <f t="shared" si="92"/>
        <v>271.73544012419364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3.2</v>
      </c>
      <c r="BY92" s="13">
        <f>IF('Données projet'!$A$114&gt;35,BY91+BX92-CG91,IF(A92&lt;'Données projet'!$A$114,$BV$205^A92,IF(A92='Données projet'!$A$114,'Données projet'!$B$114,BY91+BX92-CG91)))</f>
        <v>155.79999999999995</v>
      </c>
      <c r="BZ92" s="14">
        <f>BY92*VLOOKUP('Données projet'!$B$12,Paramètres!$A$1:$I$89,3,0)*VLOOKUP('Données projet'!$B$12,Paramètres!$A$1:$I$89,5,0)</f>
        <v>150.68975999999998</v>
      </c>
      <c r="CA92" s="14">
        <f t="shared" si="93"/>
        <v>38.735294176946205</v>
      </c>
      <c r="CB92" s="22">
        <f t="shared" si="64"/>
        <v>329.91530269151457</v>
      </c>
      <c r="CC92" s="60">
        <f t="shared" si="65"/>
        <v>623.24863602484788</v>
      </c>
      <c r="CD92" s="60">
        <f ca="1">AVERAGE(OFFSET($CC$3,0,0,'Données projet'!$E$12+1,1))-AVERAGE(OFFSET($H$3,0,0,'Données projet'!$E$12+1,1))</f>
        <v>255.59755832175625</v>
      </c>
      <c r="CE92" s="60">
        <f t="shared" si="94"/>
        <v>154.0840647586964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3.2</v>
      </c>
      <c r="CT92" s="13">
        <f>IF('Données projet'!$A$140&gt;35,CT91+CS92-DB91,IF(A92&lt;'Données projet'!$A$140,$CQ$205^A92,IF(A92='Données projet'!$A$140,'Données projet'!$B$140,CT91+CS92-DB91)))</f>
        <v>155.79999999999995</v>
      </c>
      <c r="CU92" s="18">
        <f>CT92*VLOOKUP('Données projet'!$B$13,Paramètres!$A$1:$I$89,3,0)*VLOOKUP('Données projet'!$B$13,Paramètres!$A$1:$I$89,5,0)</f>
        <v>167.70311999999996</v>
      </c>
      <c r="CV92" s="14">
        <f t="shared" si="95"/>
        <v>42.575192309390843</v>
      </c>
      <c r="CW92" s="22">
        <f t="shared" si="67"/>
        <v>366.23472727218899</v>
      </c>
      <c r="CX92" s="60">
        <f t="shared" si="68"/>
        <v>659.56806060552231</v>
      </c>
      <c r="CY92" s="60">
        <f ca="1">AVERAGE(OFFSET($CX$3,0,0,'Données projet'!$E$13+1,1))-AVERAGE(OFFSET($H$3,0,0,'Données projet'!$E$13+1,1))</f>
        <v>280.20599015000306</v>
      </c>
      <c r="CZ92" s="60">
        <f t="shared" si="96"/>
        <v>166.97658184507787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3.5897435897435912</v>
      </c>
      <c r="DO92" s="13">
        <f>IF('Données projet'!$A$166&gt;35,DO91+DN92-DW91,IF(A92&lt;'Données projet'!$A$166,$DL$205^A92,IF(A92='Données projet'!$A$166,'Données projet'!$B$166,DO91+DN92-DW91)))</f>
        <v>259.87179487179475</v>
      </c>
      <c r="DP92" s="18">
        <f>DO92*VLOOKUP('Données projet'!$B$14,Paramètres!$A$1:$I$89,3,0)*VLOOKUP('Données projet'!$B$14,Paramètres!$A$1:$I$89,5,0)</f>
        <v>174.32199999999992</v>
      </c>
      <c r="DQ92" s="14">
        <f t="shared" si="97"/>
        <v>44.056588905148629</v>
      </c>
      <c r="DR92" s="22">
        <f t="shared" si="70"/>
        <v>380.34270900980033</v>
      </c>
      <c r="DS92" s="60">
        <f t="shared" si="71"/>
        <v>673.67604234313364</v>
      </c>
      <c r="DT92" s="60">
        <f ca="1">AVERAGE(OFFSET($DS$3,0,0,'Données projet'!$E$14+1,1))-AVERAGE(OFFSET($H$3,0,0,'Données projet'!$E$14+1,1))</f>
        <v>291.18686311753402</v>
      </c>
      <c r="DU92" s="60">
        <f t="shared" si="98"/>
        <v>215.44422413249839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3</v>
      </c>
      <c r="EJ92" s="13">
        <f>IF('Données projet'!$A$192&gt;35,EJ91+EI92-ER91,IF(A92&lt;'Données projet'!$A$192,$EG$205^A92,IF(A92='Données projet'!$A$192,'Données projet'!$B$192,EJ91+EI92-ER91)))</f>
        <v>198.9999999999998</v>
      </c>
      <c r="EK92" s="18">
        <f>EJ92*VLOOKUP('Données projet'!$B$15,Paramètres!$A$1:$I$89,3,0)*VLOOKUP('Données projet'!$B$15,Paramètres!$A$1:$I$89,5,0)</f>
        <v>161.42879999999985</v>
      </c>
      <c r="EL92" s="14">
        <f t="shared" si="99"/>
        <v>41.164618296930165</v>
      </c>
      <c r="EM92" s="22">
        <f t="shared" si="73"/>
        <v>352.85020353381975</v>
      </c>
      <c r="EN92" s="60">
        <f t="shared" si="74"/>
        <v>646.18353686715307</v>
      </c>
      <c r="EO92" s="60">
        <f ca="1">AVERAGE(OFFSET($EN$3,0,0,'Données projet'!$E$15+1,1))-AVERAGE(OFFSET($H$3,0,0,'Données projet'!$E$15+1,1))</f>
        <v>236.22643401787644</v>
      </c>
      <c r="EP92" s="60">
        <f t="shared" si="100"/>
        <v>188.80444043778022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8">
        <f t="shared" si="56"/>
        <v>256.66666666666669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0" t="e">
        <f t="shared" si="55"/>
        <v>#NUM!</v>
      </c>
      <c r="S93" s="60">
        <f ca="1">AVERAGE(OFFSET($R$3,0,0,'Données projet'!$E$9+1,1))-AVERAGE(OFFSET($H$3,0,0,'Données projet'!$E$9+1,1))</f>
        <v>144.55635559713392</v>
      </c>
      <c r="T93" s="60">
        <f t="shared" si="88"/>
        <v>349.14692715126904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18.572318208801459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2.051206136965172E-10</v>
      </c>
      <c r="AC93" s="24">
        <f t="shared" si="57"/>
        <v>18.572318209006578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267.82080000000008</v>
      </c>
      <c r="AK93" s="14">
        <f t="shared" si="89"/>
        <v>64.386570147897373</v>
      </c>
      <c r="AL93" s="22">
        <f t="shared" si="58"/>
        <v>578.59450300758806</v>
      </c>
      <c r="AM93" s="60">
        <f t="shared" si="59"/>
        <v>871.92783634092143</v>
      </c>
      <c r="AN93" s="60">
        <f ca="1">AVERAGE(OFFSET($AM$3,0,0,'Données projet'!$E$10+1,1))-AVERAGE(OFFSET($H$3,0,0,'Données projet'!$E$10+1,1))</f>
        <v>428.8489304403459</v>
      </c>
      <c r="AO93" s="60">
        <f t="shared" si="90"/>
        <v>247.01165577562966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296</v>
      </c>
      <c r="BB93" s="13">
        <f>VLOOKUP(A93,'Données projet'!$A$87:$I$107,9,0)</f>
        <v>5.6</v>
      </c>
      <c r="BC93" s="13">
        <f t="array" ref="BC93">INDEX(BB:BB,MIN(IF(ISNUMBER(BB93:BB289),ROW(BB93:BB289),"")))</f>
        <v>5.6</v>
      </c>
      <c r="BD93" s="13">
        <f>IF('Données projet'!$A$88&gt;35,BD92+BC93-BL92,IF(A93&lt;'Données projet'!$A$88,$BA$205^A93,IF(A93='Données projet'!$A$88,'Données projet'!$B$88,BD92+BC93-BL92)))</f>
        <v>296.00000000000006</v>
      </c>
      <c r="BE93" s="14">
        <f>BD93*VLOOKUP('Données projet'!$B$11,Paramètres!$A$1:$I$89,3,0)*VLOOKUP('Données projet'!$B$11,Paramètres!$A$1:$I$89,5,0)</f>
        <v>300.14400000000006</v>
      </c>
      <c r="BF93" s="14">
        <f t="shared" si="91"/>
        <v>71.206650563609855</v>
      </c>
      <c r="BG93" s="22">
        <f t="shared" si="61"/>
        <v>646.76904973162061</v>
      </c>
      <c r="BH93" s="60">
        <f t="shared" si="62"/>
        <v>940.10238306495398</v>
      </c>
      <c r="BI93" s="60">
        <f ca="1">AVERAGE(OFFSET($BH$3,0,0,'Données projet'!$E$11+1,1))-AVERAGE(OFFSET($H$3,0,0,'Données projet'!$E$11+1,1))</f>
        <v>475.47920969424894</v>
      </c>
      <c r="BJ93" s="60">
        <f t="shared" si="92"/>
        <v>271.73544012419364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42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159</v>
      </c>
      <c r="BW93" s="13">
        <f>VLOOKUP(A93,'Données projet'!$A$113:$I$133,9,0)</f>
        <v>3.2</v>
      </c>
      <c r="BX93" s="13">
        <f t="array" ref="BX93">INDEX(BW:BW,MIN(IF(ISNUMBER(BW93:BW289),ROW(BW93:BW289),"")))</f>
        <v>3.2</v>
      </c>
      <c r="BY93" s="13">
        <f>IF('Données projet'!$A$114&gt;35,BY92+BX93-CG92,IF(A93&lt;'Données projet'!$A$114,$BV$205^A93,IF(A93='Données projet'!$A$114,'Données projet'!$B$114,BY92+BX93-CG92)))</f>
        <v>158.99999999999994</v>
      </c>
      <c r="BZ93" s="14">
        <f>BY93*VLOOKUP('Données projet'!$B$12,Paramètres!$A$1:$I$89,3,0)*VLOOKUP('Données projet'!$B$12,Paramètres!$A$1:$I$89,5,0)</f>
        <v>153.78479999999996</v>
      </c>
      <c r="CA93" s="14">
        <f t="shared" si="93"/>
        <v>39.437443633352295</v>
      </c>
      <c r="CB93" s="22">
        <f t="shared" si="64"/>
        <v>336.5287409947552</v>
      </c>
      <c r="CC93" s="60">
        <f t="shared" si="65"/>
        <v>629.86207432808851</v>
      </c>
      <c r="CD93" s="60">
        <f ca="1">AVERAGE(OFFSET($CC$3,0,0,'Données projet'!$E$12+1,1))-AVERAGE(OFFSET($H$3,0,0,'Données projet'!$E$12+1,1))</f>
        <v>255.59755832175625</v>
      </c>
      <c r="CE93" s="60">
        <f t="shared" si="94"/>
        <v>154.0840647586964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159</v>
      </c>
      <c r="CR93" s="13">
        <f>VLOOKUP(A93,'Données projet'!$A$139:$I$159,9,0)</f>
        <v>3.2</v>
      </c>
      <c r="CS93" s="13">
        <f t="array" ref="CS93">INDEX(CR:CR,MIN(IF(ISNUMBER(CR93:CR289),ROW(CR93:CR289),"")))</f>
        <v>3.2</v>
      </c>
      <c r="CT93" s="13">
        <f>IF('Données projet'!$A$140&gt;35,CT92+CS93-DB92,IF(A93&lt;'Données projet'!$A$140,$CQ$205^A93,IF(A93='Données projet'!$A$140,'Données projet'!$B$140,CT92+CS93-DB92)))</f>
        <v>158.99999999999994</v>
      </c>
      <c r="CU93" s="18">
        <f>CT93*VLOOKUP('Données projet'!$B$13,Paramètres!$A$1:$I$89,3,0)*VLOOKUP('Données projet'!$B$13,Paramètres!$A$1:$I$89,5,0)</f>
        <v>171.14759999999993</v>
      </c>
      <c r="CV93" s="14">
        <f t="shared" si="95"/>
        <v>43.346947081663025</v>
      </c>
      <c r="CW93" s="22">
        <f t="shared" si="67"/>
        <v>373.57800283389633</v>
      </c>
      <c r="CX93" s="60">
        <f t="shared" si="68"/>
        <v>666.91133616722959</v>
      </c>
      <c r="CY93" s="60">
        <f ca="1">AVERAGE(OFFSET($CX$3,0,0,'Données projet'!$E$13+1,1))-AVERAGE(OFFSET($H$3,0,0,'Données projet'!$E$13+1,1))</f>
        <v>280.20599015000306</v>
      </c>
      <c r="CZ93" s="60">
        <f t="shared" si="96"/>
        <v>166.97658184507787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263.46153846153845</v>
      </c>
      <c r="DM93" s="13">
        <f>VLOOKUP(A93,'Données projet'!$A$165:$I$185,9,0)</f>
        <v>3.5897435897435912</v>
      </c>
      <c r="DN93" s="13">
        <f t="array" ref="DN93">INDEX(DM:DM,MIN(IF(ISNUMBER(DM93:DM289),ROW(DM93:DM289),"")))</f>
        <v>3.5897435897435912</v>
      </c>
      <c r="DO93" s="13">
        <f>IF('Données projet'!$A$166&gt;35,DO92+DN93-DW92,IF(A93&lt;'Données projet'!$A$166,$DL$205^A93,IF(A93='Données projet'!$A$166,'Données projet'!$B$166,DO92+DN93-DW92)))</f>
        <v>263.46153846153834</v>
      </c>
      <c r="DP93" s="18">
        <f>DO93*VLOOKUP('Données projet'!$B$14,Paramètres!$A$1:$I$89,3,0)*VLOOKUP('Données projet'!$B$14,Paramètres!$A$1:$I$89,5,0)</f>
        <v>176.72999999999993</v>
      </c>
      <c r="DQ93" s="14">
        <f t="shared" si="97"/>
        <v>44.593896960707511</v>
      </c>
      <c r="DR93" s="22">
        <f t="shared" si="70"/>
        <v>385.4724538732321</v>
      </c>
      <c r="DS93" s="60">
        <f t="shared" si="71"/>
        <v>678.80578720656536</v>
      </c>
      <c r="DT93" s="60">
        <f ca="1">AVERAGE(OFFSET($DS$3,0,0,'Données projet'!$E$14+1,1))-AVERAGE(OFFSET($H$3,0,0,'Données projet'!$E$14+1,1))</f>
        <v>291.18686311753402</v>
      </c>
      <c r="DU93" s="60">
        <f t="shared" si="98"/>
        <v>215.44422413249839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202</v>
      </c>
      <c r="EH93" s="13">
        <f>VLOOKUP(A93,'Données projet'!$A$191:$I$211,9,0)</f>
        <v>3</v>
      </c>
      <c r="EI93" s="13">
        <f t="array" ref="EI93">INDEX(EH:EH,MIN(IF(ISNUMBER(EH93:EH289),ROW(EH93:EH289),"")))</f>
        <v>3</v>
      </c>
      <c r="EJ93" s="13">
        <f>IF('Données projet'!$A$192&gt;35,EJ92+EI93-ER92,IF(A93&lt;'Données projet'!$A$192,$EG$205^A93,IF(A93='Données projet'!$A$192,'Données projet'!$B$192,EJ92+EI93-ER92)))</f>
        <v>201.9999999999998</v>
      </c>
      <c r="EK93" s="18">
        <f>EJ93*VLOOKUP('Données projet'!$B$15,Paramètres!$A$1:$I$89,3,0)*VLOOKUP('Données projet'!$B$15,Paramètres!$A$1:$I$89,5,0)</f>
        <v>163.86239999999987</v>
      </c>
      <c r="EL93" s="14">
        <f t="shared" si="99"/>
        <v>41.712477409029042</v>
      </c>
      <c r="EM93" s="22">
        <f t="shared" si="73"/>
        <v>358.04291148739202</v>
      </c>
      <c r="EN93" s="60">
        <f t="shared" si="74"/>
        <v>651.37624482072533</v>
      </c>
      <c r="EO93" s="60">
        <f ca="1">AVERAGE(OFFSET($EN$3,0,0,'Données projet'!$E$15+1,1))-AVERAGE(OFFSET($H$3,0,0,'Données projet'!$E$15+1,1))</f>
        <v>236.22643401787644</v>
      </c>
      <c r="EP93" s="60">
        <f t="shared" si="100"/>
        <v>188.80444043778022</v>
      </c>
      <c r="EQ93" s="16">
        <f>IF(ISNA(VLOOKUP(A93,'Données projet'!$A$191:$I$211,3,0)),0,VLOOKUP(A93,'Données projet'!$A$191:$I$211,3,0))</f>
        <v>8</v>
      </c>
      <c r="ER93" s="16">
        <f>IF(ISNA(VLOOKUP(A93,'Données projet'!$A$191:$I$211,4,0)),0,VLOOKUP(A93,'Données projet'!$A$191:$I$211,4,0))</f>
        <v>202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8">
        <f t="shared" si="56"/>
        <v>256.66666666666669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0" t="e">
        <f t="shared" si="55"/>
        <v>#NUM!</v>
      </c>
      <c r="S94" s="60">
        <f ca="1">AVERAGE(OFFSET($R$3,0,0,'Données projet'!$E$9+1,1))-AVERAGE(OFFSET($H$3,0,0,'Données projet'!$E$9+1,1))</f>
        <v>144.55635559713392</v>
      </c>
      <c r="T94" s="60">
        <f t="shared" si="88"/>
        <v>349.14692715126904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18.208126376722422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1.4504217690595353E-10</v>
      </c>
      <c r="AC94" s="24">
        <f t="shared" si="57"/>
        <v>18.208126376867465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258.90000000000003</v>
      </c>
      <c r="AJ94" s="14">
        <f>AI94*VLOOKUP('Données projet'!$B$10,Paramètres!$A$1:$I$89,3,0)*VLOOKUP('Données projet'!$B$10,Paramètres!$A$1:$I$89,5,0)</f>
        <v>234.25272000000001</v>
      </c>
      <c r="AK94" s="14">
        <f t="shared" si="89"/>
        <v>57.201236231171301</v>
      </c>
      <c r="AL94" s="22">
        <f t="shared" si="58"/>
        <v>507.61564043595672</v>
      </c>
      <c r="AM94" s="60">
        <f t="shared" si="59"/>
        <v>800.94897376928998</v>
      </c>
      <c r="AN94" s="60">
        <f ca="1">AVERAGE(OFFSET($AM$3,0,0,'Données projet'!$E$10+1,1))-AVERAGE(OFFSET($H$3,0,0,'Données projet'!$E$10+1,1))</f>
        <v>428.8489304403459</v>
      </c>
      <c r="AO94" s="60">
        <f t="shared" si="90"/>
        <v>247.01165577562966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4.9000000000000004</v>
      </c>
      <c r="BD94" s="13">
        <f>IF('Données projet'!$A$88&gt;35,BD93+BC94-BL93,IF(A94&lt;'Données projet'!$A$88,$BA$205^A94,IF(A94='Données projet'!$A$88,'Données projet'!$B$88,BD93+BC94-BL93)))</f>
        <v>258.90000000000003</v>
      </c>
      <c r="BE94" s="14">
        <f>BD94*VLOOKUP('Données projet'!$B$11,Paramètres!$A$1:$I$89,3,0)*VLOOKUP('Données projet'!$B$11,Paramètres!$A$1:$I$89,5,0)</f>
        <v>262.52460000000002</v>
      </c>
      <c r="BF94" s="14">
        <f t="shared" si="91"/>
        <v>63.260217631774687</v>
      </c>
      <c r="BG94" s="22">
        <f t="shared" si="61"/>
        <v>567.40855737534105</v>
      </c>
      <c r="BH94" s="60">
        <f t="shared" si="62"/>
        <v>860.74189070867442</v>
      </c>
      <c r="BI94" s="60">
        <f ca="1">AVERAGE(OFFSET($BH$3,0,0,'Données projet'!$E$11+1,1))-AVERAGE(OFFSET($H$3,0,0,'Données projet'!$E$11+1,1))</f>
        <v>475.47920969424894</v>
      </c>
      <c r="BJ94" s="60">
        <f t="shared" si="92"/>
        <v>271.73544012419364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2.8</v>
      </c>
      <c r="BY94" s="13">
        <f>IF('Données projet'!$A$114&gt;35,BY93+BX94-CG93,IF(A94&lt;'Données projet'!$A$114,$BV$205^A94,IF(A94='Données projet'!$A$114,'Données projet'!$B$114,BY93+BX94-CG93)))</f>
        <v>161.79999999999995</v>
      </c>
      <c r="BZ94" s="14">
        <f>BY94*VLOOKUP('Données projet'!$B$12,Paramètres!$A$1:$I$89,3,0)*VLOOKUP('Données projet'!$B$12,Paramètres!$A$1:$I$89,5,0)</f>
        <v>156.49295999999995</v>
      </c>
      <c r="CA94" s="14">
        <f t="shared" si="93"/>
        <v>40.050475321231751</v>
      </c>
      <c r="CB94" s="22">
        <f t="shared" si="64"/>
        <v>342.31314985114523</v>
      </c>
      <c r="CC94" s="60">
        <f t="shared" si="65"/>
        <v>635.64648318447848</v>
      </c>
      <c r="CD94" s="60">
        <f ca="1">AVERAGE(OFFSET($CC$3,0,0,'Données projet'!$E$12+1,1))-AVERAGE(OFFSET($H$3,0,0,'Données projet'!$E$12+1,1))</f>
        <v>255.59755832175625</v>
      </c>
      <c r="CE94" s="60">
        <f t="shared" si="94"/>
        <v>154.0840647586964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2.8</v>
      </c>
      <c r="CT94" s="13">
        <f>IF('Données projet'!$A$140&gt;35,CT93+CS94-DB93,IF(A94&lt;'Données projet'!$A$140,$CQ$205^A94,IF(A94='Données projet'!$A$140,'Données projet'!$B$140,CT93+CS94-DB93)))</f>
        <v>161.79999999999995</v>
      </c>
      <c r="CU94" s="18">
        <f>CT94*VLOOKUP('Données projet'!$B$13,Paramètres!$A$1:$I$89,3,0)*VLOOKUP('Données projet'!$B$13,Paramètres!$A$1:$I$89,5,0)</f>
        <v>174.16151999999994</v>
      </c>
      <c r="CV94" s="14">
        <f t="shared" si="95"/>
        <v>44.020749683599938</v>
      </c>
      <c r="CW94" s="22">
        <f t="shared" si="67"/>
        <v>380.00078636560312</v>
      </c>
      <c r="CX94" s="60">
        <f t="shared" si="68"/>
        <v>673.33411969893643</v>
      </c>
      <c r="CY94" s="60">
        <f ca="1">AVERAGE(OFFSET($CX$3,0,0,'Données projet'!$E$13+1,1))-AVERAGE(OFFSET($H$3,0,0,'Données projet'!$E$13+1,1))</f>
        <v>280.20599015000306</v>
      </c>
      <c r="CZ94" s="60">
        <f t="shared" si="96"/>
        <v>166.97658184507787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3.5897435897435912</v>
      </c>
      <c r="DO94" s="13">
        <f>IF('Données projet'!$A$166&gt;35,DO93+DN94-DW93,IF(A94&lt;'Données projet'!$A$166,$DL$205^A94,IF(A94='Données projet'!$A$166,'Données projet'!$B$166,DO93+DN94-DW93)))</f>
        <v>267.05128205128193</v>
      </c>
      <c r="DP94" s="18">
        <f>DO94*VLOOKUP('Données projet'!$B$14,Paramètres!$A$1:$I$89,3,0)*VLOOKUP('Données projet'!$B$14,Paramètres!$A$1:$I$89,5,0)</f>
        <v>179.13799999999992</v>
      </c>
      <c r="DQ94" s="14">
        <f t="shared" si="97"/>
        <v>45.130353501076151</v>
      </c>
      <c r="DR94" s="22">
        <f t="shared" si="70"/>
        <v>390.60071568104081</v>
      </c>
      <c r="DS94" s="60">
        <f t="shared" si="71"/>
        <v>683.93404901437407</v>
      </c>
      <c r="DT94" s="60">
        <f ca="1">AVERAGE(OFFSET($DS$3,0,0,'Données projet'!$E$14+1,1))-AVERAGE(OFFSET($H$3,0,0,'Données projet'!$E$14+1,1))</f>
        <v>291.18686311753402</v>
      </c>
      <c r="DU94" s="60">
        <f t="shared" si="98"/>
        <v>215.44422413249839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-1.9895196601282805E-13</v>
      </c>
      <c r="EK94" s="18">
        <f>EJ94*VLOOKUP('Données projet'!$B$15,Paramètres!$A$1:$I$89,3,0)*VLOOKUP('Données projet'!$B$15,Paramètres!$A$1:$I$89,5,0)</f>
        <v>-1.6138983482960614E-13</v>
      </c>
      <c r="EL94" s="14" t="e">
        <f t="shared" si="99"/>
        <v>#NUM!</v>
      </c>
      <c r="EM94" s="22" t="e">
        <f t="shared" si="73"/>
        <v>#NUM!</v>
      </c>
      <c r="EN94" s="60" t="e">
        <f t="shared" si="74"/>
        <v>#NUM!</v>
      </c>
      <c r="EO94" s="60">
        <f ca="1">AVERAGE(OFFSET($EN$3,0,0,'Données projet'!$E$15+1,1))-AVERAGE(OFFSET($H$3,0,0,'Données projet'!$E$15+1,1))</f>
        <v>236.22643401787644</v>
      </c>
      <c r="EP94" s="60">
        <f t="shared" si="100"/>
        <v>188.80444043778022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8">
        <f t="shared" si="56"/>
        <v>256.66666666666669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0" t="e">
        <f t="shared" si="55"/>
        <v>#NUM!</v>
      </c>
      <c r="S95" s="60">
        <f ca="1">AVERAGE(OFFSET($R$3,0,0,'Données projet'!$E$9+1,1))-AVERAGE(OFFSET($H$3,0,0,'Données projet'!$E$9+1,1))</f>
        <v>144.55635559713392</v>
      </c>
      <c r="T95" s="60">
        <f t="shared" si="88"/>
        <v>349.14692715126904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17.851076124335371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1.025603068482586E-10</v>
      </c>
      <c r="AC95" s="24">
        <f t="shared" si="57"/>
        <v>17.851076124437931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</v>
      </c>
      <c r="AJ95" s="14">
        <f>AI95*VLOOKUP('Données projet'!$B$10,Paramètres!$A$1:$I$89,3,0)*VLOOKUP('Données projet'!$B$10,Paramètres!$A$1:$I$89,5,0)</f>
        <v>238.68624</v>
      </c>
      <c r="AK95" s="14">
        <f t="shared" si="89"/>
        <v>58.156778382060871</v>
      </c>
      <c r="AL95" s="22">
        <f t="shared" si="58"/>
        <v>517.00159034875594</v>
      </c>
      <c r="AM95" s="60">
        <f t="shared" si="59"/>
        <v>810.33492368208931</v>
      </c>
      <c r="AN95" s="60">
        <f ca="1">AVERAGE(OFFSET($AM$3,0,0,'Données projet'!$E$10+1,1))-AVERAGE(OFFSET($H$3,0,0,'Données projet'!$E$10+1,1))</f>
        <v>428.8489304403459</v>
      </c>
      <c r="AO95" s="60">
        <f t="shared" si="90"/>
        <v>247.01165577562966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4.9000000000000004</v>
      </c>
      <c r="BD95" s="13">
        <f>IF('Données projet'!$A$88&gt;35,BD94+BC95-BL94,IF(A95&lt;'Données projet'!$A$88,$BA$205^A95,IF(A95='Données projet'!$A$88,'Données projet'!$B$88,BD94+BC95-BL94)))</f>
        <v>263.8</v>
      </c>
      <c r="BE95" s="14">
        <f>BD95*VLOOKUP('Données projet'!$B$11,Paramètres!$A$1:$I$89,3,0)*VLOOKUP('Données projet'!$B$11,Paramètres!$A$1:$I$89,5,0)</f>
        <v>267.49320000000006</v>
      </c>
      <c r="BF95" s="14">
        <f t="shared" si="91"/>
        <v>64.316974590266341</v>
      </c>
      <c r="BG95" s="22">
        <f t="shared" si="61"/>
        <v>577.90272074471397</v>
      </c>
      <c r="BH95" s="60">
        <f t="shared" si="62"/>
        <v>871.23605407804735</v>
      </c>
      <c r="BI95" s="60">
        <f ca="1">AVERAGE(OFFSET($BH$3,0,0,'Données projet'!$E$11+1,1))-AVERAGE(OFFSET($H$3,0,0,'Données projet'!$E$11+1,1))</f>
        <v>475.47920969424894</v>
      </c>
      <c r="BJ95" s="60">
        <f t="shared" si="92"/>
        <v>271.73544012419364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2.8</v>
      </c>
      <c r="BY95" s="13">
        <f>IF('Données projet'!$A$114&gt;35,BY94+BX95-CG94,IF(A95&lt;'Données projet'!$A$114,$BV$205^A95,IF(A95='Données projet'!$A$114,'Données projet'!$B$114,BY94+BX95-CG94)))</f>
        <v>164.59999999999997</v>
      </c>
      <c r="BZ95" s="14">
        <f>BY95*VLOOKUP('Données projet'!$B$12,Paramètres!$A$1:$I$89,3,0)*VLOOKUP('Données projet'!$B$12,Paramètres!$A$1:$I$89,5,0)</f>
        <v>159.20111999999997</v>
      </c>
      <c r="CA95" s="14">
        <f t="shared" si="93"/>
        <v>40.662273333437703</v>
      </c>
      <c r="CB95" s="22">
        <f t="shared" si="64"/>
        <v>348.09541005573732</v>
      </c>
      <c r="CC95" s="60">
        <f t="shared" si="65"/>
        <v>641.42874338907063</v>
      </c>
      <c r="CD95" s="60">
        <f ca="1">AVERAGE(OFFSET($CC$3,0,0,'Données projet'!$E$12+1,1))-AVERAGE(OFFSET($H$3,0,0,'Données projet'!$E$12+1,1))</f>
        <v>255.59755832175625</v>
      </c>
      <c r="CE95" s="60">
        <f t="shared" si="94"/>
        <v>154.0840647586964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2.8</v>
      </c>
      <c r="CT95" s="13">
        <f>IF('Données projet'!$A$140&gt;35,CT94+CS95-DB94,IF(A95&lt;'Données projet'!$A$140,$CQ$205^A95,IF(A95='Données projet'!$A$140,'Données projet'!$B$140,CT94+CS95-DB94)))</f>
        <v>164.59999999999997</v>
      </c>
      <c r="CU95" s="18">
        <f>CT95*VLOOKUP('Données projet'!$B$13,Paramètres!$A$1:$I$89,3,0)*VLOOKUP('Données projet'!$B$13,Paramètres!$A$1:$I$89,5,0)</f>
        <v>177.17543999999995</v>
      </c>
      <c r="CV95" s="14">
        <f t="shared" si="95"/>
        <v>44.693196313414717</v>
      </c>
      <c r="CW95" s="22">
        <f t="shared" si="67"/>
        <v>386.42120824586385</v>
      </c>
      <c r="CX95" s="60">
        <f t="shared" si="68"/>
        <v>679.75454157919717</v>
      </c>
      <c r="CY95" s="60">
        <f ca="1">AVERAGE(OFFSET($CX$3,0,0,'Données projet'!$E$13+1,1))-AVERAGE(OFFSET($H$3,0,0,'Données projet'!$E$13+1,1))</f>
        <v>280.20599015000306</v>
      </c>
      <c r="CZ95" s="60">
        <f t="shared" si="96"/>
        <v>166.97658184507787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3.5897435897435912</v>
      </c>
      <c r="DO95" s="13">
        <f>IF('Données projet'!$A$166&gt;35,DO94+DN95-DW94,IF(A95&lt;'Données projet'!$A$166,$DL$205^A95,IF(A95='Données projet'!$A$166,'Données projet'!$B$166,DO94+DN95-DW94)))</f>
        <v>270.64102564102552</v>
      </c>
      <c r="DP95" s="18">
        <f>DO95*VLOOKUP('Données projet'!$B$14,Paramètres!$A$1:$I$89,3,0)*VLOOKUP('Données projet'!$B$14,Paramètres!$A$1:$I$89,5,0)</f>
        <v>181.54599999999994</v>
      </c>
      <c r="DQ95" s="14">
        <f t="shared" si="97"/>
        <v>45.665971295569257</v>
      </c>
      <c r="DR95" s="22">
        <f t="shared" si="70"/>
        <v>395.72751667311633</v>
      </c>
      <c r="DS95" s="60">
        <f t="shared" si="71"/>
        <v>689.06085000644964</v>
      </c>
      <c r="DT95" s="60">
        <f ca="1">AVERAGE(OFFSET($DS$3,0,0,'Données projet'!$E$14+1,1))-AVERAGE(OFFSET($H$3,0,0,'Données projet'!$E$14+1,1))</f>
        <v>291.18686311753402</v>
      </c>
      <c r="DU95" s="60">
        <f t="shared" si="98"/>
        <v>215.44422413249839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-1.9895196601282805E-13</v>
      </c>
      <c r="EK95" s="18">
        <f>EJ95*VLOOKUP('Données projet'!$B$15,Paramètres!$A$1:$I$89,3,0)*VLOOKUP('Données projet'!$B$15,Paramètres!$A$1:$I$89,5,0)</f>
        <v>-1.6138983482960614E-13</v>
      </c>
      <c r="EL95" s="14" t="e">
        <f t="shared" si="99"/>
        <v>#NUM!</v>
      </c>
      <c r="EM95" s="22" t="e">
        <f t="shared" si="73"/>
        <v>#NUM!</v>
      </c>
      <c r="EN95" s="60" t="e">
        <f t="shared" si="74"/>
        <v>#NUM!</v>
      </c>
      <c r="EO95" s="60">
        <f ca="1">AVERAGE(OFFSET($EN$3,0,0,'Données projet'!$E$15+1,1))-AVERAGE(OFFSET($H$3,0,0,'Données projet'!$E$15+1,1))</f>
        <v>236.22643401787644</v>
      </c>
      <c r="EP95" s="60">
        <f t="shared" si="100"/>
        <v>188.80444043778022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8">
        <f t="shared" si="56"/>
        <v>256.66666666666669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0" t="e">
        <f t="shared" si="55"/>
        <v>#NUM!</v>
      </c>
      <c r="S96" s="60">
        <f ca="1">AVERAGE(OFFSET($R$3,0,0,'Données projet'!$E$9+1,1))-AVERAGE(OFFSET($H$3,0,0,'Données projet'!$E$9+1,1))</f>
        <v>144.55635559713392</v>
      </c>
      <c r="T96" s="60">
        <f t="shared" si="88"/>
        <v>349.14692715126904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17.50102740961848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7.2521088452976763E-11</v>
      </c>
      <c r="AC96" s="24">
        <f t="shared" si="57"/>
        <v>17.501027409691002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</v>
      </c>
      <c r="AJ96" s="14">
        <f>AI96*VLOOKUP('Données projet'!$B$10,Paramètres!$A$1:$I$89,3,0)*VLOOKUP('Données projet'!$B$10,Paramètres!$A$1:$I$89,5,0)</f>
        <v>243.11975999999996</v>
      </c>
      <c r="AK96" s="14">
        <f t="shared" si="89"/>
        <v>59.110256668778533</v>
      </c>
      <c r="AL96" s="22">
        <f t="shared" si="58"/>
        <v>526.3839456981226</v>
      </c>
      <c r="AM96" s="60">
        <f t="shared" si="59"/>
        <v>819.71727903145597</v>
      </c>
      <c r="AN96" s="60">
        <f ca="1">AVERAGE(OFFSET($AM$3,0,0,'Données projet'!$E$10+1,1))-AVERAGE(OFFSET($H$3,0,0,'Données projet'!$E$10+1,1))</f>
        <v>428.8489304403459</v>
      </c>
      <c r="AO96" s="60">
        <f t="shared" si="90"/>
        <v>247.01165577562966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4.9000000000000004</v>
      </c>
      <c r="BD96" s="13">
        <f>IF('Données projet'!$A$88&gt;35,BD95+BC96-BL95,IF(A96&lt;'Données projet'!$A$88,$BA$205^A96,IF(A96='Données projet'!$A$88,'Données projet'!$B$88,BD95+BC96-BL95)))</f>
        <v>268.7</v>
      </c>
      <c r="BE96" s="14">
        <f>BD96*VLOOKUP('Données projet'!$B$11,Paramètres!$A$1:$I$89,3,0)*VLOOKUP('Données projet'!$B$11,Paramètres!$A$1:$I$89,5,0)</f>
        <v>272.46180000000004</v>
      </c>
      <c r="BF96" s="14">
        <f t="shared" si="91"/>
        <v>65.371449071921944</v>
      </c>
      <c r="BG96" s="22">
        <f t="shared" si="61"/>
        <v>588.39290880026408</v>
      </c>
      <c r="BH96" s="60">
        <f t="shared" si="62"/>
        <v>881.72624213359745</v>
      </c>
      <c r="BI96" s="60">
        <f ca="1">AVERAGE(OFFSET($BH$3,0,0,'Données projet'!$E$11+1,1))-AVERAGE(OFFSET($H$3,0,0,'Données projet'!$E$11+1,1))</f>
        <v>475.47920969424894</v>
      </c>
      <c r="BJ96" s="60">
        <f t="shared" si="92"/>
        <v>271.73544012419364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2.8</v>
      </c>
      <c r="BY96" s="13">
        <f>IF('Données projet'!$A$114&gt;35,BY95+BX96-CG95,IF(A96&lt;'Données projet'!$A$114,$BV$205^A96,IF(A96='Données projet'!$A$114,'Données projet'!$B$114,BY95+BX96-CG95)))</f>
        <v>167.39999999999998</v>
      </c>
      <c r="BZ96" s="14">
        <f>BY96*VLOOKUP('Données projet'!$B$12,Paramètres!$A$1:$I$89,3,0)*VLOOKUP('Données projet'!$B$12,Paramètres!$A$1:$I$89,5,0)</f>
        <v>161.90927999999997</v>
      </c>
      <c r="CA96" s="14">
        <f t="shared" si="93"/>
        <v>41.272861077810653</v>
      </c>
      <c r="CB96" s="22">
        <f t="shared" si="64"/>
        <v>353.87556237718678</v>
      </c>
      <c r="CC96" s="60">
        <f t="shared" si="65"/>
        <v>647.2088957105201</v>
      </c>
      <c r="CD96" s="60">
        <f ca="1">AVERAGE(OFFSET($CC$3,0,0,'Données projet'!$E$12+1,1))-AVERAGE(OFFSET($H$3,0,0,'Données projet'!$E$12+1,1))</f>
        <v>255.59755832175625</v>
      </c>
      <c r="CE96" s="60">
        <f t="shared" si="94"/>
        <v>154.0840647586964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2.8</v>
      </c>
      <c r="CT96" s="13">
        <f>IF('Données projet'!$A$140&gt;35,CT95+CS96-DB95,IF(A96&lt;'Données projet'!$A$140,$CQ$205^A96,IF(A96='Données projet'!$A$140,'Données projet'!$B$140,CT95+CS96-DB95)))</f>
        <v>167.39999999999998</v>
      </c>
      <c r="CU96" s="18">
        <f>CT96*VLOOKUP('Données projet'!$B$13,Paramètres!$A$1:$I$89,3,0)*VLOOKUP('Données projet'!$B$13,Paramètres!$A$1:$I$89,5,0)</f>
        <v>180.18935999999997</v>
      </c>
      <c r="CV96" s="14">
        <f t="shared" si="95"/>
        <v>45.36431269940843</v>
      </c>
      <c r="CW96" s="22">
        <f t="shared" si="67"/>
        <v>392.83931328480293</v>
      </c>
      <c r="CX96" s="60">
        <f t="shared" si="68"/>
        <v>686.17264661813624</v>
      </c>
      <c r="CY96" s="60">
        <f ca="1">AVERAGE(OFFSET($CX$3,0,0,'Données projet'!$E$13+1,1))-AVERAGE(OFFSET($H$3,0,0,'Données projet'!$E$13+1,1))</f>
        <v>280.20599015000306</v>
      </c>
      <c r="CZ96" s="60">
        <f t="shared" si="96"/>
        <v>166.97658184507787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3.5897435897435912</v>
      </c>
      <c r="DO96" s="13">
        <f>IF('Données projet'!$A$166&gt;35,DO95+DN96-DW95,IF(A96&lt;'Données projet'!$A$166,$DL$205^A96,IF(A96='Données projet'!$A$166,'Données projet'!$B$166,DO95+DN96-DW95)))</f>
        <v>274.23076923076911</v>
      </c>
      <c r="DP96" s="18">
        <f>DO96*VLOOKUP('Données projet'!$B$14,Paramètres!$A$1:$I$89,3,0)*VLOOKUP('Données projet'!$B$14,Paramètres!$A$1:$I$89,5,0)</f>
        <v>183.95399999999992</v>
      </c>
      <c r="DQ96" s="14">
        <f t="shared" si="97"/>
        <v>46.200762755291258</v>
      </c>
      <c r="DR96" s="22">
        <f t="shared" si="70"/>
        <v>400.85287846546549</v>
      </c>
      <c r="DS96" s="60">
        <f t="shared" si="71"/>
        <v>694.18621179879881</v>
      </c>
      <c r="DT96" s="60">
        <f ca="1">AVERAGE(OFFSET($DS$3,0,0,'Données projet'!$E$14+1,1))-AVERAGE(OFFSET($H$3,0,0,'Données projet'!$E$14+1,1))</f>
        <v>291.18686311753402</v>
      </c>
      <c r="DU96" s="60">
        <f t="shared" si="98"/>
        <v>215.44422413249839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-1.9895196601282805E-13</v>
      </c>
      <c r="EK96" s="18">
        <f>EJ96*VLOOKUP('Données projet'!$B$15,Paramètres!$A$1:$I$89,3,0)*VLOOKUP('Données projet'!$B$15,Paramètres!$A$1:$I$89,5,0)</f>
        <v>-1.6138983482960614E-13</v>
      </c>
      <c r="EL96" s="14" t="e">
        <f t="shared" si="99"/>
        <v>#NUM!</v>
      </c>
      <c r="EM96" s="22" t="e">
        <f t="shared" si="73"/>
        <v>#NUM!</v>
      </c>
      <c r="EN96" s="60" t="e">
        <f t="shared" si="74"/>
        <v>#NUM!</v>
      </c>
      <c r="EO96" s="60">
        <f ca="1">AVERAGE(OFFSET($EN$3,0,0,'Données projet'!$E$15+1,1))-AVERAGE(OFFSET($H$3,0,0,'Données projet'!$E$15+1,1))</f>
        <v>236.22643401787644</v>
      </c>
      <c r="EP96" s="60">
        <f t="shared" si="100"/>
        <v>188.80444043778022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8">
        <f t="shared" si="56"/>
        <v>256.66666666666669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0" t="e">
        <f t="shared" si="55"/>
        <v>#NUM!</v>
      </c>
      <c r="S97" s="60">
        <f ca="1">AVERAGE(OFFSET($R$3,0,0,'Données projet'!$E$9+1,1))-AVERAGE(OFFSET($H$3,0,0,'Données projet'!$E$9+1,1))</f>
        <v>144.55635559713392</v>
      </c>
      <c r="T97" s="60">
        <f t="shared" si="88"/>
        <v>349.14692715126904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17.157842936688557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5.1280153424129299E-11</v>
      </c>
      <c r="AC97" s="24">
        <f t="shared" si="57"/>
        <v>17.157842936739836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273.59999999999997</v>
      </c>
      <c r="AJ97" s="14">
        <f>AI97*VLOOKUP('Données projet'!$B$10,Paramètres!$A$1:$I$89,3,0)*VLOOKUP('Données projet'!$B$10,Paramètres!$A$1:$I$89,5,0)</f>
        <v>247.55327999999994</v>
      </c>
      <c r="AK97" s="14">
        <f t="shared" si="89"/>
        <v>60.061713068870255</v>
      </c>
      <c r="AL97" s="22">
        <f t="shared" si="58"/>
        <v>535.76277959494894</v>
      </c>
      <c r="AM97" s="60">
        <f t="shared" si="59"/>
        <v>829.09611292828231</v>
      </c>
      <c r="AN97" s="60">
        <f ca="1">AVERAGE(OFFSET($AM$3,0,0,'Données projet'!$E$10+1,1))-AVERAGE(OFFSET($H$3,0,0,'Données projet'!$E$10+1,1))</f>
        <v>428.8489304403459</v>
      </c>
      <c r="AO97" s="60">
        <f t="shared" si="90"/>
        <v>247.01165577562966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4.9000000000000004</v>
      </c>
      <c r="BD97" s="13">
        <f>IF('Données projet'!$A$88&gt;35,BD96+BC97-BL96,IF(A97&lt;'Données projet'!$A$88,$BA$205^A97,IF(A97='Données projet'!$A$88,'Données projet'!$B$88,BD96+BC97-BL96)))</f>
        <v>273.59999999999997</v>
      </c>
      <c r="BE97" s="14">
        <f>BD97*VLOOKUP('Données projet'!$B$11,Paramètres!$A$1:$I$89,3,0)*VLOOKUP('Données projet'!$B$11,Paramètres!$A$1:$I$89,5,0)</f>
        <v>277.43039999999996</v>
      </c>
      <c r="BF97" s="14">
        <f t="shared" si="91"/>
        <v>66.423687500715673</v>
      </c>
      <c r="BG97" s="22">
        <f t="shared" si="61"/>
        <v>598.87920239707967</v>
      </c>
      <c r="BH97" s="60">
        <f t="shared" si="62"/>
        <v>892.21253573041304</v>
      </c>
      <c r="BI97" s="60">
        <f ca="1">AVERAGE(OFFSET($BH$3,0,0,'Données projet'!$E$11+1,1))-AVERAGE(OFFSET($H$3,0,0,'Données projet'!$E$11+1,1))</f>
        <v>475.47920969424894</v>
      </c>
      <c r="BJ97" s="60">
        <f t="shared" si="92"/>
        <v>271.73544012419364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2.8</v>
      </c>
      <c r="BY97" s="13">
        <f>IF('Données projet'!$A$114&gt;35,BY96+BX97-CG96,IF(A97&lt;'Données projet'!$A$114,$BV$205^A97,IF(A97='Données projet'!$A$114,'Données projet'!$B$114,BY96+BX97-CG96)))</f>
        <v>170.2</v>
      </c>
      <c r="BZ97" s="14">
        <f>BY97*VLOOKUP('Données projet'!$B$12,Paramètres!$A$1:$I$89,3,0)*VLOOKUP('Données projet'!$B$12,Paramètres!$A$1:$I$89,5,0)</f>
        <v>164.61743999999999</v>
      </c>
      <c r="CA97" s="14">
        <f t="shared" si="93"/>
        <v>41.882261134249809</v>
      </c>
      <c r="CB97" s="22">
        <f t="shared" si="64"/>
        <v>359.65364614215167</v>
      </c>
      <c r="CC97" s="60">
        <f t="shared" si="65"/>
        <v>652.98697947548499</v>
      </c>
      <c r="CD97" s="60">
        <f ca="1">AVERAGE(OFFSET($CC$3,0,0,'Données projet'!$E$12+1,1))-AVERAGE(OFFSET($H$3,0,0,'Données projet'!$E$12+1,1))</f>
        <v>255.59755832175625</v>
      </c>
      <c r="CE97" s="60">
        <f t="shared" si="94"/>
        <v>154.0840647586964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2.8</v>
      </c>
      <c r="CT97" s="13">
        <f>IF('Données projet'!$A$140&gt;35,CT96+CS97-DB96,IF(A97&lt;'Données projet'!$A$140,$CQ$205^A97,IF(A97='Données projet'!$A$140,'Données projet'!$B$140,CT96+CS97-DB96)))</f>
        <v>170.2</v>
      </c>
      <c r="CU97" s="18">
        <f>CT97*VLOOKUP('Données projet'!$B$13,Paramètres!$A$1:$I$89,3,0)*VLOOKUP('Données projet'!$B$13,Paramètres!$A$1:$I$89,5,0)</f>
        <v>183.20327999999998</v>
      </c>
      <c r="CV97" s="14">
        <f t="shared" si="95"/>
        <v>46.034123659865585</v>
      </c>
      <c r="CW97" s="22">
        <f t="shared" si="67"/>
        <v>399.25514470759913</v>
      </c>
      <c r="CX97" s="60">
        <f t="shared" si="68"/>
        <v>692.58847804093239</v>
      </c>
      <c r="CY97" s="60">
        <f ca="1">AVERAGE(OFFSET($CX$3,0,0,'Données projet'!$E$13+1,1))-AVERAGE(OFFSET($H$3,0,0,'Données projet'!$E$13+1,1))</f>
        <v>280.20599015000306</v>
      </c>
      <c r="CZ97" s="60">
        <f t="shared" si="96"/>
        <v>166.97658184507787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3.5897435897435912</v>
      </c>
      <c r="DO97" s="13">
        <f>IF('Données projet'!$A$166&gt;35,DO96+DN97-DW96,IF(A97&lt;'Données projet'!$A$166,$DL$205^A97,IF(A97='Données projet'!$A$166,'Données projet'!$B$166,DO96+DN97-DW96)))</f>
        <v>277.8205128205127</v>
      </c>
      <c r="DP97" s="18">
        <f>DO97*VLOOKUP('Données projet'!$B$14,Paramètres!$A$1:$I$89,3,0)*VLOOKUP('Données projet'!$B$14,Paramètres!$A$1:$I$89,5,0)</f>
        <v>186.36199999999991</v>
      </c>
      <c r="DQ97" s="14">
        <f t="shared" si="97"/>
        <v>46.734739947740024</v>
      </c>
      <c r="DR97" s="22">
        <f t="shared" si="70"/>
        <v>405.97682207564702</v>
      </c>
      <c r="DS97" s="60">
        <f t="shared" si="71"/>
        <v>699.31015540898034</v>
      </c>
      <c r="DT97" s="60">
        <f ca="1">AVERAGE(OFFSET($DS$3,0,0,'Données projet'!$E$14+1,1))-AVERAGE(OFFSET($H$3,0,0,'Données projet'!$E$14+1,1))</f>
        <v>291.18686311753402</v>
      </c>
      <c r="DU97" s="60">
        <f t="shared" si="98"/>
        <v>215.44422413249839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-1.9895196601282805E-13</v>
      </c>
      <c r="EK97" s="18">
        <f>EJ97*VLOOKUP('Données projet'!$B$15,Paramètres!$A$1:$I$89,3,0)*VLOOKUP('Données projet'!$B$15,Paramètres!$A$1:$I$89,5,0)</f>
        <v>-1.6138983482960614E-13</v>
      </c>
      <c r="EL97" s="14" t="e">
        <f t="shared" si="99"/>
        <v>#NUM!</v>
      </c>
      <c r="EM97" s="22" t="e">
        <f t="shared" si="73"/>
        <v>#NUM!</v>
      </c>
      <c r="EN97" s="60" t="e">
        <f t="shared" si="74"/>
        <v>#NUM!</v>
      </c>
      <c r="EO97" s="60">
        <f ca="1">AVERAGE(OFFSET($EN$3,0,0,'Données projet'!$E$15+1,1))-AVERAGE(OFFSET($H$3,0,0,'Données projet'!$E$15+1,1))</f>
        <v>236.22643401787644</v>
      </c>
      <c r="EP97" s="60">
        <f t="shared" si="100"/>
        <v>188.80444043778022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8">
        <f t="shared" si="56"/>
        <v>256.66666666666669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0" t="e">
        <f t="shared" si="55"/>
        <v>#NUM!</v>
      </c>
      <c r="S98" s="60">
        <f ca="1">AVERAGE(OFFSET($R$3,0,0,'Données projet'!$E$9+1,1))-AVERAGE(OFFSET($H$3,0,0,'Données projet'!$E$9+1,1))</f>
        <v>144.55635559713392</v>
      </c>
      <c r="T98" s="60">
        <f t="shared" si="88"/>
        <v>349.14692715126904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16.821388101950927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3.6260544226488382E-11</v>
      </c>
      <c r="AC98" s="24">
        <f t="shared" si="57"/>
        <v>16.821388101987186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278.49999999999994</v>
      </c>
      <c r="AJ98" s="14">
        <f>AI98*VLOOKUP('Données projet'!$B$10,Paramètres!$A$1:$I$89,3,0)*VLOOKUP('Données projet'!$B$10,Paramètres!$A$1:$I$89,5,0)</f>
        <v>251.98679999999993</v>
      </c>
      <c r="AK98" s="14">
        <f t="shared" si="89"/>
        <v>61.011187970195053</v>
      </c>
      <c r="AL98" s="22">
        <f t="shared" si="58"/>
        <v>545.13816238142283</v>
      </c>
      <c r="AM98" s="60">
        <f t="shared" si="59"/>
        <v>838.4714957147562</v>
      </c>
      <c r="AN98" s="60">
        <f ca="1">AVERAGE(OFFSET($AM$3,0,0,'Données projet'!$E$10+1,1))-AVERAGE(OFFSET($H$3,0,0,'Données projet'!$E$10+1,1))</f>
        <v>428.8489304403459</v>
      </c>
      <c r="AO98" s="60">
        <f t="shared" si="90"/>
        <v>247.01165577562966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4.9000000000000004</v>
      </c>
      <c r="BD98" s="13">
        <f>IF('Données projet'!$A$88&gt;35,BD97+BC98-BL97,IF(A98&lt;'Données projet'!$A$88,$BA$205^A98,IF(A98='Données projet'!$A$88,'Données projet'!$B$88,BD97+BC98-BL97)))</f>
        <v>278.49999999999994</v>
      </c>
      <c r="BE98" s="14">
        <f>BD98*VLOOKUP('Données projet'!$B$11,Paramètres!$A$1:$I$89,3,0)*VLOOKUP('Données projet'!$B$11,Paramètres!$A$1:$I$89,5,0)</f>
        <v>282.399</v>
      </c>
      <c r="BF98" s="14">
        <f t="shared" si="91"/>
        <v>67.473734542548371</v>
      </c>
      <c r="BG98" s="22">
        <f t="shared" si="61"/>
        <v>609.36167932827175</v>
      </c>
      <c r="BH98" s="60">
        <f t="shared" si="62"/>
        <v>902.69501266160501</v>
      </c>
      <c r="BI98" s="60">
        <f ca="1">AVERAGE(OFFSET($BH$3,0,0,'Données projet'!$E$11+1,1))-AVERAGE(OFFSET($H$3,0,0,'Données projet'!$E$11+1,1))</f>
        <v>475.47920969424894</v>
      </c>
      <c r="BJ98" s="60">
        <f t="shared" si="92"/>
        <v>271.73544012419364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173</v>
      </c>
      <c r="BW98" s="13">
        <f>VLOOKUP(A98,'Données projet'!$A$113:$I$133,9,0)</f>
        <v>2.8</v>
      </c>
      <c r="BX98" s="13">
        <f t="array" ref="BX98">INDEX(BW:BW,MIN(IF(ISNUMBER(BW98:BW294),ROW(BW98:BW294),"")))</f>
        <v>2.8</v>
      </c>
      <c r="BY98" s="13">
        <f>IF('Données projet'!$A$114&gt;35,BY97+BX98-CG97,IF(A98&lt;'Données projet'!$A$114,$BV$205^A98,IF(A98='Données projet'!$A$114,'Données projet'!$B$114,BY97+BX98-CG97)))</f>
        <v>173</v>
      </c>
      <c r="BZ98" s="14">
        <f>BY98*VLOOKUP('Données projet'!$B$12,Paramètres!$A$1:$I$89,3,0)*VLOOKUP('Données projet'!$B$12,Paramètres!$A$1:$I$89,5,0)</f>
        <v>167.32560000000001</v>
      </c>
      <c r="CA98" s="14">
        <f t="shared" si="93"/>
        <v>42.490495297127609</v>
      </c>
      <c r="CB98" s="22">
        <f t="shared" si="64"/>
        <v>365.42969930916388</v>
      </c>
      <c r="CC98" s="60">
        <f t="shared" si="65"/>
        <v>658.76303264249714</v>
      </c>
      <c r="CD98" s="60">
        <f ca="1">AVERAGE(OFFSET($CC$3,0,0,'Données projet'!$E$12+1,1))-AVERAGE(OFFSET($H$3,0,0,'Données projet'!$E$12+1,1))</f>
        <v>255.59755832175625</v>
      </c>
      <c r="CE98" s="60">
        <f t="shared" si="94"/>
        <v>154.0840647586964</v>
      </c>
      <c r="CF98" s="16">
        <f>IF(ISNA(VLOOKUP(A98,'Données projet'!$A$113:$I$133,3,0)),0,VLOOKUP(A98,'Données projet'!$A$113:$I$133,3,0))</f>
        <v>7</v>
      </c>
      <c r="CG98" s="16">
        <f>IF(ISNA(VLOOKUP(A98,'Données projet'!$A$113:$I$133,4,0)),0,VLOOKUP(A98,'Données projet'!$A$113:$I$133,4,0))</f>
        <v>18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173</v>
      </c>
      <c r="CR98" s="13">
        <f>VLOOKUP(A98,'Données projet'!$A$139:$I$159,9,0)</f>
        <v>2.8</v>
      </c>
      <c r="CS98" s="13">
        <f t="array" ref="CS98">INDEX(CR:CR,MIN(IF(ISNUMBER(CR98:CR294),ROW(CR98:CR294),"")))</f>
        <v>2.8</v>
      </c>
      <c r="CT98" s="13">
        <f>IF('Données projet'!$A$140&gt;35,CT97+CS98-DB97,IF(A98&lt;'Données projet'!$A$140,$CQ$205^A98,IF(A98='Données projet'!$A$140,'Données projet'!$B$140,CT97+CS98-DB97)))</f>
        <v>173</v>
      </c>
      <c r="CU98" s="18">
        <f>CT98*VLOOKUP('Données projet'!$B$13,Paramètres!$A$1:$I$89,3,0)*VLOOKUP('Données projet'!$B$13,Paramètres!$A$1:$I$89,5,0)</f>
        <v>186.21719999999999</v>
      </c>
      <c r="CV98" s="14">
        <f t="shared" si="95"/>
        <v>46.702653149673253</v>
      </c>
      <c r="CW98" s="22">
        <f t="shared" si="67"/>
        <v>405.66874423568089</v>
      </c>
      <c r="CX98" s="60">
        <f t="shared" si="68"/>
        <v>699.0020775690142</v>
      </c>
      <c r="CY98" s="60">
        <f ca="1">AVERAGE(OFFSET($CX$3,0,0,'Données projet'!$E$13+1,1))-AVERAGE(OFFSET($H$3,0,0,'Données projet'!$E$13+1,1))</f>
        <v>280.20599015000306</v>
      </c>
      <c r="CZ98" s="60">
        <f t="shared" si="96"/>
        <v>166.97658184507787</v>
      </c>
      <c r="DA98" s="16">
        <f>IF(ISNA(VLOOKUP(A98,'Données projet'!$A$139:$I$159,3,0)),0,VLOOKUP(A98,'Données projet'!$A$139:$I$159,3,0))</f>
        <v>7</v>
      </c>
      <c r="DB98" s="16">
        <f>IF(ISNA(VLOOKUP(A98,'Données projet'!$A$139:$I$159,4,0)),0,VLOOKUP(A98,'Données projet'!$A$139:$I$159,4,0))</f>
        <v>18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281.41025641025641</v>
      </c>
      <c r="DM98" s="13">
        <f>VLOOKUP(A98,'Données projet'!$A$165:$I$185,9,0)</f>
        <v>3.5897435897435912</v>
      </c>
      <c r="DN98" s="13">
        <f t="array" ref="DN98">INDEX(DM:DM,MIN(IF(ISNUMBER(DM98:DM294),ROW(DM98:DM294),"")))</f>
        <v>3.5897435897435912</v>
      </c>
      <c r="DO98" s="13">
        <f>IF('Données projet'!$A$166&gt;35,DO97+DN98-DW97,IF(A98&lt;'Données projet'!$A$166,$DL$205^A98,IF(A98='Données projet'!$A$166,'Données projet'!$B$166,DO97+DN98-DW97)))</f>
        <v>281.4102564102563</v>
      </c>
      <c r="DP98" s="18">
        <f>DO98*VLOOKUP('Données projet'!$B$14,Paramètres!$A$1:$I$89,3,0)*VLOOKUP('Données projet'!$B$14,Paramètres!$A$1:$I$89,5,0)</f>
        <v>188.76999999999992</v>
      </c>
      <c r="DQ98" s="14">
        <f t="shared" si="97"/>
        <v>47.267914610633945</v>
      </c>
      <c r="DR98" s="22">
        <f t="shared" si="70"/>
        <v>411.09936794685399</v>
      </c>
      <c r="DS98" s="60">
        <f t="shared" si="71"/>
        <v>704.4327012801873</v>
      </c>
      <c r="DT98" s="60">
        <f ca="1">AVERAGE(OFFSET($DS$3,0,0,'Données projet'!$E$14+1,1))-AVERAGE(OFFSET($H$3,0,0,'Données projet'!$E$14+1,1))</f>
        <v>291.18686311753402</v>
      </c>
      <c r="DU98" s="60">
        <f t="shared" si="98"/>
        <v>215.44422413249839</v>
      </c>
      <c r="DV98" s="16">
        <f>IF(ISNA(VLOOKUP(A98,'Données projet'!$A$165:$I$185,3,0)),0,VLOOKUP(A98,'Données projet'!$A$165:$I$185,3,0))</f>
        <v>8</v>
      </c>
      <c r="DW98" s="16">
        <f>IF(ISNA(VLOOKUP(A98,'Données projet'!$A$165:$I$185,4,0)),0,VLOOKUP(A98,'Données projet'!$A$165:$I$185,4,0))</f>
        <v>22.435897435897434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-1.9895196601282805E-13</v>
      </c>
      <c r="EK98" s="18">
        <f>EJ98*VLOOKUP('Données projet'!$B$15,Paramètres!$A$1:$I$89,3,0)*VLOOKUP('Données projet'!$B$15,Paramètres!$A$1:$I$89,5,0)</f>
        <v>-1.6138983482960614E-13</v>
      </c>
      <c r="EL98" s="14" t="e">
        <f t="shared" si="99"/>
        <v>#NUM!</v>
      </c>
      <c r="EM98" s="22" t="e">
        <f t="shared" si="73"/>
        <v>#NUM!</v>
      </c>
      <c r="EN98" s="60" t="e">
        <f t="shared" si="74"/>
        <v>#NUM!</v>
      </c>
      <c r="EO98" s="60">
        <f ca="1">AVERAGE(OFFSET($EN$3,0,0,'Données projet'!$E$15+1,1))-AVERAGE(OFFSET($H$3,0,0,'Données projet'!$E$15+1,1))</f>
        <v>236.22643401787644</v>
      </c>
      <c r="EP98" s="60">
        <f t="shared" si="100"/>
        <v>188.80444043778022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8">
        <f t="shared" si="56"/>
        <v>256.66666666666669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0" t="e">
        <f t="shared" si="55"/>
        <v>#NUM!</v>
      </c>
      <c r="S99" s="60">
        <f ca="1">AVERAGE(OFFSET($R$3,0,0,'Données projet'!$E$9+1,1))-AVERAGE(OFFSET($H$3,0,0,'Données projet'!$E$9+1,1))</f>
        <v>144.55635559713392</v>
      </c>
      <c r="T99" s="60">
        <f t="shared" si="88"/>
        <v>349.14692715126904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16.491530941305317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2.5640076712064649E-11</v>
      </c>
      <c r="AC99" s="24">
        <f t="shared" si="57"/>
        <v>16.491530941330957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283.39999999999992</v>
      </c>
      <c r="AJ99" s="14">
        <f>AI99*VLOOKUP('Données projet'!$B$10,Paramètres!$A$1:$I$89,3,0)*VLOOKUP('Données projet'!$B$10,Paramètres!$A$1:$I$89,5,0)</f>
        <v>256.42031999999989</v>
      </c>
      <c r="AK99" s="14">
        <f t="shared" si="89"/>
        <v>61.958720258016918</v>
      </c>
      <c r="AL99" s="22">
        <f t="shared" si="58"/>
        <v>554.51016178271254</v>
      </c>
      <c r="AM99" s="60">
        <f t="shared" si="59"/>
        <v>847.84349511604591</v>
      </c>
      <c r="AN99" s="60">
        <f ca="1">AVERAGE(OFFSET($AM$3,0,0,'Données projet'!$E$10+1,1))-AVERAGE(OFFSET($H$3,0,0,'Données projet'!$E$10+1,1))</f>
        <v>428.8489304403459</v>
      </c>
      <c r="AO99" s="60">
        <f t="shared" si="90"/>
        <v>247.01165577562966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4.9000000000000004</v>
      </c>
      <c r="BD99" s="13">
        <f>IF('Données projet'!$A$88&gt;35,BD98+BC99-BL98,IF(A99&lt;'Données projet'!$A$88,$BA$205^A99,IF(A99='Données projet'!$A$88,'Données projet'!$B$88,BD98+BC99-BL98)))</f>
        <v>283.39999999999992</v>
      </c>
      <c r="BE99" s="14">
        <f>BD99*VLOOKUP('Données projet'!$B$11,Paramètres!$A$1:$I$89,3,0)*VLOOKUP('Données projet'!$B$11,Paramètres!$A$1:$I$89,5,0)</f>
        <v>287.36759999999992</v>
      </c>
      <c r="BF99" s="14">
        <f t="shared" si="91"/>
        <v>68.521633201565123</v>
      </c>
      <c r="BG99" s="22">
        <f t="shared" si="61"/>
        <v>619.84041449272581</v>
      </c>
      <c r="BH99" s="60">
        <f t="shared" si="62"/>
        <v>913.17374782605907</v>
      </c>
      <c r="BI99" s="60">
        <f ca="1">AVERAGE(OFFSET($BH$3,0,0,'Données projet'!$E$11+1,1))-AVERAGE(OFFSET($H$3,0,0,'Données projet'!$E$11+1,1))</f>
        <v>475.47920969424894</v>
      </c>
      <c r="BJ99" s="60">
        <f t="shared" si="92"/>
        <v>271.73544012419364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</v>
      </c>
      <c r="BY99" s="13">
        <f>IF('Données projet'!$A$114&gt;35,BY98+BX99-CG98,IF(A99&lt;'Données projet'!$A$114,$BV$205^A99,IF(A99='Données projet'!$A$114,'Données projet'!$B$114,BY98+BX99-CG98)))</f>
        <v>158</v>
      </c>
      <c r="BZ99" s="14">
        <f>BY99*VLOOKUP('Données projet'!$B$12,Paramètres!$A$1:$I$89,3,0)*VLOOKUP('Données projet'!$B$12,Paramètres!$A$1:$I$89,5,0)</f>
        <v>152.8176</v>
      </c>
      <c r="CA99" s="14">
        <f t="shared" si="93"/>
        <v>39.218200171484227</v>
      </c>
      <c r="CB99" s="22">
        <f t="shared" si="64"/>
        <v>334.46235196533502</v>
      </c>
      <c r="CC99" s="60">
        <f t="shared" si="65"/>
        <v>627.79568529866833</v>
      </c>
      <c r="CD99" s="60">
        <f ca="1">AVERAGE(OFFSET($CC$3,0,0,'Données projet'!$E$12+1,1))-AVERAGE(OFFSET($H$3,0,0,'Données projet'!$E$12+1,1))</f>
        <v>255.59755832175625</v>
      </c>
      <c r="CE99" s="60">
        <f t="shared" si="94"/>
        <v>154.0840647586964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</v>
      </c>
      <c r="CT99" s="13">
        <f>IF('Données projet'!$A$140&gt;35,CT98+CS99-DB98,IF(A99&lt;'Données projet'!$A$140,$CQ$205^A99,IF(A99='Données projet'!$A$140,'Données projet'!$B$140,CT98+CS99-DB98)))</f>
        <v>158</v>
      </c>
      <c r="CU99" s="18">
        <f>CT99*VLOOKUP('Données projet'!$B$13,Paramètres!$A$1:$I$89,3,0)*VLOOKUP('Données projet'!$B$13,Paramètres!$A$1:$I$89,5,0)</f>
        <v>170.0712</v>
      </c>
      <c r="CV99" s="14">
        <f t="shared" si="95"/>
        <v>43.10596962815594</v>
      </c>
      <c r="CW99" s="22">
        <f t="shared" si="67"/>
        <v>371.28357043570492</v>
      </c>
      <c r="CX99" s="60">
        <f t="shared" si="68"/>
        <v>664.61690376903823</v>
      </c>
      <c r="CY99" s="60">
        <f ca="1">AVERAGE(OFFSET($CX$3,0,0,'Données projet'!$E$13+1,1))-AVERAGE(OFFSET($H$3,0,0,'Données projet'!$E$13+1,1))</f>
        <v>280.20599015000306</v>
      </c>
      <c r="CZ99" s="60">
        <f t="shared" si="96"/>
        <v>166.97658184507787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3.333333333333337</v>
      </c>
      <c r="DO99" s="13">
        <f>IF('Données projet'!$A$166&gt;35,DO98+DN99-DW98,IF(A99&lt;'Données projet'!$A$166,$DL$205^A99,IF(A99='Données projet'!$A$166,'Données projet'!$B$166,DO98+DN99-DW98)))</f>
        <v>262.30769230769215</v>
      </c>
      <c r="DP99" s="18">
        <f>DO99*VLOOKUP('Données projet'!$B$14,Paramètres!$A$1:$I$89,3,0)*VLOOKUP('Données projet'!$B$14,Paramètres!$A$1:$I$89,5,0)</f>
        <v>175.95599999999988</v>
      </c>
      <c r="DQ99" s="14">
        <f t="shared" si="97"/>
        <v>44.421284286599445</v>
      </c>
      <c r="DR99" s="22">
        <f t="shared" si="70"/>
        <v>383.82377013249379</v>
      </c>
      <c r="DS99" s="60">
        <f t="shared" si="71"/>
        <v>677.15710346582705</v>
      </c>
      <c r="DT99" s="60">
        <f ca="1">AVERAGE(OFFSET($DS$3,0,0,'Données projet'!$E$14+1,1))-AVERAGE(OFFSET($H$3,0,0,'Données projet'!$E$14+1,1))</f>
        <v>291.18686311753402</v>
      </c>
      <c r="DU99" s="60">
        <f t="shared" si="98"/>
        <v>215.44422413249839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-1.9895196601282805E-13</v>
      </c>
      <c r="EK99" s="18">
        <f>EJ99*VLOOKUP('Données projet'!$B$15,Paramètres!$A$1:$I$89,3,0)*VLOOKUP('Données projet'!$B$15,Paramètres!$A$1:$I$89,5,0)</f>
        <v>-1.6138983482960614E-13</v>
      </c>
      <c r="EL99" s="14" t="e">
        <f t="shared" si="99"/>
        <v>#NUM!</v>
      </c>
      <c r="EM99" s="22" t="e">
        <f t="shared" si="73"/>
        <v>#NUM!</v>
      </c>
      <c r="EN99" s="60" t="e">
        <f t="shared" si="74"/>
        <v>#NUM!</v>
      </c>
      <c r="EO99" s="60">
        <f ca="1">AVERAGE(OFFSET($EN$3,0,0,'Données projet'!$E$15+1,1))-AVERAGE(OFFSET($H$3,0,0,'Données projet'!$E$15+1,1))</f>
        <v>236.22643401787644</v>
      </c>
      <c r="EP99" s="60">
        <f t="shared" si="100"/>
        <v>188.80444043778022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8">
        <f t="shared" si="56"/>
        <v>256.66666666666669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0" t="e">
        <f t="shared" si="55"/>
        <v>#NUM!</v>
      </c>
      <c r="S100" s="60">
        <f ca="1">AVERAGE(OFFSET($R$3,0,0,'Données projet'!$E$9+1,1))-AVERAGE(OFFSET($H$3,0,0,'Données projet'!$E$9+1,1))</f>
        <v>144.55635559713392</v>
      </c>
      <c r="T100" s="60">
        <f t="shared" si="88"/>
        <v>349.14692715126904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16.168142078386968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1.8130272113244191E-11</v>
      </c>
      <c r="AC100" s="24">
        <f t="shared" si="57"/>
        <v>16.168142078405097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288.2999999999999</v>
      </c>
      <c r="AJ100" s="14">
        <f>AI100*VLOOKUP('Données projet'!$B$10,Paramètres!$A$1:$I$89,3,0)*VLOOKUP('Données projet'!$B$10,Paramètres!$A$1:$I$89,5,0)</f>
        <v>260.85383999999993</v>
      </c>
      <c r="AK100" s="14">
        <f t="shared" si="89"/>
        <v>62.904347395903763</v>
      </c>
      <c r="AL100" s="22">
        <f t="shared" si="58"/>
        <v>563.87884304786564</v>
      </c>
      <c r="AM100" s="60">
        <f t="shared" si="59"/>
        <v>857.21217638119901</v>
      </c>
      <c r="AN100" s="60">
        <f ca="1">AVERAGE(OFFSET($AM$3,0,0,'Données projet'!$E$10+1,1))-AVERAGE(OFFSET($H$3,0,0,'Données projet'!$E$10+1,1))</f>
        <v>428.8489304403459</v>
      </c>
      <c r="AO100" s="60">
        <f t="shared" si="90"/>
        <v>247.01165577562966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4.9000000000000004</v>
      </c>
      <c r="BD100" s="13">
        <f>IF('Données projet'!$A$88&gt;35,BD99+BC100-BL99,IF(A100&lt;'Données projet'!$A$88,$BA$205^A100,IF(A100='Données projet'!$A$88,'Données projet'!$B$88,BD99+BC100-BL99)))</f>
        <v>288.2999999999999</v>
      </c>
      <c r="BE100" s="14">
        <f>BD100*VLOOKUP('Données projet'!$B$11,Paramètres!$A$1:$I$89,3,0)*VLOOKUP('Données projet'!$B$11,Paramètres!$A$1:$I$89,5,0)</f>
        <v>292.33619999999996</v>
      </c>
      <c r="BF100" s="14">
        <f t="shared" si="91"/>
        <v>69.56742490962327</v>
      </c>
      <c r="BG100" s="22">
        <f t="shared" si="61"/>
        <v>630.31548005092702</v>
      </c>
      <c r="BH100" s="60">
        <f t="shared" si="62"/>
        <v>923.64881338426039</v>
      </c>
      <c r="BI100" s="60">
        <f ca="1">AVERAGE(OFFSET($BH$3,0,0,'Données projet'!$E$11+1,1))-AVERAGE(OFFSET($H$3,0,0,'Données projet'!$E$11+1,1))</f>
        <v>475.47920969424894</v>
      </c>
      <c r="BJ100" s="60">
        <f t="shared" si="92"/>
        <v>271.73544012419364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</v>
      </c>
      <c r="BY100" s="13">
        <f>IF('Données projet'!$A$114&gt;35,BY99+BX100-CG99,IF(A100&lt;'Données projet'!$A$114,$BV$205^A100,IF(A100='Données projet'!$A$114,'Données projet'!$B$114,BY99+BX100-CG99)))</f>
        <v>161</v>
      </c>
      <c r="BZ100" s="14">
        <f>BY100*VLOOKUP('Données projet'!$B$12,Paramètres!$A$1:$I$89,3,0)*VLOOKUP('Données projet'!$B$12,Paramètres!$A$1:$I$89,5,0)</f>
        <v>155.7192</v>
      </c>
      <c r="CA100" s="14">
        <f t="shared" si="93"/>
        <v>39.875450340770094</v>
      </c>
      <c r="CB100" s="22">
        <f t="shared" si="64"/>
        <v>340.66068267684119</v>
      </c>
      <c r="CC100" s="60">
        <f t="shared" si="65"/>
        <v>633.99401601017451</v>
      </c>
      <c r="CD100" s="60">
        <f ca="1">AVERAGE(OFFSET($CC$3,0,0,'Données projet'!$E$12+1,1))-AVERAGE(OFFSET($H$3,0,0,'Données projet'!$E$12+1,1))</f>
        <v>255.59755832175625</v>
      </c>
      <c r="CE100" s="60">
        <f t="shared" si="94"/>
        <v>154.0840647586964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</v>
      </c>
      <c r="CT100" s="13">
        <f>IF('Données projet'!$A$140&gt;35,CT99+CS100-DB99,IF(A100&lt;'Données projet'!$A$140,$CQ$205^A100,IF(A100='Données projet'!$A$140,'Données projet'!$B$140,CT99+CS100-DB99)))</f>
        <v>161</v>
      </c>
      <c r="CU100" s="18">
        <f>CT100*VLOOKUP('Données projet'!$B$13,Paramètres!$A$1:$I$89,3,0)*VLOOKUP('Données projet'!$B$13,Paramètres!$A$1:$I$89,5,0)</f>
        <v>173.3004</v>
      </c>
      <c r="CV100" s="14">
        <f t="shared" si="95"/>
        <v>43.82837416766705</v>
      </c>
      <c r="CW100" s="22">
        <f t="shared" si="67"/>
        <v>378.1659483420201</v>
      </c>
      <c r="CX100" s="60">
        <f t="shared" si="68"/>
        <v>671.49928167535336</v>
      </c>
      <c r="CY100" s="60">
        <f ca="1">AVERAGE(OFFSET($CX$3,0,0,'Données projet'!$E$13+1,1))-AVERAGE(OFFSET($H$3,0,0,'Données projet'!$E$13+1,1))</f>
        <v>280.20599015000306</v>
      </c>
      <c r="CZ100" s="60">
        <f t="shared" si="96"/>
        <v>166.97658184507787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3.333333333333337</v>
      </c>
      <c r="DO100" s="13">
        <f>IF('Données projet'!$A$166&gt;35,DO99+DN100-DW99,IF(A100&lt;'Données projet'!$A$166,$DL$205^A100,IF(A100='Données projet'!$A$166,'Données projet'!$B$166,DO99+DN100-DW99)))</f>
        <v>265.64102564102546</v>
      </c>
      <c r="DP100" s="18">
        <f>DO100*VLOOKUP('Données projet'!$B$14,Paramètres!$A$1:$I$89,3,0)*VLOOKUP('Données projet'!$B$14,Paramètres!$A$1:$I$89,5,0)</f>
        <v>178.19199999999989</v>
      </c>
      <c r="DQ100" s="14">
        <f t="shared" si="97"/>
        <v>44.919703445281939</v>
      </c>
      <c r="DR100" s="22">
        <f t="shared" si="70"/>
        <v>388.58621683386582</v>
      </c>
      <c r="DS100" s="60">
        <f t="shared" si="71"/>
        <v>681.91955016719908</v>
      </c>
      <c r="DT100" s="60">
        <f ca="1">AVERAGE(OFFSET($DS$3,0,0,'Données projet'!$E$14+1,1))-AVERAGE(OFFSET($H$3,0,0,'Données projet'!$E$14+1,1))</f>
        <v>291.18686311753402</v>
      </c>
      <c r="DU100" s="60">
        <f t="shared" si="98"/>
        <v>215.44422413249839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-1.9895196601282805E-13</v>
      </c>
      <c r="EK100" s="18">
        <f>EJ100*VLOOKUP('Données projet'!$B$15,Paramètres!$A$1:$I$89,3,0)*VLOOKUP('Données projet'!$B$15,Paramètres!$A$1:$I$89,5,0)</f>
        <v>-1.6138983482960614E-13</v>
      </c>
      <c r="EL100" s="14" t="e">
        <f t="shared" si="99"/>
        <v>#NUM!</v>
      </c>
      <c r="EM100" s="22" t="e">
        <f t="shared" si="73"/>
        <v>#NUM!</v>
      </c>
      <c r="EN100" s="60" t="e">
        <f t="shared" si="74"/>
        <v>#NUM!</v>
      </c>
      <c r="EO100" s="60">
        <f ca="1">AVERAGE(OFFSET($EN$3,0,0,'Données projet'!$E$15+1,1))-AVERAGE(OFFSET($H$3,0,0,'Données projet'!$E$15+1,1))</f>
        <v>236.22643401787644</v>
      </c>
      <c r="EP100" s="60">
        <f t="shared" si="100"/>
        <v>188.80444043778022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8">
        <f t="shared" si="56"/>
        <v>256.66666666666669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0" t="e">
        <f t="shared" si="55"/>
        <v>#NUM!</v>
      </c>
      <c r="S101" s="60">
        <f ca="1">AVERAGE(OFFSET($R$3,0,0,'Données projet'!$E$9+1,1))-AVERAGE(OFFSET($H$3,0,0,'Données projet'!$E$9+1,1))</f>
        <v>144.55635559713392</v>
      </c>
      <c r="T101" s="60">
        <f t="shared" si="88"/>
        <v>349.14692715126904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15.851094673822715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1.2820038356032325E-11</v>
      </c>
      <c r="AC101" s="24">
        <f t="shared" si="57"/>
        <v>15.851094673835535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293.19999999999987</v>
      </c>
      <c r="AJ101" s="14">
        <f>AI101*VLOOKUP('Données projet'!$B$10,Paramètres!$A$1:$I$89,3,0)*VLOOKUP('Données projet'!$B$10,Paramètres!$A$1:$I$89,5,0)</f>
        <v>265.28735999999992</v>
      </c>
      <c r="AK101" s="14">
        <f t="shared" si="89"/>
        <v>63.84810550096995</v>
      </c>
      <c r="AL101" s="22">
        <f t="shared" si="58"/>
        <v>573.24426908085582</v>
      </c>
      <c r="AM101" s="60">
        <f t="shared" si="59"/>
        <v>866.57760241418919</v>
      </c>
      <c r="AN101" s="60">
        <f ca="1">AVERAGE(OFFSET($AM$3,0,0,'Données projet'!$E$10+1,1))-AVERAGE(OFFSET($H$3,0,0,'Données projet'!$E$10+1,1))</f>
        <v>428.8489304403459</v>
      </c>
      <c r="AO101" s="60">
        <f t="shared" si="90"/>
        <v>247.01165577562966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4.9000000000000004</v>
      </c>
      <c r="BD101" s="13">
        <f>IF('Données projet'!$A$88&gt;35,BD100+BC101-BL100,IF(A101&lt;'Données projet'!$A$88,$BA$205^A101,IF(A101='Données projet'!$A$88,'Données projet'!$B$88,BD100+BC101-BL100)))</f>
        <v>293.19999999999987</v>
      </c>
      <c r="BE101" s="14">
        <f>BD101*VLOOKUP('Données projet'!$B$11,Paramètres!$A$1:$I$89,3,0)*VLOOKUP('Données projet'!$B$11,Paramètres!$A$1:$I$89,5,0)</f>
        <v>297.30479999999989</v>
      </c>
      <c r="BF101" s="14">
        <f t="shared" si="91"/>
        <v>70.611149609504906</v>
      </c>
      <c r="BG101" s="22">
        <f t="shared" si="61"/>
        <v>640.78694556988739</v>
      </c>
      <c r="BH101" s="60">
        <f t="shared" si="62"/>
        <v>934.12027890322065</v>
      </c>
      <c r="BI101" s="60">
        <f ca="1">AVERAGE(OFFSET($BH$3,0,0,'Données projet'!$E$11+1,1))-AVERAGE(OFFSET($H$3,0,0,'Données projet'!$E$11+1,1))</f>
        <v>475.47920969424894</v>
      </c>
      <c r="BJ101" s="60">
        <f t="shared" si="92"/>
        <v>271.73544012419364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</v>
      </c>
      <c r="BY101" s="13">
        <f>IF('Données projet'!$A$114&gt;35,BY100+BX101-CG100,IF(A101&lt;'Données projet'!$A$114,$BV$205^A101,IF(A101='Données projet'!$A$114,'Données projet'!$B$114,BY100+BX101-CG100)))</f>
        <v>164</v>
      </c>
      <c r="BZ101" s="14">
        <f>BY101*VLOOKUP('Données projet'!$B$12,Paramètres!$A$1:$I$89,3,0)*VLOOKUP('Données projet'!$B$12,Paramètres!$A$1:$I$89,5,0)</f>
        <v>158.6208</v>
      </c>
      <c r="CA101" s="14">
        <f t="shared" si="93"/>
        <v>40.531276428901542</v>
      </c>
      <c r="CB101" s="22">
        <f t="shared" si="64"/>
        <v>346.8565331136702</v>
      </c>
      <c r="CC101" s="60">
        <f t="shared" si="65"/>
        <v>640.18986644700351</v>
      </c>
      <c r="CD101" s="60">
        <f ca="1">AVERAGE(OFFSET($CC$3,0,0,'Données projet'!$E$12+1,1))-AVERAGE(OFFSET($H$3,0,0,'Données projet'!$E$12+1,1))</f>
        <v>255.59755832175625</v>
      </c>
      <c r="CE101" s="60">
        <f t="shared" si="94"/>
        <v>154.0840647586964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</v>
      </c>
      <c r="CT101" s="13">
        <f>IF('Données projet'!$A$140&gt;35,CT100+CS101-DB100,IF(A101&lt;'Données projet'!$A$140,$CQ$205^A101,IF(A101='Données projet'!$A$140,'Données projet'!$B$140,CT100+CS101-DB100)))</f>
        <v>164</v>
      </c>
      <c r="CU101" s="18">
        <f>CT101*VLOOKUP('Données projet'!$B$13,Paramètres!$A$1:$I$89,3,0)*VLOOKUP('Données projet'!$B$13,Paramètres!$A$1:$I$89,5,0)</f>
        <v>176.52959999999999</v>
      </c>
      <c r="CV101" s="14">
        <f t="shared" si="95"/>
        <v>44.549213454343487</v>
      </c>
      <c r="CW101" s="22">
        <f t="shared" si="67"/>
        <v>385.04560009964825</v>
      </c>
      <c r="CX101" s="60">
        <f t="shared" si="68"/>
        <v>678.37893343298151</v>
      </c>
      <c r="CY101" s="60">
        <f ca="1">AVERAGE(OFFSET($CX$3,0,0,'Données projet'!$E$13+1,1))-AVERAGE(OFFSET($H$3,0,0,'Données projet'!$E$13+1,1))</f>
        <v>280.20599015000306</v>
      </c>
      <c r="CZ101" s="60">
        <f t="shared" si="96"/>
        <v>166.97658184507787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3.333333333333337</v>
      </c>
      <c r="DO101" s="13">
        <f>IF('Données projet'!$A$166&gt;35,DO100+DN101-DW100,IF(A101&lt;'Données projet'!$A$166,$DL$205^A101,IF(A101='Données projet'!$A$166,'Données projet'!$B$166,DO100+DN101-DW100)))</f>
        <v>268.97435897435878</v>
      </c>
      <c r="DP101" s="18">
        <f>DO101*VLOOKUP('Données projet'!$B$14,Paramètres!$A$1:$I$89,3,0)*VLOOKUP('Données projet'!$B$14,Paramètres!$A$1:$I$89,5,0)</f>
        <v>180.42799999999988</v>
      </c>
      <c r="DQ101" s="14">
        <f t="shared" si="97"/>
        <v>45.417395115306284</v>
      </c>
      <c r="DR101" s="22">
        <f t="shared" si="70"/>
        <v>393.34739649249155</v>
      </c>
      <c r="DS101" s="60">
        <f t="shared" si="71"/>
        <v>686.68072982582487</v>
      </c>
      <c r="DT101" s="60">
        <f ca="1">AVERAGE(OFFSET($DS$3,0,0,'Données projet'!$E$14+1,1))-AVERAGE(OFFSET($H$3,0,0,'Données projet'!$E$14+1,1))</f>
        <v>291.18686311753402</v>
      </c>
      <c r="DU101" s="60">
        <f t="shared" si="98"/>
        <v>215.44422413249839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-1.9895196601282805E-13</v>
      </c>
      <c r="EK101" s="18">
        <f>EJ101*VLOOKUP('Données projet'!$B$15,Paramètres!$A$1:$I$89,3,0)*VLOOKUP('Données projet'!$B$15,Paramètres!$A$1:$I$89,5,0)</f>
        <v>-1.6138983482960614E-13</v>
      </c>
      <c r="EL101" s="14" t="e">
        <f t="shared" si="99"/>
        <v>#NUM!</v>
      </c>
      <c r="EM101" s="22" t="e">
        <f t="shared" si="73"/>
        <v>#NUM!</v>
      </c>
      <c r="EN101" s="60" t="e">
        <f t="shared" si="74"/>
        <v>#NUM!</v>
      </c>
      <c r="EO101" s="60">
        <f ca="1">AVERAGE(OFFSET($EN$3,0,0,'Données projet'!$E$15+1,1))-AVERAGE(OFFSET($H$3,0,0,'Données projet'!$E$15+1,1))</f>
        <v>236.22643401787644</v>
      </c>
      <c r="EP101" s="60">
        <f t="shared" si="100"/>
        <v>188.80444043778022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8">
        <f t="shared" si="56"/>
        <v>256.66666666666669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0" t="e">
        <f t="shared" si="55"/>
        <v>#NUM!</v>
      </c>
      <c r="S102" s="60">
        <f ca="1">AVERAGE(OFFSET($R$3,0,0,'Données projet'!$E$9+1,1))-AVERAGE(OFFSET($H$3,0,0,'Données projet'!$E$9+1,1))</f>
        <v>144.55635559713392</v>
      </c>
      <c r="T102" s="60">
        <f t="shared" si="88"/>
        <v>349.14692715126904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15.540264375482145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9.0651360566220954E-12</v>
      </c>
      <c r="AC102" s="24">
        <f t="shared" si="57"/>
        <v>15.54026437549121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298.09999999999985</v>
      </c>
      <c r="AJ102" s="14">
        <f>AI102*VLOOKUP('Données projet'!$B$10,Paramètres!$A$1:$I$89,3,0)*VLOOKUP('Données projet'!$B$10,Paramètres!$A$1:$I$89,5,0)</f>
        <v>269.72087999999985</v>
      </c>
      <c r="AK102" s="14">
        <f t="shared" si="89"/>
        <v>64.790029413946939</v>
      </c>
      <c r="AL102" s="22">
        <f t="shared" si="58"/>
        <v>582.60650056262409</v>
      </c>
      <c r="AM102" s="60">
        <f t="shared" si="59"/>
        <v>875.93983389595746</v>
      </c>
      <c r="AN102" s="60">
        <f ca="1">AVERAGE(OFFSET($AM$3,0,0,'Données projet'!$E$10+1,1))-AVERAGE(OFFSET($H$3,0,0,'Données projet'!$E$10+1,1))</f>
        <v>428.8489304403459</v>
      </c>
      <c r="AO102" s="60">
        <f t="shared" si="90"/>
        <v>247.01165577562966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4.9000000000000004</v>
      </c>
      <c r="BD102" s="13">
        <f>IF('Données projet'!$A$88&gt;35,BD101+BC102-BL101,IF(A102&lt;'Données projet'!$A$88,$BA$205^A102,IF(A102='Données projet'!$A$88,'Données projet'!$B$88,BD101+BC102-BL101)))</f>
        <v>298.09999999999985</v>
      </c>
      <c r="BE102" s="14">
        <f>BD102*VLOOKUP('Données projet'!$B$11,Paramètres!$A$1:$I$89,3,0)*VLOOKUP('Données projet'!$B$11,Paramètres!$A$1:$I$89,5,0)</f>
        <v>302.27339999999987</v>
      </c>
      <c r="BF102" s="14">
        <f t="shared" si="91"/>
        <v>71.652845832409739</v>
      </c>
      <c r="BG102" s="22">
        <f t="shared" si="61"/>
        <v>651.25487815811346</v>
      </c>
      <c r="BH102" s="60">
        <f t="shared" si="62"/>
        <v>944.58821149144683</v>
      </c>
      <c r="BI102" s="60">
        <f ca="1">AVERAGE(OFFSET($BH$3,0,0,'Données projet'!$E$11+1,1))-AVERAGE(OFFSET($H$3,0,0,'Données projet'!$E$11+1,1))</f>
        <v>475.47920969424894</v>
      </c>
      <c r="BJ102" s="60">
        <f t="shared" si="92"/>
        <v>271.73544012419364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</v>
      </c>
      <c r="BY102" s="13">
        <f>IF('Données projet'!$A$114&gt;35,BY101+BX102-CG101,IF(A102&lt;'Données projet'!$A$114,$BV$205^A102,IF(A102='Données projet'!$A$114,'Données projet'!$B$114,BY101+BX102-CG101)))</f>
        <v>167</v>
      </c>
      <c r="BZ102" s="14">
        <f>BY102*VLOOKUP('Données projet'!$B$12,Paramètres!$A$1:$I$89,3,0)*VLOOKUP('Données projet'!$B$12,Paramètres!$A$1:$I$89,5,0)</f>
        <v>161.5224</v>
      </c>
      <c r="CA102" s="14">
        <f t="shared" si="93"/>
        <v>41.185707490721896</v>
      </c>
      <c r="CB102" s="22">
        <f t="shared" si="64"/>
        <v>353.04995387967392</v>
      </c>
      <c r="CC102" s="60">
        <f t="shared" si="65"/>
        <v>646.38328721300718</v>
      </c>
      <c r="CD102" s="60">
        <f ca="1">AVERAGE(OFFSET($CC$3,0,0,'Données projet'!$E$12+1,1))-AVERAGE(OFFSET($H$3,0,0,'Données projet'!$E$12+1,1))</f>
        <v>255.59755832175625</v>
      </c>
      <c r="CE102" s="60">
        <f t="shared" si="94"/>
        <v>154.0840647586964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</v>
      </c>
      <c r="CT102" s="13">
        <f>IF('Données projet'!$A$140&gt;35,CT101+CS102-DB101,IF(A102&lt;'Données projet'!$A$140,$CQ$205^A102,IF(A102='Données projet'!$A$140,'Données projet'!$B$140,CT101+CS102-DB101)))</f>
        <v>167</v>
      </c>
      <c r="CU102" s="18">
        <f>CT102*VLOOKUP('Données projet'!$B$13,Paramètres!$A$1:$I$89,3,0)*VLOOKUP('Données projet'!$B$13,Paramètres!$A$1:$I$89,5,0)</f>
        <v>179.75879999999998</v>
      </c>
      <c r="CV102" s="14">
        <f t="shared" si="95"/>
        <v>45.268519423286527</v>
      </c>
      <c r="CW102" s="22">
        <f t="shared" si="67"/>
        <v>391.92258132889066</v>
      </c>
      <c r="CX102" s="60">
        <f t="shared" si="68"/>
        <v>685.25591466222397</v>
      </c>
      <c r="CY102" s="60">
        <f ca="1">AVERAGE(OFFSET($CX$3,0,0,'Données projet'!$E$13+1,1))-AVERAGE(OFFSET($H$3,0,0,'Données projet'!$E$13+1,1))</f>
        <v>280.20599015000306</v>
      </c>
      <c r="CZ102" s="60">
        <f t="shared" si="96"/>
        <v>166.97658184507787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3.333333333333337</v>
      </c>
      <c r="DO102" s="13">
        <f>IF('Données projet'!$A$166&gt;35,DO101+DN102-DW101,IF(A102&lt;'Données projet'!$A$166,$DL$205^A102,IF(A102='Données projet'!$A$166,'Données projet'!$B$166,DO101+DN102-DW101)))</f>
        <v>272.30769230769209</v>
      </c>
      <c r="DP102" s="18">
        <f>DO102*VLOOKUP('Données projet'!$B$14,Paramètres!$A$1:$I$89,3,0)*VLOOKUP('Données projet'!$B$14,Paramètres!$A$1:$I$89,5,0)</f>
        <v>182.66399999999987</v>
      </c>
      <c r="DQ102" s="14">
        <f t="shared" si="97"/>
        <v>45.914369354937548</v>
      </c>
      <c r="DR102" s="22">
        <f t="shared" si="70"/>
        <v>398.107326626516</v>
      </c>
      <c r="DS102" s="60">
        <f t="shared" si="71"/>
        <v>691.44065995984931</v>
      </c>
      <c r="DT102" s="60">
        <f ca="1">AVERAGE(OFFSET($DS$3,0,0,'Données projet'!$E$14+1,1))-AVERAGE(OFFSET($H$3,0,0,'Données projet'!$E$14+1,1))</f>
        <v>291.18686311753402</v>
      </c>
      <c r="DU102" s="60">
        <f t="shared" si="98"/>
        <v>215.44422413249839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-1.9895196601282805E-13</v>
      </c>
      <c r="EK102" s="18">
        <f>EJ102*VLOOKUP('Données projet'!$B$15,Paramètres!$A$1:$I$89,3,0)*VLOOKUP('Données projet'!$B$15,Paramètres!$A$1:$I$89,5,0)</f>
        <v>-1.6138983482960614E-13</v>
      </c>
      <c r="EL102" s="14" t="e">
        <f t="shared" si="99"/>
        <v>#NUM!</v>
      </c>
      <c r="EM102" s="22" t="e">
        <f t="shared" si="73"/>
        <v>#NUM!</v>
      </c>
      <c r="EN102" s="60" t="e">
        <f t="shared" si="74"/>
        <v>#NUM!</v>
      </c>
      <c r="EO102" s="60">
        <f ca="1">AVERAGE(OFFSET($EN$3,0,0,'Données projet'!$E$15+1,1))-AVERAGE(OFFSET($H$3,0,0,'Données projet'!$E$15+1,1))</f>
        <v>236.22643401787644</v>
      </c>
      <c r="EP102" s="60">
        <f t="shared" si="100"/>
        <v>188.80444043778022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8">
        <f t="shared" si="56"/>
        <v>256.66666666666669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0" t="e">
        <f t="shared" si="55"/>
        <v>#NUM!</v>
      </c>
      <c r="S103" s="60">
        <f ca="1">AVERAGE(OFFSET($R$3,0,0,'Données projet'!$E$9+1,1))-AVERAGE(OFFSET($H$3,0,0,'Données projet'!$E$9+1,1))</f>
        <v>144.55635559713392</v>
      </c>
      <c r="T103" s="60">
        <f t="shared" si="88"/>
        <v>349.14692715126904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15.235529269704273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6.4100191780161624E-12</v>
      </c>
      <c r="AC103" s="24">
        <f t="shared" si="57"/>
        <v>15.235529269710684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302.99999999999983</v>
      </c>
      <c r="AJ103" s="14">
        <f>AI103*VLOOKUP('Données projet'!$B$10,Paramètres!$A$1:$I$89,3,0)*VLOOKUP('Données projet'!$B$10,Paramètres!$A$1:$I$89,5,0)</f>
        <v>274.15439999999984</v>
      </c>
      <c r="AK103" s="14">
        <f t="shared" si="89"/>
        <v>65.730152764515779</v>
      </c>
      <c r="AL103" s="22">
        <f t="shared" si="58"/>
        <v>591.9655960648646</v>
      </c>
      <c r="AM103" s="60">
        <f t="shared" si="59"/>
        <v>885.29892939819797</v>
      </c>
      <c r="AN103" s="60">
        <f ca="1">AVERAGE(OFFSET($AM$3,0,0,'Données projet'!$E$10+1,1))-AVERAGE(OFFSET($H$3,0,0,'Données projet'!$E$10+1,1))</f>
        <v>428.8489304403459</v>
      </c>
      <c r="AO103" s="60">
        <f t="shared" si="90"/>
        <v>247.01165577562966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303</v>
      </c>
      <c r="BB103" s="13">
        <f>VLOOKUP(A103,'Données projet'!$A$87:$I$107,9,0)</f>
        <v>4.9000000000000004</v>
      </c>
      <c r="BC103" s="13">
        <f t="array" ref="BC103">INDEX(BB:BB,MIN(IF(ISNUMBER(BB103:BB299),ROW(BB103:BB299),"")))</f>
        <v>4.9000000000000004</v>
      </c>
      <c r="BD103" s="13">
        <f>IF('Données projet'!$A$88&gt;35,BD102+BC103-BL102,IF(A103&lt;'Données projet'!$A$88,$BA$205^A103,IF(A103='Données projet'!$A$88,'Données projet'!$B$88,BD102+BC103-BL102)))</f>
        <v>302.99999999999983</v>
      </c>
      <c r="BE103" s="14">
        <f>BD103*VLOOKUP('Données projet'!$B$11,Paramètres!$A$1:$I$89,3,0)*VLOOKUP('Données projet'!$B$11,Paramètres!$A$1:$I$89,5,0)</f>
        <v>307.24199999999985</v>
      </c>
      <c r="BF103" s="14">
        <f t="shared" si="91"/>
        <v>72.692550770207774</v>
      </c>
      <c r="BG103" s="22">
        <f t="shared" si="61"/>
        <v>661.71934259144484</v>
      </c>
      <c r="BH103" s="60">
        <f t="shared" si="62"/>
        <v>955.05267592477821</v>
      </c>
      <c r="BI103" s="60">
        <f ca="1">AVERAGE(OFFSET($BH$3,0,0,'Données projet'!$E$11+1,1))-AVERAGE(OFFSET($H$3,0,0,'Données projet'!$E$11+1,1))</f>
        <v>475.47920969424894</v>
      </c>
      <c r="BJ103" s="60">
        <f t="shared" si="92"/>
        <v>271.73544012419364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42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170</v>
      </c>
      <c r="BW103" s="13">
        <f>VLOOKUP(A103,'Données projet'!$A$113:$I$133,9,0)</f>
        <v>3</v>
      </c>
      <c r="BX103" s="13">
        <f t="array" ref="BX103">INDEX(BW:BW,MIN(IF(ISNUMBER(BW103:BW299),ROW(BW103:BW299),"")))</f>
        <v>3</v>
      </c>
      <c r="BY103" s="13">
        <f>IF('Données projet'!$A$114&gt;35,BY102+BX103-CG102,IF(A103&lt;'Données projet'!$A$114,$BV$205^A103,IF(A103='Données projet'!$A$114,'Données projet'!$B$114,BY102+BX103-CG102)))</f>
        <v>170</v>
      </c>
      <c r="BZ103" s="14">
        <f>BY103*VLOOKUP('Données projet'!$B$12,Paramètres!$A$1:$I$89,3,0)*VLOOKUP('Données projet'!$B$12,Paramètres!$A$1:$I$89,5,0)</f>
        <v>164.42400000000001</v>
      </c>
      <c r="CA103" s="14">
        <f t="shared" si="93"/>
        <v>41.838771477410226</v>
      </c>
      <c r="CB103" s="22">
        <f t="shared" si="64"/>
        <v>359.24099365648948</v>
      </c>
      <c r="CC103" s="60">
        <f t="shared" si="65"/>
        <v>652.57432698982279</v>
      </c>
      <c r="CD103" s="60">
        <f ca="1">AVERAGE(OFFSET($CC$3,0,0,'Données projet'!$E$12+1,1))-AVERAGE(OFFSET($H$3,0,0,'Données projet'!$E$12+1,1))</f>
        <v>255.59755832175625</v>
      </c>
      <c r="CE103" s="60">
        <f t="shared" si="94"/>
        <v>154.0840647586964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170</v>
      </c>
      <c r="CR103" s="13">
        <f>VLOOKUP(A103,'Données projet'!$A$139:$I$159,9,0)</f>
        <v>3</v>
      </c>
      <c r="CS103" s="13">
        <f t="array" ref="CS103">INDEX(CR:CR,MIN(IF(ISNUMBER(CR103:CR299),ROW(CR103:CR299),"")))</f>
        <v>3</v>
      </c>
      <c r="CT103" s="13">
        <f>IF('Données projet'!$A$140&gt;35,CT102+CS103-DB102,IF(A103&lt;'Données projet'!$A$140,$CQ$205^A103,IF(A103='Données projet'!$A$140,'Données projet'!$B$140,CT102+CS103-DB102)))</f>
        <v>170</v>
      </c>
      <c r="CU103" s="18">
        <f>CT103*VLOOKUP('Données projet'!$B$13,Paramètres!$A$1:$I$89,3,0)*VLOOKUP('Données projet'!$B$13,Paramètres!$A$1:$I$89,5,0)</f>
        <v>182.988</v>
      </c>
      <c r="CV103" s="14">
        <f t="shared" si="95"/>
        <v>45.986322796524831</v>
      </c>
      <c r="CW103" s="22">
        <f t="shared" si="67"/>
        <v>398.79694553728069</v>
      </c>
      <c r="CX103" s="60">
        <f t="shared" si="68"/>
        <v>692.13027887061401</v>
      </c>
      <c r="CY103" s="60">
        <f ca="1">AVERAGE(OFFSET($CX$3,0,0,'Données projet'!$E$13+1,1))-AVERAGE(OFFSET($H$3,0,0,'Données projet'!$E$13+1,1))</f>
        <v>280.20599015000306</v>
      </c>
      <c r="CZ103" s="60">
        <f t="shared" si="96"/>
        <v>166.97658184507787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275.64102564102564</v>
      </c>
      <c r="DM103" s="13">
        <f>VLOOKUP(A103,'Données projet'!$A$165:$I$185,9,0)</f>
        <v>3.333333333333337</v>
      </c>
      <c r="DN103" s="13">
        <f t="array" ref="DN103">INDEX(DM:DM,MIN(IF(ISNUMBER(DM103:DM299),ROW(DM103:DM299),"")))</f>
        <v>3.333333333333337</v>
      </c>
      <c r="DO103" s="13">
        <f>IF('Données projet'!$A$166&gt;35,DO102+DN103-DW102,IF(A103&lt;'Données projet'!$A$166,$DL$205^A103,IF(A103='Données projet'!$A$166,'Données projet'!$B$166,DO102+DN103-DW102)))</f>
        <v>275.64102564102541</v>
      </c>
      <c r="DP103" s="18">
        <f>DO103*VLOOKUP('Données projet'!$B$14,Paramètres!$A$1:$I$89,3,0)*VLOOKUP('Données projet'!$B$14,Paramètres!$A$1:$I$89,5,0)</f>
        <v>184.89999999999984</v>
      </c>
      <c r="DQ103" s="14">
        <f t="shared" si="97"/>
        <v>46.410635962027825</v>
      </c>
      <c r="DR103" s="22">
        <f t="shared" si="70"/>
        <v>402.86602430053154</v>
      </c>
      <c r="DS103" s="60">
        <f t="shared" si="71"/>
        <v>696.19935763386479</v>
      </c>
      <c r="DT103" s="60">
        <f ca="1">AVERAGE(OFFSET($DS$3,0,0,'Données projet'!$E$14+1,1))-AVERAGE(OFFSET($H$3,0,0,'Données projet'!$E$14+1,1))</f>
        <v>291.18686311753402</v>
      </c>
      <c r="DU103" s="60">
        <f t="shared" si="98"/>
        <v>215.44422413249839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-1.9895196601282805E-13</v>
      </c>
      <c r="EK103" s="18">
        <f>EJ103*VLOOKUP('Données projet'!$B$15,Paramètres!$A$1:$I$89,3,0)*VLOOKUP('Données projet'!$B$15,Paramètres!$A$1:$I$89,5,0)</f>
        <v>-1.6138983482960614E-13</v>
      </c>
      <c r="EL103" s="14" t="e">
        <f t="shared" si="99"/>
        <v>#NUM!</v>
      </c>
      <c r="EM103" s="22" t="e">
        <f t="shared" si="73"/>
        <v>#NUM!</v>
      </c>
      <c r="EN103" s="60" t="e">
        <f t="shared" si="74"/>
        <v>#NUM!</v>
      </c>
      <c r="EO103" s="60">
        <f ca="1">AVERAGE(OFFSET($EN$3,0,0,'Données projet'!$E$15+1,1))-AVERAGE(OFFSET($H$3,0,0,'Données projet'!$E$15+1,1))</f>
        <v>236.22643401787644</v>
      </c>
      <c r="EP103" s="60">
        <f t="shared" si="100"/>
        <v>188.80444043778022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8">
        <f t="shared" si="56"/>
        <v>256.66666666666669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0" t="e">
        <f t="shared" si="55"/>
        <v>#NUM!</v>
      </c>
      <c r="S104" s="60">
        <f ca="1">AVERAGE(OFFSET($R$3,0,0,'Données projet'!$E$9+1,1))-AVERAGE(OFFSET($H$3,0,0,'Données projet'!$E$9+1,1))</f>
        <v>144.55635559713392</v>
      </c>
      <c r="T104" s="60">
        <f t="shared" si="88"/>
        <v>349.14692715126904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14.936769833480643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4.5325680283110477E-12</v>
      </c>
      <c r="AC104" s="24">
        <f t="shared" si="57"/>
        <v>14.936769833485176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265.39999999999981</v>
      </c>
      <c r="AJ104" s="14">
        <f>AI104*VLOOKUP('Données projet'!$B$10,Paramètres!$A$1:$I$89,3,0)*VLOOKUP('Données projet'!$B$10,Paramètres!$A$1:$I$89,5,0)</f>
        <v>240.13391999999982</v>
      </c>
      <c r="AK104" s="14">
        <f t="shared" si="89"/>
        <v>58.468343087048559</v>
      </c>
      <c r="AL104" s="22">
        <f t="shared" si="58"/>
        <v>520.06560820994252</v>
      </c>
      <c r="AM104" s="60">
        <f t="shared" si="59"/>
        <v>813.3989415432759</v>
      </c>
      <c r="AN104" s="60">
        <f ca="1">AVERAGE(OFFSET($AM$3,0,0,'Données projet'!$E$10+1,1))-AVERAGE(OFFSET($H$3,0,0,'Données projet'!$E$10+1,1))</f>
        <v>428.8489304403459</v>
      </c>
      <c r="AO104" s="60">
        <f t="shared" si="90"/>
        <v>247.01165577562966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265.39999999999981</v>
      </c>
      <c r="BE104" s="14">
        <f>BD104*VLOOKUP('Données projet'!$B$11,Paramètres!$A$1:$I$89,3,0)*VLOOKUP('Données projet'!$B$11,Paramètres!$A$1:$I$89,5,0)</f>
        <v>269.1155999999998</v>
      </c>
      <c r="BF104" s="14">
        <f t="shared" si="91"/>
        <v>64.661541462287076</v>
      </c>
      <c r="BG104" s="22">
        <f t="shared" si="61"/>
        <v>581.3285213801496</v>
      </c>
      <c r="BH104" s="60">
        <f t="shared" si="62"/>
        <v>874.66185471348285</v>
      </c>
      <c r="BI104" s="60">
        <f ca="1">AVERAGE(OFFSET($BH$3,0,0,'Données projet'!$E$11+1,1))-AVERAGE(OFFSET($H$3,0,0,'Données projet'!$E$11+1,1))</f>
        <v>475.47920969424894</v>
      </c>
      <c r="BJ104" s="60">
        <f t="shared" si="92"/>
        <v>271.73544012419364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2.8</v>
      </c>
      <c r="BY104" s="13">
        <f>IF('Données projet'!$A$114&gt;35,BY103+BX104-CG103,IF(A104&lt;'Données projet'!$A$114,$BV$205^A104,IF(A104='Données projet'!$A$114,'Données projet'!$B$114,BY103+BX104-CG103)))</f>
        <v>172.8</v>
      </c>
      <c r="BZ104" s="14">
        <f>BY104*VLOOKUP('Données projet'!$B$12,Paramètres!$A$1:$I$89,3,0)*VLOOKUP('Données projet'!$B$12,Paramètres!$A$1:$I$89,5,0)</f>
        <v>167.13216000000003</v>
      </c>
      <c r="CA104" s="14">
        <f t="shared" si="93"/>
        <v>42.447088211746923</v>
      </c>
      <c r="CB104" s="22">
        <f t="shared" si="64"/>
        <v>365.01719063545926</v>
      </c>
      <c r="CC104" s="60">
        <f t="shared" si="65"/>
        <v>658.35052396879257</v>
      </c>
      <c r="CD104" s="60">
        <f ca="1">AVERAGE(OFFSET($CC$3,0,0,'Données projet'!$E$12+1,1))-AVERAGE(OFFSET($H$3,0,0,'Données projet'!$E$12+1,1))</f>
        <v>255.59755832175625</v>
      </c>
      <c r="CE104" s="60">
        <f t="shared" si="94"/>
        <v>154.0840647586964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2.8</v>
      </c>
      <c r="CT104" s="13">
        <f>IF('Données projet'!$A$140&gt;35,CT103+CS104-DB103,IF(A104&lt;'Données projet'!$A$140,$CQ$205^A104,IF(A104='Données projet'!$A$140,'Données projet'!$B$140,CT103+CS104-DB103)))</f>
        <v>172.8</v>
      </c>
      <c r="CU104" s="18">
        <f>CT104*VLOOKUP('Données projet'!$B$13,Paramètres!$A$1:$I$89,3,0)*VLOOKUP('Données projet'!$B$13,Paramètres!$A$1:$I$89,5,0)</f>
        <v>186.00192000000001</v>
      </c>
      <c r="CV104" s="14">
        <f t="shared" si="95"/>
        <v>46.654943043246</v>
      </c>
      <c r="CW104" s="22">
        <f t="shared" si="67"/>
        <v>405.21070313365345</v>
      </c>
      <c r="CX104" s="60">
        <f t="shared" si="68"/>
        <v>698.54403646698677</v>
      </c>
      <c r="CY104" s="60">
        <f ca="1">AVERAGE(OFFSET($CX$3,0,0,'Données projet'!$E$13+1,1))-AVERAGE(OFFSET($H$3,0,0,'Données projet'!$E$13+1,1))</f>
        <v>280.20599015000306</v>
      </c>
      <c r="CZ104" s="60">
        <f t="shared" si="96"/>
        <v>166.97658184507787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3.0769230769230718</v>
      </c>
      <c r="DO104" s="13">
        <f>IF('Données projet'!$A$166&gt;35,DO103+DN104-DW103,IF(A104&lt;'Données projet'!$A$166,$DL$205^A104,IF(A104='Données projet'!$A$166,'Données projet'!$B$166,DO103+DN104-DW103)))</f>
        <v>278.7179487179485</v>
      </c>
      <c r="DP104" s="18">
        <f>DO104*VLOOKUP('Données projet'!$B$14,Paramètres!$A$1:$I$89,3,0)*VLOOKUP('Données projet'!$B$14,Paramètres!$A$1:$I$89,5,0)</f>
        <v>186.96399999999986</v>
      </c>
      <c r="DQ104" s="14">
        <f t="shared" si="97"/>
        <v>46.868108399160732</v>
      </c>
      <c r="DR104" s="22">
        <f t="shared" si="70"/>
        <v>407.25758879520464</v>
      </c>
      <c r="DS104" s="60">
        <f t="shared" si="71"/>
        <v>700.59092212853795</v>
      </c>
      <c r="DT104" s="60">
        <f ca="1">AVERAGE(OFFSET($DS$3,0,0,'Données projet'!$E$14+1,1))-AVERAGE(OFFSET($H$3,0,0,'Données projet'!$E$14+1,1))</f>
        <v>291.18686311753402</v>
      </c>
      <c r="DU104" s="60">
        <f t="shared" si="98"/>
        <v>215.44422413249839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-1.9895196601282805E-13</v>
      </c>
      <c r="EK104" s="18">
        <f>EJ104*VLOOKUP('Données projet'!$B$15,Paramètres!$A$1:$I$89,3,0)*VLOOKUP('Données projet'!$B$15,Paramètres!$A$1:$I$89,5,0)</f>
        <v>-1.6138983482960614E-13</v>
      </c>
      <c r="EL104" s="14" t="e">
        <f t="shared" si="99"/>
        <v>#NUM!</v>
      </c>
      <c r="EM104" s="22" t="e">
        <f t="shared" si="73"/>
        <v>#NUM!</v>
      </c>
      <c r="EN104" s="60" t="e">
        <f t="shared" si="74"/>
        <v>#NUM!</v>
      </c>
      <c r="EO104" s="60">
        <f ca="1">AVERAGE(OFFSET($EN$3,0,0,'Données projet'!$E$15+1,1))-AVERAGE(OFFSET($H$3,0,0,'Données projet'!$E$15+1,1))</f>
        <v>236.22643401787644</v>
      </c>
      <c r="EP104" s="60">
        <f t="shared" si="100"/>
        <v>188.80444043778022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8">
        <f t="shared" si="56"/>
        <v>256.66666666666669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0" t="e">
        <f t="shared" si="55"/>
        <v>#NUM!</v>
      </c>
      <c r="S105" s="60">
        <f ca="1">AVERAGE(OFFSET($R$3,0,0,'Données projet'!$E$9+1,1))-AVERAGE(OFFSET($H$3,0,0,'Données projet'!$E$9+1,1))</f>
        <v>144.55635559713392</v>
      </c>
      <c r="T105" s="60">
        <f t="shared" si="88"/>
        <v>349.14692715126904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14.643868887576096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3.2050095890080812E-12</v>
      </c>
      <c r="AC105" s="24">
        <f t="shared" si="57"/>
        <v>14.6438688875793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269.79999999999978</v>
      </c>
      <c r="AJ105" s="14">
        <f>AI105*VLOOKUP('Données projet'!$B$10,Paramètres!$A$1:$I$89,3,0)*VLOOKUP('Données projet'!$B$10,Paramètres!$A$1:$I$89,5,0)</f>
        <v>244.11503999999979</v>
      </c>
      <c r="AK105" s="14">
        <f t="shared" si="89"/>
        <v>59.324023461759012</v>
      </c>
      <c r="AL105" s="22">
        <f t="shared" si="58"/>
        <v>528.48970219589648</v>
      </c>
      <c r="AM105" s="60">
        <f t="shared" si="59"/>
        <v>821.82303552922986</v>
      </c>
      <c r="AN105" s="60">
        <f ca="1">AVERAGE(OFFSET($AM$3,0,0,'Données projet'!$E$10+1,1))-AVERAGE(OFFSET($H$3,0,0,'Données projet'!$E$10+1,1))</f>
        <v>428.8489304403459</v>
      </c>
      <c r="AO105" s="60">
        <f t="shared" si="90"/>
        <v>247.01165577562966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269.79999999999978</v>
      </c>
      <c r="BE105" s="14">
        <f>BD105*VLOOKUP('Données projet'!$B$11,Paramètres!$A$1:$I$89,3,0)*VLOOKUP('Données projet'!$B$11,Paramètres!$A$1:$I$89,5,0)</f>
        <v>273.57719999999978</v>
      </c>
      <c r="BF105" s="14">
        <f t="shared" si="91"/>
        <v>65.60785888991505</v>
      </c>
      <c r="BG105" s="22">
        <f t="shared" si="61"/>
        <v>590.74731089993509</v>
      </c>
      <c r="BH105" s="60">
        <f t="shared" si="62"/>
        <v>884.08064423326846</v>
      </c>
      <c r="BI105" s="60">
        <f ca="1">AVERAGE(OFFSET($BH$3,0,0,'Données projet'!$E$11+1,1))-AVERAGE(OFFSET($H$3,0,0,'Données projet'!$E$11+1,1))</f>
        <v>475.47920969424894</v>
      </c>
      <c r="BJ105" s="60">
        <f t="shared" si="92"/>
        <v>271.73544012419364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2.8</v>
      </c>
      <c r="BY105" s="13">
        <f>IF('Données projet'!$A$114&gt;35,BY104+BX105-CG104,IF(A105&lt;'Données projet'!$A$114,$BV$205^A105,IF(A105='Données projet'!$A$114,'Données projet'!$B$114,BY104+BX105-CG104)))</f>
        <v>175.60000000000002</v>
      </c>
      <c r="BZ105" s="14">
        <f>BY105*VLOOKUP('Données projet'!$B$12,Paramètres!$A$1:$I$89,3,0)*VLOOKUP('Données projet'!$B$12,Paramètres!$A$1:$I$89,5,0)</f>
        <v>169.84032000000002</v>
      </c>
      <c r="CA105" s="14">
        <f t="shared" si="93"/>
        <v>43.054258621433533</v>
      </c>
      <c r="CB105" s="22">
        <f t="shared" si="64"/>
        <v>370.79139109899671</v>
      </c>
      <c r="CC105" s="60">
        <f t="shared" si="65"/>
        <v>664.12472443233003</v>
      </c>
      <c r="CD105" s="60">
        <f ca="1">AVERAGE(OFFSET($CC$3,0,0,'Données projet'!$E$12+1,1))-AVERAGE(OFFSET($H$3,0,0,'Données projet'!$E$12+1,1))</f>
        <v>255.59755832175625</v>
      </c>
      <c r="CE105" s="60">
        <f t="shared" si="94"/>
        <v>154.0840647586964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2.8</v>
      </c>
      <c r="CT105" s="13">
        <f>IF('Données projet'!$A$140&gt;35,CT104+CS105-DB104,IF(A105&lt;'Données projet'!$A$140,$CQ$205^A105,IF(A105='Données projet'!$A$140,'Données projet'!$B$140,CT104+CS105-DB104)))</f>
        <v>175.60000000000002</v>
      </c>
      <c r="CU105" s="18">
        <f>CT105*VLOOKUP('Données projet'!$B$13,Paramètres!$A$1:$I$89,3,0)*VLOOKUP('Données projet'!$B$13,Paramètres!$A$1:$I$89,5,0)</f>
        <v>189.01584</v>
      </c>
      <c r="CV105" s="14">
        <f t="shared" si="95"/>
        <v>47.322303328129664</v>
      </c>
      <c r="CW105" s="22">
        <f t="shared" si="67"/>
        <v>411.62226629649246</v>
      </c>
      <c r="CX105" s="60">
        <f t="shared" si="68"/>
        <v>704.95559962982577</v>
      </c>
      <c r="CY105" s="60">
        <f ca="1">AVERAGE(OFFSET($CX$3,0,0,'Données projet'!$E$13+1,1))-AVERAGE(OFFSET($H$3,0,0,'Données projet'!$E$13+1,1))</f>
        <v>280.20599015000306</v>
      </c>
      <c r="CZ105" s="60">
        <f t="shared" si="96"/>
        <v>166.97658184507787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3.0769230769230718</v>
      </c>
      <c r="DO105" s="13">
        <f>IF('Données projet'!$A$166&gt;35,DO104+DN105-DW104,IF(A105&lt;'Données projet'!$A$166,$DL$205^A105,IF(A105='Données projet'!$A$166,'Données projet'!$B$166,DO104+DN105-DW104)))</f>
        <v>281.7948717948716</v>
      </c>
      <c r="DP105" s="18">
        <f>DO105*VLOOKUP('Données projet'!$B$14,Paramètres!$A$1:$I$89,3,0)*VLOOKUP('Données projet'!$B$14,Paramètres!$A$1:$I$89,5,0)</f>
        <v>189.02799999999988</v>
      </c>
      <c r="DQ105" s="14">
        <f t="shared" si="97"/>
        <v>47.324993347023778</v>
      </c>
      <c r="DR105" s="22">
        <f t="shared" si="70"/>
        <v>411.64813007939955</v>
      </c>
      <c r="DS105" s="60">
        <f t="shared" si="71"/>
        <v>704.98146341273286</v>
      </c>
      <c r="DT105" s="60">
        <f ca="1">AVERAGE(OFFSET($DS$3,0,0,'Données projet'!$E$14+1,1))-AVERAGE(OFFSET($H$3,0,0,'Données projet'!$E$14+1,1))</f>
        <v>291.18686311753402</v>
      </c>
      <c r="DU105" s="60">
        <f t="shared" si="98"/>
        <v>215.44422413249839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-1.9895196601282805E-13</v>
      </c>
      <c r="EK105" s="18">
        <f>EJ105*VLOOKUP('Données projet'!$B$15,Paramètres!$A$1:$I$89,3,0)*VLOOKUP('Données projet'!$B$15,Paramètres!$A$1:$I$89,5,0)</f>
        <v>-1.6138983482960614E-13</v>
      </c>
      <c r="EL105" s="14" t="e">
        <f t="shared" si="99"/>
        <v>#NUM!</v>
      </c>
      <c r="EM105" s="22" t="e">
        <f t="shared" si="73"/>
        <v>#NUM!</v>
      </c>
      <c r="EN105" s="60" t="e">
        <f t="shared" si="74"/>
        <v>#NUM!</v>
      </c>
      <c r="EO105" s="60">
        <f ca="1">AVERAGE(OFFSET($EN$3,0,0,'Données projet'!$E$15+1,1))-AVERAGE(OFFSET($H$3,0,0,'Données projet'!$E$15+1,1))</f>
        <v>236.22643401787644</v>
      </c>
      <c r="EP105" s="60">
        <f t="shared" si="100"/>
        <v>188.80444043778022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8">
        <f t="shared" si="56"/>
        <v>256.66666666666669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0" t="e">
        <f t="shared" si="55"/>
        <v>#NUM!</v>
      </c>
      <c r="S106" s="60">
        <f ca="1">AVERAGE(OFFSET($R$3,0,0,'Données projet'!$E$9+1,1))-AVERAGE(OFFSET($H$3,0,0,'Données projet'!$E$9+1,1))</f>
        <v>144.55635559713392</v>
      </c>
      <c r="T106" s="60">
        <f t="shared" si="88"/>
        <v>349.14692715126904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14.3567115505688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2.2662840141555238E-12</v>
      </c>
      <c r="AC106" s="24">
        <f t="shared" si="57"/>
        <v>14.356711550571067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274.19999999999976</v>
      </c>
      <c r="AJ106" s="14">
        <f>AI106*VLOOKUP('Données projet'!$B$10,Paramètres!$A$1:$I$89,3,0)*VLOOKUP('Données projet'!$B$10,Paramètres!$A$1:$I$89,5,0)</f>
        <v>248.0961599999998</v>
      </c>
      <c r="AK106" s="14">
        <f t="shared" si="89"/>
        <v>60.178080967364686</v>
      </c>
      <c r="AL106" s="22">
        <f t="shared" si="58"/>
        <v>536.91096968482657</v>
      </c>
      <c r="AM106" s="60">
        <f t="shared" si="59"/>
        <v>830.24430301815983</v>
      </c>
      <c r="AN106" s="60">
        <f ca="1">AVERAGE(OFFSET($AM$3,0,0,'Données projet'!$E$10+1,1))-AVERAGE(OFFSET($H$3,0,0,'Données projet'!$E$10+1,1))</f>
        <v>428.8489304403459</v>
      </c>
      <c r="AO106" s="60">
        <f t="shared" si="90"/>
        <v>247.01165577562966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274.19999999999976</v>
      </c>
      <c r="BE106" s="14">
        <f>BD106*VLOOKUP('Données projet'!$B$11,Paramètres!$A$1:$I$89,3,0)*VLOOKUP('Données projet'!$B$11,Paramètres!$A$1:$I$89,5,0)</f>
        <v>278.03879999999975</v>
      </c>
      <c r="BF106" s="14">
        <f t="shared" si="91"/>
        <v>66.552381547717744</v>
      </c>
      <c r="BG106" s="22">
        <f t="shared" si="61"/>
        <v>600.16297452894128</v>
      </c>
      <c r="BH106" s="60">
        <f t="shared" si="62"/>
        <v>893.49630786227453</v>
      </c>
      <c r="BI106" s="60">
        <f ca="1">AVERAGE(OFFSET($BH$3,0,0,'Données projet'!$E$11+1,1))-AVERAGE(OFFSET($H$3,0,0,'Données projet'!$E$11+1,1))</f>
        <v>475.47920969424894</v>
      </c>
      <c r="BJ106" s="60">
        <f t="shared" si="92"/>
        <v>271.73544012419364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2.8</v>
      </c>
      <c r="BY106" s="13">
        <f>IF('Données projet'!$A$114&gt;35,BY105+BX106-CG105,IF(A106&lt;'Données projet'!$A$114,$BV$205^A106,IF(A106='Données projet'!$A$114,'Données projet'!$B$114,BY105+BX106-CG105)))</f>
        <v>178.40000000000003</v>
      </c>
      <c r="BZ106" s="14">
        <f>BY106*VLOOKUP('Données projet'!$B$12,Paramètres!$A$1:$I$89,3,0)*VLOOKUP('Données projet'!$B$12,Paramètres!$A$1:$I$89,5,0)</f>
        <v>172.54848000000004</v>
      </c>
      <c r="CA106" s="14">
        <f t="shared" si="93"/>
        <v>43.6603030954305</v>
      </c>
      <c r="CB106" s="22">
        <f t="shared" si="64"/>
        <v>376.56363055787483</v>
      </c>
      <c r="CC106" s="60">
        <f t="shared" si="65"/>
        <v>669.89696389120809</v>
      </c>
      <c r="CD106" s="60">
        <f ca="1">AVERAGE(OFFSET($CC$3,0,0,'Données projet'!$E$12+1,1))-AVERAGE(OFFSET($H$3,0,0,'Données projet'!$E$12+1,1))</f>
        <v>255.59755832175625</v>
      </c>
      <c r="CE106" s="60">
        <f t="shared" si="94"/>
        <v>154.0840647586964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2.8</v>
      </c>
      <c r="CT106" s="13">
        <f>IF('Données projet'!$A$140&gt;35,CT105+CS106-DB105,IF(A106&lt;'Données projet'!$A$140,$CQ$205^A106,IF(A106='Données projet'!$A$140,'Données projet'!$B$140,CT105+CS106-DB105)))</f>
        <v>178.40000000000003</v>
      </c>
      <c r="CU106" s="18">
        <f>CT106*VLOOKUP('Données projet'!$B$13,Paramètres!$A$1:$I$89,3,0)*VLOOKUP('Données projet'!$B$13,Paramètres!$A$1:$I$89,5,0)</f>
        <v>192.02976000000004</v>
      </c>
      <c r="CV106" s="14">
        <f t="shared" si="95"/>
        <v>47.988426061329989</v>
      </c>
      <c r="CW106" s="22">
        <f t="shared" si="67"/>
        <v>418.03167405681643</v>
      </c>
      <c r="CX106" s="60">
        <f t="shared" si="68"/>
        <v>711.36500739014969</v>
      </c>
      <c r="CY106" s="60">
        <f ca="1">AVERAGE(OFFSET($CX$3,0,0,'Données projet'!$E$13+1,1))-AVERAGE(OFFSET($H$3,0,0,'Données projet'!$E$13+1,1))</f>
        <v>280.20599015000306</v>
      </c>
      <c r="CZ106" s="60">
        <f t="shared" si="96"/>
        <v>166.97658184507787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3.0769230769230718</v>
      </c>
      <c r="DO106" s="13">
        <f>IF('Données projet'!$A$166&gt;35,DO105+DN106-DW105,IF(A106&lt;'Données projet'!$A$166,$DL$205^A106,IF(A106='Données projet'!$A$166,'Données projet'!$B$166,DO105+DN106-DW105)))</f>
        <v>284.87179487179469</v>
      </c>
      <c r="DP106" s="18">
        <f>DO106*VLOOKUP('Données projet'!$B$14,Paramètres!$A$1:$I$89,3,0)*VLOOKUP('Données projet'!$B$14,Paramètres!$A$1:$I$89,5,0)</f>
        <v>191.09199999999987</v>
      </c>
      <c r="DQ106" s="14">
        <f t="shared" si="97"/>
        <v>47.781297962842437</v>
      </c>
      <c r="DR106" s="22">
        <f t="shared" si="70"/>
        <v>416.03766061861705</v>
      </c>
      <c r="DS106" s="60">
        <f t="shared" si="71"/>
        <v>709.37099395195037</v>
      </c>
      <c r="DT106" s="60">
        <f ca="1">AVERAGE(OFFSET($DS$3,0,0,'Données projet'!$E$14+1,1))-AVERAGE(OFFSET($H$3,0,0,'Données projet'!$E$14+1,1))</f>
        <v>291.18686311753402</v>
      </c>
      <c r="DU106" s="60">
        <f t="shared" si="98"/>
        <v>215.44422413249839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-1.9895196601282805E-13</v>
      </c>
      <c r="EK106" s="18">
        <f>EJ106*VLOOKUP('Données projet'!$B$15,Paramètres!$A$1:$I$89,3,0)*VLOOKUP('Données projet'!$B$15,Paramètres!$A$1:$I$89,5,0)</f>
        <v>-1.6138983482960614E-13</v>
      </c>
      <c r="EL106" s="14" t="e">
        <f t="shared" si="99"/>
        <v>#NUM!</v>
      </c>
      <c r="EM106" s="22" t="e">
        <f t="shared" si="73"/>
        <v>#NUM!</v>
      </c>
      <c r="EN106" s="60" t="e">
        <f t="shared" si="74"/>
        <v>#NUM!</v>
      </c>
      <c r="EO106" s="60">
        <f ca="1">AVERAGE(OFFSET($EN$3,0,0,'Données projet'!$E$15+1,1))-AVERAGE(OFFSET($H$3,0,0,'Données projet'!$E$15+1,1))</f>
        <v>236.22643401787644</v>
      </c>
      <c r="EP106" s="60">
        <f t="shared" si="100"/>
        <v>188.80444043778022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8">
        <f t="shared" si="56"/>
        <v>256.66666666666669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0" t="e">
        <f t="shared" si="55"/>
        <v>#NUM!</v>
      </c>
      <c r="S107" s="60">
        <f ca="1">AVERAGE(OFFSET($R$3,0,0,'Données projet'!$E$9+1,1))-AVERAGE(OFFSET($H$3,0,0,'Données projet'!$E$9+1,1))</f>
        <v>144.55635559713392</v>
      </c>
      <c r="T107" s="60">
        <f t="shared" si="88"/>
        <v>349.14692715126904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14.075185193791537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1.6025047945040406E-12</v>
      </c>
      <c r="AC107" s="24">
        <f t="shared" si="57"/>
        <v>14.075185193793139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278.59999999999974</v>
      </c>
      <c r="AJ107" s="14">
        <f>AI107*VLOOKUP('Données projet'!$B$10,Paramètres!$A$1:$I$89,3,0)*VLOOKUP('Données projet'!$B$10,Paramètres!$A$1:$I$89,5,0)</f>
        <v>252.07727999999975</v>
      </c>
      <c r="AK107" s="14">
        <f t="shared" si="89"/>
        <v>61.03054465215493</v>
      </c>
      <c r="AL107" s="22">
        <f t="shared" si="58"/>
        <v>545.32946126916943</v>
      </c>
      <c r="AM107" s="60">
        <f t="shared" si="59"/>
        <v>838.6627946025028</v>
      </c>
      <c r="AN107" s="60">
        <f ca="1">AVERAGE(OFFSET($AM$3,0,0,'Données projet'!$E$10+1,1))-AVERAGE(OFFSET($H$3,0,0,'Données projet'!$E$10+1,1))</f>
        <v>428.8489304403459</v>
      </c>
      <c r="AO107" s="60">
        <f t="shared" si="90"/>
        <v>247.01165577562966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278.59999999999974</v>
      </c>
      <c r="BE107" s="14">
        <f>BD107*VLOOKUP('Données projet'!$B$11,Paramètres!$A$1:$I$89,3,0)*VLOOKUP('Données projet'!$B$11,Paramètres!$A$1:$I$89,5,0)</f>
        <v>282.50039999999973</v>
      </c>
      <c r="BF107" s="14">
        <f t="shared" si="91"/>
        <v>67.495141560894311</v>
      </c>
      <c r="BG107" s="22">
        <f t="shared" si="61"/>
        <v>609.57556821855712</v>
      </c>
      <c r="BH107" s="60">
        <f t="shared" si="62"/>
        <v>902.90890155189049</v>
      </c>
      <c r="BI107" s="60">
        <f ca="1">AVERAGE(OFFSET($BH$3,0,0,'Données projet'!$E$11+1,1))-AVERAGE(OFFSET($H$3,0,0,'Données projet'!$E$11+1,1))</f>
        <v>475.47920969424894</v>
      </c>
      <c r="BJ107" s="60">
        <f t="shared" si="92"/>
        <v>271.73544012419364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2.8</v>
      </c>
      <c r="BY107" s="13">
        <f>IF('Données projet'!$A$114&gt;35,BY106+BX107-CG106,IF(A107&lt;'Données projet'!$A$114,$BV$205^A107,IF(A107='Données projet'!$A$114,'Données projet'!$B$114,BY106+BX107-CG106)))</f>
        <v>181.20000000000005</v>
      </c>
      <c r="BZ107" s="14">
        <f>BY107*VLOOKUP('Données projet'!$B$12,Paramètres!$A$1:$I$89,3,0)*VLOOKUP('Données projet'!$B$12,Paramètres!$A$1:$I$89,5,0)</f>
        <v>175.25664000000003</v>
      </c>
      <c r="CA107" s="14">
        <f t="shared" si="93"/>
        <v>44.265241345972555</v>
      </c>
      <c r="CB107" s="22">
        <f t="shared" si="64"/>
        <v>382.33394334423559</v>
      </c>
      <c r="CC107" s="60">
        <f t="shared" si="65"/>
        <v>675.66727667756891</v>
      </c>
      <c r="CD107" s="60">
        <f ca="1">AVERAGE(OFFSET($CC$3,0,0,'Données projet'!$E$12+1,1))-AVERAGE(OFFSET($H$3,0,0,'Données projet'!$E$12+1,1))</f>
        <v>255.59755832175625</v>
      </c>
      <c r="CE107" s="60">
        <f t="shared" si="94"/>
        <v>154.0840647586964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2.8</v>
      </c>
      <c r="CT107" s="13">
        <f>IF('Données projet'!$A$140&gt;35,CT106+CS107-DB106,IF(A107&lt;'Données projet'!$A$140,$CQ$205^A107,IF(A107='Données projet'!$A$140,'Données projet'!$B$140,CT106+CS107-DB106)))</f>
        <v>181.20000000000005</v>
      </c>
      <c r="CU107" s="18">
        <f>CT107*VLOOKUP('Données projet'!$B$13,Paramètres!$A$1:$I$89,3,0)*VLOOKUP('Données projet'!$B$13,Paramètres!$A$1:$I$89,5,0)</f>
        <v>195.04368000000005</v>
      </c>
      <c r="CV107" s="14">
        <f t="shared" si="95"/>
        <v>48.653332909190283</v>
      </c>
      <c r="CW107" s="22">
        <f t="shared" si="67"/>
        <v>424.43896415017315</v>
      </c>
      <c r="CX107" s="60">
        <f t="shared" si="68"/>
        <v>717.77229748350646</v>
      </c>
      <c r="CY107" s="60">
        <f ca="1">AVERAGE(OFFSET($CX$3,0,0,'Données projet'!$E$13+1,1))-AVERAGE(OFFSET($H$3,0,0,'Données projet'!$E$13+1,1))</f>
        <v>280.20599015000306</v>
      </c>
      <c r="CZ107" s="60">
        <f t="shared" si="96"/>
        <v>166.97658184507787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3.0769230769230718</v>
      </c>
      <c r="DO107" s="13">
        <f>IF('Données projet'!$A$166&gt;35,DO106+DN107-DW106,IF(A107&lt;'Données projet'!$A$166,$DL$205^A107,IF(A107='Données projet'!$A$166,'Données projet'!$B$166,DO106+DN107-DW106)))</f>
        <v>287.94871794871779</v>
      </c>
      <c r="DP107" s="18">
        <f>DO107*VLOOKUP('Données projet'!$B$14,Paramètres!$A$1:$I$89,3,0)*VLOOKUP('Données projet'!$B$14,Paramètres!$A$1:$I$89,5,0)</f>
        <v>193.15599999999989</v>
      </c>
      <c r="DQ107" s="14">
        <f t="shared" si="97"/>
        <v>48.237029240325811</v>
      </c>
      <c r="DR107" s="22">
        <f t="shared" si="70"/>
        <v>420.42619259356724</v>
      </c>
      <c r="DS107" s="60">
        <f t="shared" si="71"/>
        <v>713.75952592690055</v>
      </c>
      <c r="DT107" s="60">
        <f ca="1">AVERAGE(OFFSET($DS$3,0,0,'Données projet'!$E$14+1,1))-AVERAGE(OFFSET($H$3,0,0,'Données projet'!$E$14+1,1))</f>
        <v>291.18686311753402</v>
      </c>
      <c r="DU107" s="60">
        <f t="shared" si="98"/>
        <v>215.44422413249839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-1.9895196601282805E-13</v>
      </c>
      <c r="EK107" s="18">
        <f>EJ107*VLOOKUP('Données projet'!$B$15,Paramètres!$A$1:$I$89,3,0)*VLOOKUP('Données projet'!$B$15,Paramètres!$A$1:$I$89,5,0)</f>
        <v>-1.6138983482960614E-13</v>
      </c>
      <c r="EL107" s="14" t="e">
        <f t="shared" si="99"/>
        <v>#NUM!</v>
      </c>
      <c r="EM107" s="22" t="e">
        <f t="shared" si="73"/>
        <v>#NUM!</v>
      </c>
      <c r="EN107" s="60" t="e">
        <f t="shared" si="74"/>
        <v>#NUM!</v>
      </c>
      <c r="EO107" s="60">
        <f ca="1">AVERAGE(OFFSET($EN$3,0,0,'Données projet'!$E$15+1,1))-AVERAGE(OFFSET($H$3,0,0,'Données projet'!$E$15+1,1))</f>
        <v>236.22643401787644</v>
      </c>
      <c r="EP107" s="60">
        <f t="shared" si="100"/>
        <v>188.80444043778022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8">
        <f t="shared" si="56"/>
        <v>256.66666666666669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0" t="e">
        <f t="shared" si="55"/>
        <v>#NUM!</v>
      </c>
      <c r="S108" s="60">
        <f ca="1">AVERAGE(OFFSET($R$3,0,0,'Données projet'!$E$9+1,1))-AVERAGE(OFFSET($H$3,0,0,'Données projet'!$E$9+1,1))</f>
        <v>144.55635559713392</v>
      </c>
      <c r="T108" s="60">
        <f t="shared" si="88"/>
        <v>349.14692715126904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13.799179397156554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1.1331420070777619E-12</v>
      </c>
      <c r="AC108" s="24">
        <f t="shared" si="57"/>
        <v>13.799179397157687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282.99999999999972</v>
      </c>
      <c r="AJ108" s="14">
        <f>AI108*VLOOKUP('Données projet'!$B$10,Paramètres!$A$1:$I$89,3,0)*VLOOKUP('Données projet'!$B$10,Paramètres!$A$1:$I$89,5,0)</f>
        <v>256.05839999999972</v>
      </c>
      <c r="AK108" s="14">
        <f t="shared" si="89"/>
        <v>61.881442594256434</v>
      </c>
      <c r="AL108" s="22">
        <f t="shared" si="58"/>
        <v>553.74522585166278</v>
      </c>
      <c r="AM108" s="60">
        <f t="shared" si="59"/>
        <v>847.07855918499604</v>
      </c>
      <c r="AN108" s="60">
        <f ca="1">AVERAGE(OFFSET($AM$3,0,0,'Données projet'!$E$10+1,1))-AVERAGE(OFFSET($H$3,0,0,'Données projet'!$E$10+1,1))</f>
        <v>428.8489304403459</v>
      </c>
      <c r="AO108" s="60">
        <f t="shared" si="90"/>
        <v>247.01165577562966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282.99999999999972</v>
      </c>
      <c r="BE108" s="14">
        <f>BD108*VLOOKUP('Données projet'!$B$11,Paramètres!$A$1:$I$89,3,0)*VLOOKUP('Données projet'!$B$11,Paramètres!$A$1:$I$89,5,0)</f>
        <v>286.9619999999997</v>
      </c>
      <c r="BF108" s="14">
        <f t="shared" si="91"/>
        <v>68.436169981717796</v>
      </c>
      <c r="BG108" s="22">
        <f t="shared" si="61"/>
        <v>618.98514605149137</v>
      </c>
      <c r="BH108" s="60">
        <f t="shared" si="62"/>
        <v>912.31847938482474</v>
      </c>
      <c r="BI108" s="60">
        <f ca="1">AVERAGE(OFFSET($BH$3,0,0,'Données projet'!$E$11+1,1))-AVERAGE(OFFSET($H$3,0,0,'Données projet'!$E$11+1,1))</f>
        <v>475.47920969424894</v>
      </c>
      <c r="BJ108" s="60">
        <f t="shared" si="92"/>
        <v>271.73544012419364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184</v>
      </c>
      <c r="BW108" s="13">
        <f>VLOOKUP(A108,'Données projet'!$A$113:$I$133,9,0)</f>
        <v>2.8</v>
      </c>
      <c r="BX108" s="13">
        <f t="array" ref="BX108">INDEX(BW:BW,MIN(IF(ISNUMBER(BW108:BW304),ROW(BW108:BW304),"")))</f>
        <v>2.8</v>
      </c>
      <c r="BY108" s="13">
        <f>IF('Données projet'!$A$114&gt;35,BY107+BX108-CG107,IF(A108&lt;'Données projet'!$A$114,$BV$205^A108,IF(A108='Données projet'!$A$114,'Données projet'!$B$114,BY107+BX108-CG107)))</f>
        <v>184.00000000000006</v>
      </c>
      <c r="BZ108" s="14">
        <f>BY108*VLOOKUP('Données projet'!$B$12,Paramètres!$A$1:$I$89,3,0)*VLOOKUP('Données projet'!$B$12,Paramètres!$A$1:$I$89,5,0)</f>
        <v>177.96480000000008</v>
      </c>
      <c r="CA108" s="14">
        <f t="shared" si="93"/>
        <v>44.869092441133326</v>
      </c>
      <c r="CB108" s="22">
        <f t="shared" si="64"/>
        <v>388.10236266830731</v>
      </c>
      <c r="CC108" s="60">
        <f t="shared" si="65"/>
        <v>681.43569600164062</v>
      </c>
      <c r="CD108" s="60">
        <f ca="1">AVERAGE(OFFSET($CC$3,0,0,'Données projet'!$E$12+1,1))-AVERAGE(OFFSET($H$3,0,0,'Données projet'!$E$12+1,1))</f>
        <v>255.59755832175625</v>
      </c>
      <c r="CE108" s="60">
        <f t="shared" si="94"/>
        <v>154.0840647586964</v>
      </c>
      <c r="CF108" s="16">
        <f>IF(ISNA(VLOOKUP(A108,'Données projet'!$A$113:$I$133,3,0)),0,VLOOKUP(A108,'Données projet'!$A$113:$I$133,3,0))</f>
        <v>8</v>
      </c>
      <c r="CG108" s="16">
        <f>IF(ISNA(VLOOKUP(A108,'Données projet'!$A$113:$I$133,4,0)),0,VLOOKUP(A108,'Données projet'!$A$113:$I$133,4,0))</f>
        <v>18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184</v>
      </c>
      <c r="CR108" s="13">
        <f>VLOOKUP(A108,'Données projet'!$A$139:$I$159,9,0)</f>
        <v>2.8</v>
      </c>
      <c r="CS108" s="13">
        <f t="array" ref="CS108">INDEX(CR:CR,MIN(IF(ISNUMBER(CR108:CR304),ROW(CR108:CR304),"")))</f>
        <v>2.8</v>
      </c>
      <c r="CT108" s="13">
        <f>IF('Données projet'!$A$140&gt;35,CT107+CS108-DB107,IF(A108&lt;'Données projet'!$A$140,$CQ$205^A108,IF(A108='Données projet'!$A$140,'Données projet'!$B$140,CT107+CS108-DB107)))</f>
        <v>184.00000000000006</v>
      </c>
      <c r="CU108" s="18">
        <f>CT108*VLOOKUP('Données projet'!$B$13,Paramètres!$A$1:$I$89,3,0)*VLOOKUP('Données projet'!$B$13,Paramètres!$A$1:$I$89,5,0)</f>
        <v>198.05760000000006</v>
      </c>
      <c r="CV108" s="14">
        <f t="shared" si="95"/>
        <v>49.317044830035982</v>
      </c>
      <c r="CW108" s="22">
        <f t="shared" si="67"/>
        <v>430.8441730789794</v>
      </c>
      <c r="CX108" s="60">
        <f t="shared" si="68"/>
        <v>724.17750641231271</v>
      </c>
      <c r="CY108" s="60">
        <f ca="1">AVERAGE(OFFSET($CX$3,0,0,'Données projet'!$E$13+1,1))-AVERAGE(OFFSET($H$3,0,0,'Données projet'!$E$13+1,1))</f>
        <v>280.20599015000306</v>
      </c>
      <c r="CZ108" s="60">
        <f t="shared" si="96"/>
        <v>166.97658184507787</v>
      </c>
      <c r="DA108" s="16">
        <f>IF(ISNA(VLOOKUP(A108,'Données projet'!$A$139:$I$159,3,0)),0,VLOOKUP(A108,'Données projet'!$A$139:$I$159,3,0))</f>
        <v>8</v>
      </c>
      <c r="DB108" s="16">
        <f>IF(ISNA(VLOOKUP(A108,'Données projet'!$A$139:$I$159,4,0)),0,VLOOKUP(A108,'Données projet'!$A$139:$I$159,4,0))</f>
        <v>18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291.02564102564099</v>
      </c>
      <c r="DM108" s="13">
        <f>VLOOKUP(A108,'Données projet'!$A$165:$I$185,9,0)</f>
        <v>3.0769230769230718</v>
      </c>
      <c r="DN108" s="13">
        <f t="array" ref="DN108">INDEX(DM:DM,MIN(IF(ISNUMBER(DM108:DM304),ROW(DM108:DM304),"")))</f>
        <v>3.0769230769230718</v>
      </c>
      <c r="DO108" s="13">
        <f>IF('Données projet'!$A$166&gt;35,DO107+DN108-DW107,IF(A108&lt;'Données projet'!$A$166,$DL$205^A108,IF(A108='Données projet'!$A$166,'Données projet'!$B$166,DO107+DN108-DW107)))</f>
        <v>291.02564102564088</v>
      </c>
      <c r="DP108" s="18">
        <f>DO108*VLOOKUP('Données projet'!$B$14,Paramètres!$A$1:$I$89,3,0)*VLOOKUP('Données projet'!$B$14,Paramètres!$A$1:$I$89,5,0)</f>
        <v>195.21999999999991</v>
      </c>
      <c r="DQ108" s="14">
        <f t="shared" si="97"/>
        <v>48.692194015108576</v>
      </c>
      <c r="DR108" s="22">
        <f t="shared" si="70"/>
        <v>424.81373790964727</v>
      </c>
      <c r="DS108" s="60">
        <f t="shared" si="71"/>
        <v>718.14707124298059</v>
      </c>
      <c r="DT108" s="60">
        <f ca="1">AVERAGE(OFFSET($DS$3,0,0,'Données projet'!$E$14+1,1))-AVERAGE(OFFSET($H$3,0,0,'Données projet'!$E$14+1,1))</f>
        <v>291.18686311753402</v>
      </c>
      <c r="DU108" s="60">
        <f t="shared" si="98"/>
        <v>215.44422413249839</v>
      </c>
      <c r="DV108" s="16">
        <f>IF(ISNA(VLOOKUP(A108,'Données projet'!$A$165:$I$185,3,0)),0,VLOOKUP(A108,'Données projet'!$A$165:$I$185,3,0))</f>
        <v>9</v>
      </c>
      <c r="DW108" s="16">
        <f>IF(ISNA(VLOOKUP(A108,'Données projet'!$A$165:$I$185,4,0)),0,VLOOKUP(A108,'Données projet'!$A$165:$I$185,4,0))</f>
        <v>20.512820512820511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-1.9895196601282805E-13</v>
      </c>
      <c r="EK108" s="18">
        <f>EJ108*VLOOKUP('Données projet'!$B$15,Paramètres!$A$1:$I$89,3,0)*VLOOKUP('Données projet'!$B$15,Paramètres!$A$1:$I$89,5,0)</f>
        <v>-1.6138983482960614E-13</v>
      </c>
      <c r="EL108" s="14" t="e">
        <f t="shared" si="99"/>
        <v>#NUM!</v>
      </c>
      <c r="EM108" s="22" t="e">
        <f t="shared" si="73"/>
        <v>#NUM!</v>
      </c>
      <c r="EN108" s="60" t="e">
        <f t="shared" si="74"/>
        <v>#NUM!</v>
      </c>
      <c r="EO108" s="60">
        <f ca="1">AVERAGE(OFFSET($EN$3,0,0,'Données projet'!$E$15+1,1))-AVERAGE(OFFSET($H$3,0,0,'Données projet'!$E$15+1,1))</f>
        <v>236.22643401787644</v>
      </c>
      <c r="EP108" s="60">
        <f t="shared" si="100"/>
        <v>188.80444043778022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8">
        <f t="shared" si="56"/>
        <v>256.66666666666669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0" t="e">
        <f t="shared" si="55"/>
        <v>#NUM!</v>
      </c>
      <c r="S109" s="60">
        <f ca="1">AVERAGE(OFFSET($R$3,0,0,'Données projet'!$E$9+1,1))-AVERAGE(OFFSET($H$3,0,0,'Données projet'!$E$9+1,1))</f>
        <v>144.55635559713392</v>
      </c>
      <c r="T109" s="60">
        <f t="shared" si="88"/>
        <v>349.14692715126904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13.528585905846668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8.0125239725202029E-13</v>
      </c>
      <c r="AC109" s="24">
        <f t="shared" si="57"/>
        <v>13.52858590584747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287.39999999999969</v>
      </c>
      <c r="AJ109" s="14">
        <f>AI109*VLOOKUP('Données projet'!$B$10,Paramètres!$A$1:$I$89,3,0)*VLOOKUP('Données projet'!$B$10,Paramètres!$A$1:$I$89,5,0)</f>
        <v>260.0395199999997</v>
      </c>
      <c r="AK109" s="14">
        <f t="shared" si="89"/>
        <v>62.730801948604821</v>
      </c>
      <c r="AL109" s="22">
        <f t="shared" si="58"/>
        <v>562.15831072715287</v>
      </c>
      <c r="AM109" s="60">
        <f t="shared" si="59"/>
        <v>855.49164406048612</v>
      </c>
      <c r="AN109" s="60">
        <f ca="1">AVERAGE(OFFSET($AM$3,0,0,'Données projet'!$E$10+1,1))-AVERAGE(OFFSET($H$3,0,0,'Données projet'!$E$10+1,1))</f>
        <v>428.8489304403459</v>
      </c>
      <c r="AO109" s="60">
        <f t="shared" si="90"/>
        <v>247.01165577562966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4.4000000000000004</v>
      </c>
      <c r="BD109" s="13">
        <f>IF('Données projet'!$A$88&gt;35,BD108+BC109-BL108,IF(A109&lt;'Données projet'!$A$88,$BA$205^A109,IF(A109='Données projet'!$A$88,'Données projet'!$B$88,BD108+BC109-BL108)))</f>
        <v>287.39999999999969</v>
      </c>
      <c r="BE109" s="14">
        <f>BD109*VLOOKUP('Données projet'!$B$11,Paramètres!$A$1:$I$89,3,0)*VLOOKUP('Données projet'!$B$11,Paramètres!$A$1:$I$89,5,0)</f>
        <v>291.42359999999968</v>
      </c>
      <c r="BF109" s="14">
        <f t="shared" si="91"/>
        <v>69.375496841482104</v>
      </c>
      <c r="BG109" s="22">
        <f t="shared" si="61"/>
        <v>628.39176033224737</v>
      </c>
      <c r="BH109" s="60">
        <f t="shared" si="62"/>
        <v>921.72509366558074</v>
      </c>
      <c r="BI109" s="60">
        <f ca="1">AVERAGE(OFFSET($BH$3,0,0,'Données projet'!$E$11+1,1))-AVERAGE(OFFSET($H$3,0,0,'Données projet'!$E$11+1,1))</f>
        <v>475.47920969424894</v>
      </c>
      <c r="BJ109" s="60">
        <f t="shared" si="92"/>
        <v>271.73544012419364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3</v>
      </c>
      <c r="BY109" s="13">
        <f>IF('Données projet'!$A$114&gt;35,BY108+BX109-CG108,IF(A109&lt;'Données projet'!$A$114,$BV$205^A109,IF(A109='Données projet'!$A$114,'Données projet'!$B$114,BY108+BX109-CG108)))</f>
        <v>169.00000000000006</v>
      </c>
      <c r="BZ109" s="14">
        <f>BY109*VLOOKUP('Données projet'!$B$12,Paramètres!$A$1:$I$89,3,0)*VLOOKUP('Données projet'!$B$12,Paramètres!$A$1:$I$89,5,0)</f>
        <v>163.45680000000004</v>
      </c>
      <c r="CA109" s="14">
        <f t="shared" si="93"/>
        <v>41.621233697261097</v>
      </c>
      <c r="CB109" s="22">
        <f t="shared" si="64"/>
        <v>357.17757535606319</v>
      </c>
      <c r="CC109" s="60">
        <f t="shared" si="65"/>
        <v>650.5109086893965</v>
      </c>
      <c r="CD109" s="60">
        <f ca="1">AVERAGE(OFFSET($CC$3,0,0,'Données projet'!$E$12+1,1))-AVERAGE(OFFSET($H$3,0,0,'Données projet'!$E$12+1,1))</f>
        <v>255.59755832175625</v>
      </c>
      <c r="CE109" s="60">
        <f t="shared" si="94"/>
        <v>154.0840647586964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3</v>
      </c>
      <c r="CT109" s="13">
        <f>IF('Données projet'!$A$140&gt;35,CT108+CS109-DB108,IF(A109&lt;'Données projet'!$A$140,$CQ$205^A109,IF(A109='Données projet'!$A$140,'Données projet'!$B$140,CT108+CS109-DB108)))</f>
        <v>169.00000000000006</v>
      </c>
      <c r="CU109" s="18">
        <f>CT109*VLOOKUP('Données projet'!$B$13,Paramètres!$A$1:$I$89,3,0)*VLOOKUP('Données projet'!$B$13,Paramètres!$A$1:$I$89,5,0)</f>
        <v>181.91160000000005</v>
      </c>
      <c r="CV109" s="14">
        <f t="shared" si="95"/>
        <v>45.747220111978386</v>
      </c>
      <c r="CW109" s="22">
        <f t="shared" si="67"/>
        <v>396.50577836169577</v>
      </c>
      <c r="CX109" s="60">
        <f t="shared" si="68"/>
        <v>689.83911169502903</v>
      </c>
      <c r="CY109" s="60">
        <f ca="1">AVERAGE(OFFSET($CX$3,0,0,'Données projet'!$E$13+1,1))-AVERAGE(OFFSET($H$3,0,0,'Données projet'!$E$13+1,1))</f>
        <v>280.20599015000306</v>
      </c>
      <c r="CZ109" s="60">
        <f t="shared" si="96"/>
        <v>166.97658184507787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3.0769230769230829</v>
      </c>
      <c r="DO109" s="13">
        <f>IF('Données projet'!$A$166&gt;35,DO108+DN109-DW108,IF(A109&lt;'Données projet'!$A$166,$DL$205^A109,IF(A109='Données projet'!$A$166,'Données projet'!$B$166,DO108+DN109-DW108)))</f>
        <v>273.58974358974348</v>
      </c>
      <c r="DP109" s="18">
        <f>DO109*VLOOKUP('Données projet'!$B$14,Paramètres!$A$1:$I$89,3,0)*VLOOKUP('Données projet'!$B$14,Paramètres!$A$1:$I$89,5,0)</f>
        <v>183.52399999999994</v>
      </c>
      <c r="DQ109" s="14">
        <f t="shared" si="97"/>
        <v>46.10532434349372</v>
      </c>
      <c r="DR109" s="22">
        <f t="shared" si="70"/>
        <v>399.93773989825144</v>
      </c>
      <c r="DS109" s="60">
        <f t="shared" si="71"/>
        <v>693.27107323158475</v>
      </c>
      <c r="DT109" s="60">
        <f ca="1">AVERAGE(OFFSET($DS$3,0,0,'Données projet'!$E$14+1,1))-AVERAGE(OFFSET($H$3,0,0,'Données projet'!$E$14+1,1))</f>
        <v>291.18686311753402</v>
      </c>
      <c r="DU109" s="60">
        <f t="shared" si="98"/>
        <v>215.44422413249839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-1.9895196601282805E-13</v>
      </c>
      <c r="EK109" s="18">
        <f>EJ109*VLOOKUP('Données projet'!$B$15,Paramètres!$A$1:$I$89,3,0)*VLOOKUP('Données projet'!$B$15,Paramètres!$A$1:$I$89,5,0)</f>
        <v>-1.6138983482960614E-13</v>
      </c>
      <c r="EL109" s="14" t="e">
        <f t="shared" si="99"/>
        <v>#NUM!</v>
      </c>
      <c r="EM109" s="22" t="e">
        <f t="shared" si="73"/>
        <v>#NUM!</v>
      </c>
      <c r="EN109" s="60" t="e">
        <f t="shared" si="74"/>
        <v>#NUM!</v>
      </c>
      <c r="EO109" s="60">
        <f ca="1">AVERAGE(OFFSET($EN$3,0,0,'Données projet'!$E$15+1,1))-AVERAGE(OFFSET($H$3,0,0,'Données projet'!$E$15+1,1))</f>
        <v>236.22643401787644</v>
      </c>
      <c r="EP109" s="60">
        <f t="shared" si="100"/>
        <v>188.80444043778022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8">
        <f t="shared" si="56"/>
        <v>256.66666666666669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0" t="e">
        <f t="shared" si="55"/>
        <v>#NUM!</v>
      </c>
      <c r="S110" s="60">
        <f ca="1">AVERAGE(OFFSET($R$3,0,0,'Données projet'!$E$9+1,1))-AVERAGE(OFFSET($H$3,0,0,'Données projet'!$E$9+1,1))</f>
        <v>144.55635559713392</v>
      </c>
      <c r="T110" s="60">
        <f t="shared" si="88"/>
        <v>349.14692715126904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13.263298587855639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5.6657100353888096E-13</v>
      </c>
      <c r="AC110" s="24">
        <f t="shared" si="57"/>
        <v>13.263298587856205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291.79999999999967</v>
      </c>
      <c r="AJ110" s="14">
        <f>AI110*VLOOKUP('Données projet'!$B$10,Paramètres!$A$1:$I$89,3,0)*VLOOKUP('Données projet'!$B$10,Paramètres!$A$1:$I$89,5,0)</f>
        <v>264.02063999999967</v>
      </c>
      <c r="AK110" s="14">
        <f t="shared" si="89"/>
        <v>63.57864899095906</v>
      </c>
      <c r="AL110" s="22">
        <f t="shared" si="58"/>
        <v>570.56876165925303</v>
      </c>
      <c r="AM110" s="60">
        <f t="shared" si="59"/>
        <v>863.9020949925864</v>
      </c>
      <c r="AN110" s="60">
        <f ca="1">AVERAGE(OFFSET($AM$3,0,0,'Données projet'!$E$10+1,1))-AVERAGE(OFFSET($H$3,0,0,'Données projet'!$E$10+1,1))</f>
        <v>428.8489304403459</v>
      </c>
      <c r="AO110" s="60">
        <f t="shared" si="90"/>
        <v>247.01165577562966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4.4000000000000004</v>
      </c>
      <c r="BD110" s="13">
        <f>IF('Données projet'!$A$88&gt;35,BD109+BC110-BL109,IF(A110&lt;'Données projet'!$A$88,$BA$205^A110,IF(A110='Données projet'!$A$88,'Données projet'!$B$88,BD109+BC110-BL109)))</f>
        <v>291.79999999999967</v>
      </c>
      <c r="BE110" s="14">
        <f>BD110*VLOOKUP('Données projet'!$B$11,Paramètres!$A$1:$I$89,3,0)*VLOOKUP('Données projet'!$B$11,Paramètres!$A$1:$I$89,5,0)</f>
        <v>295.88519999999966</v>
      </c>
      <c r="BF110" s="14">
        <f t="shared" si="91"/>
        <v>70.313151199178748</v>
      </c>
      <c r="BG110" s="22">
        <f t="shared" si="61"/>
        <v>637.79546167190244</v>
      </c>
      <c r="BH110" s="60">
        <f t="shared" si="62"/>
        <v>931.12879500523582</v>
      </c>
      <c r="BI110" s="60">
        <f ca="1">AVERAGE(OFFSET($BH$3,0,0,'Données projet'!$E$11+1,1))-AVERAGE(OFFSET($H$3,0,0,'Données projet'!$E$11+1,1))</f>
        <v>475.47920969424894</v>
      </c>
      <c r="BJ110" s="60">
        <f t="shared" si="92"/>
        <v>271.73544012419364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3</v>
      </c>
      <c r="BY110" s="13">
        <f>IF('Données projet'!$A$114&gt;35,BY109+BX110-CG109,IF(A110&lt;'Données projet'!$A$114,$BV$205^A110,IF(A110='Données projet'!$A$114,'Données projet'!$B$114,BY109+BX110-CG109)))</f>
        <v>172.00000000000006</v>
      </c>
      <c r="BZ110" s="14">
        <f>BY110*VLOOKUP('Données projet'!$B$12,Paramètres!$A$1:$I$89,3,0)*VLOOKUP('Données projet'!$B$12,Paramètres!$A$1:$I$89,5,0)</f>
        <v>166.35840000000005</v>
      </c>
      <c r="CA110" s="14">
        <f t="shared" si="93"/>
        <v>42.27340131152765</v>
      </c>
      <c r="CB110" s="22">
        <f t="shared" si="64"/>
        <v>363.3670539509107</v>
      </c>
      <c r="CC110" s="60">
        <f t="shared" si="65"/>
        <v>656.70038728424402</v>
      </c>
      <c r="CD110" s="60">
        <f ca="1">AVERAGE(OFFSET($CC$3,0,0,'Données projet'!$E$12+1,1))-AVERAGE(OFFSET($H$3,0,0,'Données projet'!$E$12+1,1))</f>
        <v>255.59755832175625</v>
      </c>
      <c r="CE110" s="60">
        <f t="shared" si="94"/>
        <v>154.0840647586964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3</v>
      </c>
      <c r="CT110" s="13">
        <f>IF('Données projet'!$A$140&gt;35,CT109+CS110-DB109,IF(A110&lt;'Données projet'!$A$140,$CQ$205^A110,IF(A110='Données projet'!$A$140,'Données projet'!$B$140,CT109+CS110-DB109)))</f>
        <v>172.00000000000006</v>
      </c>
      <c r="CU110" s="18">
        <f>CT110*VLOOKUP('Données projet'!$B$13,Paramètres!$A$1:$I$89,3,0)*VLOOKUP('Données projet'!$B$13,Paramètres!$A$1:$I$89,5,0)</f>
        <v>185.14080000000007</v>
      </c>
      <c r="CV110" s="14">
        <f t="shared" si="95"/>
        <v>46.464038253813506</v>
      </c>
      <c r="CW110" s="22">
        <f t="shared" si="67"/>
        <v>403.37842662539197</v>
      </c>
      <c r="CX110" s="60">
        <f t="shared" si="68"/>
        <v>696.71175995872522</v>
      </c>
      <c r="CY110" s="60">
        <f ca="1">AVERAGE(OFFSET($CX$3,0,0,'Données projet'!$E$13+1,1))-AVERAGE(OFFSET($H$3,0,0,'Données projet'!$E$13+1,1))</f>
        <v>280.20599015000306</v>
      </c>
      <c r="CZ110" s="60">
        <f t="shared" si="96"/>
        <v>166.97658184507787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3.0769230769230829</v>
      </c>
      <c r="DO110" s="13">
        <f>IF('Données projet'!$A$166&gt;35,DO109+DN110-DW109,IF(A110&lt;'Données projet'!$A$166,$DL$205^A110,IF(A110='Données projet'!$A$166,'Données projet'!$B$166,DO109+DN110-DW109)))</f>
        <v>276.66666666666657</v>
      </c>
      <c r="DP110" s="18">
        <f>DO110*VLOOKUP('Données projet'!$B$14,Paramètres!$A$1:$I$89,3,0)*VLOOKUP('Données projet'!$B$14,Paramètres!$A$1:$I$89,5,0)</f>
        <v>185.58799999999994</v>
      </c>
      <c r="DQ110" s="14">
        <f t="shared" si="97"/>
        <v>46.563192499694225</v>
      </c>
      <c r="DR110" s="22">
        <f t="shared" si="70"/>
        <v>404.32999360363397</v>
      </c>
      <c r="DS110" s="60">
        <f t="shared" si="71"/>
        <v>697.66332693696722</v>
      </c>
      <c r="DT110" s="60">
        <f ca="1">AVERAGE(OFFSET($DS$3,0,0,'Données projet'!$E$14+1,1))-AVERAGE(OFFSET($H$3,0,0,'Données projet'!$E$14+1,1))</f>
        <v>291.18686311753402</v>
      </c>
      <c r="DU110" s="60">
        <f t="shared" si="98"/>
        <v>215.44422413249839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-1.9895196601282805E-13</v>
      </c>
      <c r="EK110" s="18">
        <f>EJ110*VLOOKUP('Données projet'!$B$15,Paramètres!$A$1:$I$89,3,0)*VLOOKUP('Données projet'!$B$15,Paramètres!$A$1:$I$89,5,0)</f>
        <v>-1.6138983482960614E-13</v>
      </c>
      <c r="EL110" s="14" t="e">
        <f t="shared" si="99"/>
        <v>#NUM!</v>
      </c>
      <c r="EM110" s="22" t="e">
        <f t="shared" si="73"/>
        <v>#NUM!</v>
      </c>
      <c r="EN110" s="60" t="e">
        <f t="shared" si="74"/>
        <v>#NUM!</v>
      </c>
      <c r="EO110" s="60">
        <f ca="1">AVERAGE(OFFSET($EN$3,0,0,'Données projet'!$E$15+1,1))-AVERAGE(OFFSET($H$3,0,0,'Données projet'!$E$15+1,1))</f>
        <v>236.22643401787644</v>
      </c>
      <c r="EP110" s="60">
        <f t="shared" si="100"/>
        <v>188.80444043778022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8">
        <f t="shared" si="56"/>
        <v>256.66666666666669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0" t="e">
        <f t="shared" si="55"/>
        <v>#NUM!</v>
      </c>
      <c r="S111" s="60">
        <f ca="1">AVERAGE(OFFSET($R$3,0,0,'Données projet'!$E$9+1,1))-AVERAGE(OFFSET($H$3,0,0,'Données projet'!$E$9+1,1))</f>
        <v>144.55635559713392</v>
      </c>
      <c r="T111" s="60">
        <f t="shared" si="88"/>
        <v>349.14692715126904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13.003213392361125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4.0062619862601015E-13</v>
      </c>
      <c r="AC111" s="24">
        <f t="shared" si="57"/>
        <v>13.003213392361527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296.19999999999965</v>
      </c>
      <c r="AJ111" s="14">
        <f>AI111*VLOOKUP('Données projet'!$B$10,Paramètres!$A$1:$I$89,3,0)*VLOOKUP('Données projet'!$B$10,Paramètres!$A$1:$I$89,5,0)</f>
        <v>268.00175999999971</v>
      </c>
      <c r="AK111" s="14">
        <f t="shared" si="89"/>
        <v>64.425009159185521</v>
      </c>
      <c r="AL111" s="22">
        <f t="shared" si="58"/>
        <v>578.97662295224757</v>
      </c>
      <c r="AM111" s="60">
        <f t="shared" si="59"/>
        <v>872.30995628558094</v>
      </c>
      <c r="AN111" s="60">
        <f ca="1">AVERAGE(OFFSET($AM$3,0,0,'Données projet'!$E$10+1,1))-AVERAGE(OFFSET($H$3,0,0,'Données projet'!$E$10+1,1))</f>
        <v>428.8489304403459</v>
      </c>
      <c r="AO111" s="60">
        <f t="shared" si="90"/>
        <v>247.01165577562966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4.4000000000000004</v>
      </c>
      <c r="BD111" s="13">
        <f>IF('Données projet'!$A$88&gt;35,BD110+BC111-BL110,IF(A111&lt;'Données projet'!$A$88,$BA$205^A111,IF(A111='Données projet'!$A$88,'Données projet'!$B$88,BD110+BC111-BL110)))</f>
        <v>296.19999999999965</v>
      </c>
      <c r="BE111" s="14">
        <f>BD111*VLOOKUP('Données projet'!$B$11,Paramètres!$A$1:$I$89,3,0)*VLOOKUP('Données projet'!$B$11,Paramètres!$A$1:$I$89,5,0)</f>
        <v>300.34679999999963</v>
      </c>
      <c r="BF111" s="14">
        <f t="shared" si="91"/>
        <v>71.249161187153291</v>
      </c>
      <c r="BG111" s="22">
        <f t="shared" si="61"/>
        <v>647.19629906762464</v>
      </c>
      <c r="BH111" s="60">
        <f t="shared" si="62"/>
        <v>940.52963240095801</v>
      </c>
      <c r="BI111" s="60">
        <f ca="1">AVERAGE(OFFSET($BH$3,0,0,'Données projet'!$E$11+1,1))-AVERAGE(OFFSET($H$3,0,0,'Données projet'!$E$11+1,1))</f>
        <v>475.47920969424894</v>
      </c>
      <c r="BJ111" s="60">
        <f t="shared" si="92"/>
        <v>271.73544012419364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3</v>
      </c>
      <c r="BY111" s="13">
        <f>IF('Données projet'!$A$114&gt;35,BY110+BX111-CG110,IF(A111&lt;'Données projet'!$A$114,$BV$205^A111,IF(A111='Données projet'!$A$114,'Données projet'!$B$114,BY110+BX111-CG110)))</f>
        <v>175.00000000000006</v>
      </c>
      <c r="BZ111" s="14">
        <f>BY111*VLOOKUP('Données projet'!$B$12,Paramètres!$A$1:$I$89,3,0)*VLOOKUP('Données projet'!$B$12,Paramètres!$A$1:$I$89,5,0)</f>
        <v>169.26000000000005</v>
      </c>
      <c r="CA111" s="14">
        <f t="shared" si="93"/>
        <v>42.924246146122314</v>
      </c>
      <c r="CB111" s="22">
        <f t="shared" si="64"/>
        <v>369.55422870449638</v>
      </c>
      <c r="CC111" s="60">
        <f t="shared" si="65"/>
        <v>662.88756203782964</v>
      </c>
      <c r="CD111" s="60">
        <f ca="1">AVERAGE(OFFSET($CC$3,0,0,'Données projet'!$E$12+1,1))-AVERAGE(OFFSET($H$3,0,0,'Données projet'!$E$12+1,1))</f>
        <v>255.59755832175625</v>
      </c>
      <c r="CE111" s="60">
        <f t="shared" si="94"/>
        <v>154.0840647586964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3</v>
      </c>
      <c r="CT111" s="13">
        <f>IF('Données projet'!$A$140&gt;35,CT110+CS111-DB110,IF(A111&lt;'Données projet'!$A$140,$CQ$205^A111,IF(A111='Données projet'!$A$140,'Données projet'!$B$140,CT110+CS111-DB110)))</f>
        <v>175.00000000000006</v>
      </c>
      <c r="CU111" s="18">
        <f>CT111*VLOOKUP('Données projet'!$B$13,Paramètres!$A$1:$I$89,3,0)*VLOOKUP('Données projet'!$B$13,Paramètres!$A$1:$I$89,5,0)</f>
        <v>188.37000000000006</v>
      </c>
      <c r="CV111" s="14">
        <f t="shared" si="95"/>
        <v>47.179402486491298</v>
      </c>
      <c r="CW111" s="22">
        <f t="shared" si="67"/>
        <v>410.2485426639725</v>
      </c>
      <c r="CX111" s="60">
        <f t="shared" si="68"/>
        <v>703.58187599730581</v>
      </c>
      <c r="CY111" s="60">
        <f ca="1">AVERAGE(OFFSET($CX$3,0,0,'Données projet'!$E$13+1,1))-AVERAGE(OFFSET($H$3,0,0,'Données projet'!$E$13+1,1))</f>
        <v>280.20599015000306</v>
      </c>
      <c r="CZ111" s="60">
        <f t="shared" si="96"/>
        <v>166.97658184507787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3.0769230769230829</v>
      </c>
      <c r="DO111" s="13">
        <f>IF('Données projet'!$A$166&gt;35,DO110+DN111-DW110,IF(A111&lt;'Données projet'!$A$166,$DL$205^A111,IF(A111='Données projet'!$A$166,'Données projet'!$B$166,DO110+DN111-DW110)))</f>
        <v>279.74358974358967</v>
      </c>
      <c r="DP111" s="18">
        <f>DO111*VLOOKUP('Données projet'!$B$14,Paramètres!$A$1:$I$89,3,0)*VLOOKUP('Données projet'!$B$14,Paramètres!$A$1:$I$89,5,0)</f>
        <v>187.65199999999996</v>
      </c>
      <c r="DQ111" s="14">
        <f t="shared" si="97"/>
        <v>47.020468301498148</v>
      </c>
      <c r="DR111" s="22">
        <f t="shared" si="70"/>
        <v>408.72121562510921</v>
      </c>
      <c r="DS111" s="60">
        <f t="shared" si="71"/>
        <v>702.05454895844252</v>
      </c>
      <c r="DT111" s="60">
        <f ca="1">AVERAGE(OFFSET($DS$3,0,0,'Données projet'!$E$14+1,1))-AVERAGE(OFFSET($H$3,0,0,'Données projet'!$E$14+1,1))</f>
        <v>291.18686311753402</v>
      </c>
      <c r="DU111" s="60">
        <f t="shared" si="98"/>
        <v>215.44422413249839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-1.9895196601282805E-13</v>
      </c>
      <c r="EK111" s="18">
        <f>EJ111*VLOOKUP('Données projet'!$B$15,Paramètres!$A$1:$I$89,3,0)*VLOOKUP('Données projet'!$B$15,Paramètres!$A$1:$I$89,5,0)</f>
        <v>-1.6138983482960614E-13</v>
      </c>
      <c r="EL111" s="14" t="e">
        <f t="shared" si="99"/>
        <v>#NUM!</v>
      </c>
      <c r="EM111" s="22" t="e">
        <f t="shared" si="73"/>
        <v>#NUM!</v>
      </c>
      <c r="EN111" s="60" t="e">
        <f t="shared" si="74"/>
        <v>#NUM!</v>
      </c>
      <c r="EO111" s="60">
        <f ca="1">AVERAGE(OFFSET($EN$3,0,0,'Données projet'!$E$15+1,1))-AVERAGE(OFFSET($H$3,0,0,'Données projet'!$E$15+1,1))</f>
        <v>236.22643401787644</v>
      </c>
      <c r="EP111" s="60">
        <f t="shared" si="100"/>
        <v>188.80444043778022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8">
        <f t="shared" si="56"/>
        <v>256.66666666666669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0" t="e">
        <f t="shared" si="55"/>
        <v>#NUM!</v>
      </c>
      <c r="S112" s="60">
        <f ca="1">AVERAGE(OFFSET($R$3,0,0,'Données projet'!$E$9+1,1))-AVERAGE(OFFSET($H$3,0,0,'Données projet'!$E$9+1,1))</f>
        <v>144.55635559713392</v>
      </c>
      <c r="T112" s="60">
        <f t="shared" si="88"/>
        <v>349.14692715126904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12.748228308913955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2.8328550176944048E-13</v>
      </c>
      <c r="AC112" s="24">
        <f t="shared" si="57"/>
        <v>12.748228308914237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300.59999999999962</v>
      </c>
      <c r="AJ112" s="14">
        <f>AI112*VLOOKUP('Données projet'!$B$10,Paramètres!$A$1:$I$89,3,0)*VLOOKUP('Données projet'!$B$10,Paramètres!$A$1:$I$89,5,0)</f>
        <v>271.98287999999962</v>
      </c>
      <c r="AK112" s="14">
        <f t="shared" si="89"/>
        <v>65.269907092018684</v>
      </c>
      <c r="AL112" s="22">
        <f t="shared" si="58"/>
        <v>587.38193751859842</v>
      </c>
      <c r="AM112" s="60">
        <f t="shared" si="59"/>
        <v>880.71527085193179</v>
      </c>
      <c r="AN112" s="60">
        <f ca="1">AVERAGE(OFFSET($AM$3,0,0,'Données projet'!$E$10+1,1))-AVERAGE(OFFSET($H$3,0,0,'Données projet'!$E$10+1,1))</f>
        <v>428.8489304403459</v>
      </c>
      <c r="AO112" s="60">
        <f t="shared" si="90"/>
        <v>247.01165577562966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4.4000000000000004</v>
      </c>
      <c r="BD112" s="13">
        <f>IF('Données projet'!$A$88&gt;35,BD111+BC112-BL111,IF(A112&lt;'Données projet'!$A$88,$BA$205^A112,IF(A112='Données projet'!$A$88,'Données projet'!$B$88,BD111+BC112-BL111)))</f>
        <v>300.59999999999962</v>
      </c>
      <c r="BE112" s="14">
        <f>BD112*VLOOKUP('Données projet'!$B$11,Paramètres!$A$1:$I$89,3,0)*VLOOKUP('Données projet'!$B$11,Paramètres!$A$1:$I$89,5,0)</f>
        <v>304.80839999999961</v>
      </c>
      <c r="BF112" s="14">
        <f t="shared" si="91"/>
        <v>72.183554053972728</v>
      </c>
      <c r="BG112" s="22">
        <f t="shared" si="61"/>
        <v>656.59431997733509</v>
      </c>
      <c r="BH112" s="60">
        <f t="shared" si="62"/>
        <v>949.92765331066835</v>
      </c>
      <c r="BI112" s="60">
        <f ca="1">AVERAGE(OFFSET($BH$3,0,0,'Données projet'!$E$11+1,1))-AVERAGE(OFFSET($H$3,0,0,'Données projet'!$E$11+1,1))</f>
        <v>475.47920969424894</v>
      </c>
      <c r="BJ112" s="60">
        <f t="shared" si="92"/>
        <v>271.73544012419364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3</v>
      </c>
      <c r="BY112" s="13">
        <f>IF('Données projet'!$A$114&gt;35,BY111+BX112-CG111,IF(A112&lt;'Données projet'!$A$114,$BV$205^A112,IF(A112='Données projet'!$A$114,'Données projet'!$B$114,BY111+BX112-CG111)))</f>
        <v>178.00000000000006</v>
      </c>
      <c r="BZ112" s="14">
        <f>BY112*VLOOKUP('Données projet'!$B$12,Paramètres!$A$1:$I$89,3,0)*VLOOKUP('Données projet'!$B$12,Paramètres!$A$1:$I$89,5,0)</f>
        <v>172.16160000000005</v>
      </c>
      <c r="CA112" s="14">
        <f t="shared" si="93"/>
        <v>43.57379349403616</v>
      </c>
      <c r="CB112" s="22">
        <f t="shared" si="64"/>
        <v>375.73914366877972</v>
      </c>
      <c r="CC112" s="60">
        <f t="shared" si="65"/>
        <v>669.07247700211303</v>
      </c>
      <c r="CD112" s="60">
        <f ca="1">AVERAGE(OFFSET($CC$3,0,0,'Données projet'!$E$12+1,1))-AVERAGE(OFFSET($H$3,0,0,'Données projet'!$E$12+1,1))</f>
        <v>255.59755832175625</v>
      </c>
      <c r="CE112" s="60">
        <f t="shared" si="94"/>
        <v>154.0840647586964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3</v>
      </c>
      <c r="CT112" s="13">
        <f>IF('Données projet'!$A$140&gt;35,CT111+CS112-DB111,IF(A112&lt;'Données projet'!$A$140,$CQ$205^A112,IF(A112='Données projet'!$A$140,'Données projet'!$B$140,CT111+CS112-DB111)))</f>
        <v>178.00000000000006</v>
      </c>
      <c r="CU112" s="18">
        <f>CT112*VLOOKUP('Données projet'!$B$13,Paramètres!$A$1:$I$89,3,0)*VLOOKUP('Données projet'!$B$13,Paramètres!$A$1:$I$89,5,0)</f>
        <v>191.59920000000005</v>
      </c>
      <c r="CV112" s="14">
        <f t="shared" si="95"/>
        <v>47.893340610341859</v>
      </c>
      <c r="CW112" s="22">
        <f t="shared" si="67"/>
        <v>417.11617489634546</v>
      </c>
      <c r="CX112" s="60">
        <f t="shared" si="68"/>
        <v>710.44950822967871</v>
      </c>
      <c r="CY112" s="60">
        <f ca="1">AVERAGE(OFFSET($CX$3,0,0,'Données projet'!$E$13+1,1))-AVERAGE(OFFSET($H$3,0,0,'Données projet'!$E$13+1,1))</f>
        <v>280.20599015000306</v>
      </c>
      <c r="CZ112" s="60">
        <f t="shared" si="96"/>
        <v>166.97658184507787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3.0769230769230829</v>
      </c>
      <c r="DO112" s="13">
        <f>IF('Données projet'!$A$166&gt;35,DO111+DN112-DW111,IF(A112&lt;'Données projet'!$A$166,$DL$205^A112,IF(A112='Données projet'!$A$166,'Données projet'!$B$166,DO111+DN112-DW111)))</f>
        <v>282.82051282051276</v>
      </c>
      <c r="DP112" s="18">
        <f>DO112*VLOOKUP('Données projet'!$B$14,Paramètres!$A$1:$I$89,3,0)*VLOOKUP('Données projet'!$B$14,Paramètres!$A$1:$I$89,5,0)</f>
        <v>189.71599999999998</v>
      </c>
      <c r="DQ112" s="14">
        <f t="shared" si="97"/>
        <v>47.477159018288674</v>
      </c>
      <c r="DR112" s="22">
        <f t="shared" si="70"/>
        <v>413.11141862351934</v>
      </c>
      <c r="DS112" s="60">
        <f t="shared" si="71"/>
        <v>706.44475195685266</v>
      </c>
      <c r="DT112" s="60">
        <f ca="1">AVERAGE(OFFSET($DS$3,0,0,'Données projet'!$E$14+1,1))-AVERAGE(OFFSET($H$3,0,0,'Données projet'!$E$14+1,1))</f>
        <v>291.18686311753402</v>
      </c>
      <c r="DU112" s="60">
        <f t="shared" si="98"/>
        <v>215.44422413249839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-1.9895196601282805E-13</v>
      </c>
      <c r="EK112" s="18">
        <f>EJ112*VLOOKUP('Données projet'!$B$15,Paramètres!$A$1:$I$89,3,0)*VLOOKUP('Données projet'!$B$15,Paramètres!$A$1:$I$89,5,0)</f>
        <v>-1.6138983482960614E-13</v>
      </c>
      <c r="EL112" s="14" t="e">
        <f t="shared" si="99"/>
        <v>#NUM!</v>
      </c>
      <c r="EM112" s="22" t="e">
        <f t="shared" si="73"/>
        <v>#NUM!</v>
      </c>
      <c r="EN112" s="60" t="e">
        <f t="shared" si="74"/>
        <v>#NUM!</v>
      </c>
      <c r="EO112" s="60">
        <f ca="1">AVERAGE(OFFSET($EN$3,0,0,'Données projet'!$E$15+1,1))-AVERAGE(OFFSET($H$3,0,0,'Données projet'!$E$15+1,1))</f>
        <v>236.22643401787644</v>
      </c>
      <c r="EP112" s="60">
        <f t="shared" si="100"/>
        <v>188.80444043778022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8">
        <f t="shared" si="56"/>
        <v>256.66666666666669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0" t="e">
        <f t="shared" si="55"/>
        <v>#NUM!</v>
      </c>
      <c r="S113" s="60">
        <f ca="1">AVERAGE(OFFSET($R$3,0,0,'Données projet'!$E$9+1,1))-AVERAGE(OFFSET($H$3,0,0,'Données projet'!$E$9+1,1))</f>
        <v>144.55635559713392</v>
      </c>
      <c r="T113" s="60">
        <f t="shared" si="88"/>
        <v>349.14692715126904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12.498243327427639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2.0031309931300507E-13</v>
      </c>
      <c r="AC113" s="24">
        <f t="shared" si="57"/>
        <v>12.49824332742784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304.9999999999996</v>
      </c>
      <c r="AJ113" s="14">
        <f>AI113*VLOOKUP('Données projet'!$B$10,Paramètres!$A$1:$I$89,3,0)*VLOOKUP('Données projet'!$B$10,Paramètres!$A$1:$I$89,5,0)</f>
        <v>275.9639999999996</v>
      </c>
      <c r="AK113" s="14">
        <f t="shared" si="89"/>
        <v>66.113366665488797</v>
      </c>
      <c r="AL113" s="22">
        <f t="shared" si="58"/>
        <v>595.7847469423923</v>
      </c>
      <c r="AM113" s="60">
        <f t="shared" si="59"/>
        <v>889.11808027572556</v>
      </c>
      <c r="AN113" s="60">
        <f ca="1">AVERAGE(OFFSET($AM$3,0,0,'Données projet'!$E$10+1,1))-AVERAGE(OFFSET($H$3,0,0,'Données projet'!$E$10+1,1))</f>
        <v>428.8489304403459</v>
      </c>
      <c r="AO113" s="60">
        <f t="shared" si="90"/>
        <v>247.01165577562966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305</v>
      </c>
      <c r="BB113" s="13">
        <f>VLOOKUP(A113,'Données projet'!$A$87:$I$107,9,0)</f>
        <v>4.4000000000000004</v>
      </c>
      <c r="BC113" s="13">
        <f t="array" ref="BC113">INDEX(BB:BB,MIN(IF(ISNUMBER(BB113:BB309),ROW(BB113:BB309),"")))</f>
        <v>4.4000000000000004</v>
      </c>
      <c r="BD113" s="13">
        <f>IF('Données projet'!$A$88&gt;35,BD112+BC113-BL112,IF(A113&lt;'Données projet'!$A$88,$BA$205^A113,IF(A113='Données projet'!$A$88,'Données projet'!$B$88,BD112+BC113-BL112)))</f>
        <v>304.9999999999996</v>
      </c>
      <c r="BE113" s="14">
        <f>BD113*VLOOKUP('Données projet'!$B$11,Paramètres!$A$1:$I$89,3,0)*VLOOKUP('Données projet'!$B$11,Paramètres!$A$1:$I$89,5,0)</f>
        <v>309.26999999999958</v>
      </c>
      <c r="BF113" s="14">
        <f t="shared" si="91"/>
        <v>73.116356204710968</v>
      </c>
      <c r="BG113" s="22">
        <f t="shared" si="61"/>
        <v>665.98957038987078</v>
      </c>
      <c r="BH113" s="60">
        <f t="shared" si="62"/>
        <v>959.32290372320404</v>
      </c>
      <c r="BI113" s="60">
        <f ca="1">AVERAGE(OFFSET($BH$3,0,0,'Données projet'!$E$11+1,1))-AVERAGE(OFFSET($H$3,0,0,'Données projet'!$E$11+1,1))</f>
        <v>475.47920969424894</v>
      </c>
      <c r="BJ113" s="60">
        <f t="shared" si="92"/>
        <v>271.73544012419364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39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181</v>
      </c>
      <c r="BW113" s="13">
        <f>VLOOKUP(A113,'Données projet'!$A$113:$I$133,9,0)</f>
        <v>3</v>
      </c>
      <c r="BX113" s="13">
        <f t="array" ref="BX113">INDEX(BW:BW,MIN(IF(ISNUMBER(BW113:BW309),ROW(BW113:BW309),"")))</f>
        <v>3</v>
      </c>
      <c r="BY113" s="13">
        <f>IF('Données projet'!$A$114&gt;35,BY112+BX113-CG112,IF(A113&lt;'Données projet'!$A$114,$BV$205^A113,IF(A113='Données projet'!$A$114,'Données projet'!$B$114,BY112+BX113-CG112)))</f>
        <v>181.00000000000006</v>
      </c>
      <c r="BZ113" s="14">
        <f>BY113*VLOOKUP('Données projet'!$B$12,Paramètres!$A$1:$I$89,3,0)*VLOOKUP('Données projet'!$B$12,Paramètres!$A$1:$I$89,5,0)</f>
        <v>175.06320000000008</v>
      </c>
      <c r="CA113" s="14">
        <f t="shared" si="93"/>
        <v>44.222067746824763</v>
      </c>
      <c r="CB113" s="22">
        <f t="shared" si="64"/>
        <v>381.92184132571992</v>
      </c>
      <c r="CC113" s="60">
        <f t="shared" si="65"/>
        <v>675.25517465905318</v>
      </c>
      <c r="CD113" s="60">
        <f ca="1">AVERAGE(OFFSET($CC$3,0,0,'Données projet'!$E$12+1,1))-AVERAGE(OFFSET($H$3,0,0,'Données projet'!$E$12+1,1))</f>
        <v>255.59755832175625</v>
      </c>
      <c r="CE113" s="60">
        <f t="shared" si="94"/>
        <v>154.0840647586964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181</v>
      </c>
      <c r="CR113" s="13">
        <f>VLOOKUP(A113,'Données projet'!$A$139:$I$159,9,0)</f>
        <v>3</v>
      </c>
      <c r="CS113" s="13">
        <f t="array" ref="CS113">INDEX(CR:CR,MIN(IF(ISNUMBER(CR113:CR309),ROW(CR113:CR309),"")))</f>
        <v>3</v>
      </c>
      <c r="CT113" s="13">
        <f>IF('Données projet'!$A$140&gt;35,CT112+CS113-DB112,IF(A113&lt;'Données projet'!$A$140,$CQ$205^A113,IF(A113='Données projet'!$A$140,'Données projet'!$B$140,CT112+CS113-DB112)))</f>
        <v>181.00000000000006</v>
      </c>
      <c r="CU113" s="18">
        <f>CT113*VLOOKUP('Données projet'!$B$13,Paramètres!$A$1:$I$89,3,0)*VLOOKUP('Données projet'!$B$13,Paramètres!$A$1:$I$89,5,0)</f>
        <v>194.82840000000004</v>
      </c>
      <c r="CV113" s="14">
        <f t="shared" si="95"/>
        <v>48.605879434898533</v>
      </c>
      <c r="CW113" s="22">
        <f t="shared" si="67"/>
        <v>423.98137001578169</v>
      </c>
      <c r="CX113" s="60">
        <f t="shared" si="68"/>
        <v>717.31470334911501</v>
      </c>
      <c r="CY113" s="60">
        <f ca="1">AVERAGE(OFFSET($CX$3,0,0,'Données projet'!$E$13+1,1))-AVERAGE(OFFSET($H$3,0,0,'Données projet'!$E$13+1,1))</f>
        <v>280.20599015000306</v>
      </c>
      <c r="CZ113" s="60">
        <f t="shared" si="96"/>
        <v>166.97658184507787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285.89743589743591</v>
      </c>
      <c r="DM113" s="13">
        <f>VLOOKUP(A113,'Données projet'!$A$165:$I$185,9,0)</f>
        <v>3.0769230769230829</v>
      </c>
      <c r="DN113" s="13">
        <f t="array" ref="DN113">INDEX(DM:DM,MIN(IF(ISNUMBER(DM113:DM309),ROW(DM113:DM309),"")))</f>
        <v>3.0769230769230829</v>
      </c>
      <c r="DO113" s="13">
        <f>IF('Données projet'!$A$166&gt;35,DO112+DN113-DW112,IF(A113&lt;'Données projet'!$A$166,$DL$205^A113,IF(A113='Données projet'!$A$166,'Données projet'!$B$166,DO112+DN113-DW112)))</f>
        <v>285.89743589743586</v>
      </c>
      <c r="DP113" s="18">
        <f>DO113*VLOOKUP('Données projet'!$B$14,Paramètres!$A$1:$I$89,3,0)*VLOOKUP('Données projet'!$B$14,Paramètres!$A$1:$I$89,5,0)</f>
        <v>191.77999999999997</v>
      </c>
      <c r="DQ113" s="14">
        <f t="shared" si="97"/>
        <v>47.93327175216595</v>
      </c>
      <c r="DR113" s="22">
        <f t="shared" si="70"/>
        <v>417.50061496835565</v>
      </c>
      <c r="DS113" s="60">
        <f t="shared" si="71"/>
        <v>710.83394830168891</v>
      </c>
      <c r="DT113" s="60">
        <f ca="1">AVERAGE(OFFSET($DS$3,0,0,'Données projet'!$E$14+1,1))-AVERAGE(OFFSET($H$3,0,0,'Données projet'!$E$14+1,1))</f>
        <v>291.18686311753402</v>
      </c>
      <c r="DU113" s="60">
        <f t="shared" si="98"/>
        <v>215.44422413249839</v>
      </c>
      <c r="DV113" s="16">
        <f>IF(ISNA(VLOOKUP(A113,'Données projet'!$A$165:$I$185,3,0)),0,VLOOKUP(A113,'Données projet'!$A$165:$I$185,3,0))</f>
        <v>10</v>
      </c>
      <c r="DW113" s="16">
        <f>IF(ISNA(VLOOKUP(A113,'Données projet'!$A$165:$I$185,4,0)),0,VLOOKUP(A113,'Données projet'!$A$165:$I$185,4,0))</f>
        <v>285.89743589743591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-1.9895196601282805E-13</v>
      </c>
      <c r="EK113" s="18">
        <f>EJ113*VLOOKUP('Données projet'!$B$15,Paramètres!$A$1:$I$89,3,0)*VLOOKUP('Données projet'!$B$15,Paramètres!$A$1:$I$89,5,0)</f>
        <v>-1.6138983482960614E-13</v>
      </c>
      <c r="EL113" s="14" t="e">
        <f t="shared" si="99"/>
        <v>#NUM!</v>
      </c>
      <c r="EM113" s="22" t="e">
        <f t="shared" si="73"/>
        <v>#NUM!</v>
      </c>
      <c r="EN113" s="60" t="e">
        <f t="shared" si="74"/>
        <v>#NUM!</v>
      </c>
      <c r="EO113" s="60">
        <f ca="1">AVERAGE(OFFSET($EN$3,0,0,'Données projet'!$E$15+1,1))-AVERAGE(OFFSET($H$3,0,0,'Données projet'!$E$15+1,1))</f>
        <v>236.22643401787644</v>
      </c>
      <c r="EP113" s="60">
        <f t="shared" si="100"/>
        <v>188.80444043778022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8">
        <f t="shared" si="56"/>
        <v>256.66666666666669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0" t="e">
        <f t="shared" si="55"/>
        <v>#NUM!</v>
      </c>
      <c r="S114" s="60">
        <f ca="1">AVERAGE(OFFSET($R$3,0,0,'Données projet'!$E$9+1,1))-AVERAGE(OFFSET($H$3,0,0,'Données projet'!$E$9+1,1))</f>
        <v>144.55635559713392</v>
      </c>
      <c r="T114" s="60">
        <f t="shared" si="88"/>
        <v>349.14692715126904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12.253160398952486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1.4164275088472024E-13</v>
      </c>
      <c r="AC114" s="24">
        <f t="shared" si="57"/>
        <v>12.253160398952629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269.69999999999959</v>
      </c>
      <c r="AJ114" s="14">
        <f>AI114*VLOOKUP('Données projet'!$B$10,Paramètres!$A$1:$I$89,3,0)*VLOOKUP('Données projet'!$B$10,Paramètres!$A$1:$I$89,5,0)</f>
        <v>244.02455999999964</v>
      </c>
      <c r="AK114" s="14">
        <f t="shared" si="89"/>
        <v>59.304594314969229</v>
      </c>
      <c r="AL114" s="22">
        <f t="shared" si="58"/>
        <v>528.29827709857079</v>
      </c>
      <c r="AM114" s="60">
        <f t="shared" si="59"/>
        <v>821.63161043190416</v>
      </c>
      <c r="AN114" s="60">
        <f ca="1">AVERAGE(OFFSET($AM$3,0,0,'Données projet'!$E$10+1,1))-AVERAGE(OFFSET($H$3,0,0,'Données projet'!$E$10+1,1))</f>
        <v>428.8489304403459</v>
      </c>
      <c r="AO114" s="60">
        <f t="shared" si="90"/>
        <v>247.01165577562966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3.7</v>
      </c>
      <c r="BD114" s="13">
        <f>IF('Données projet'!$A$88&gt;35,BD113+BC114-BL113,IF(A114&lt;'Données projet'!$A$88,$BA$205^A114,IF(A114='Données projet'!$A$88,'Données projet'!$B$88,BD113+BC114-BL113)))</f>
        <v>269.69999999999959</v>
      </c>
      <c r="BE114" s="14">
        <f>BD114*VLOOKUP('Données projet'!$B$11,Paramètres!$A$1:$I$89,3,0)*VLOOKUP('Données projet'!$B$11,Paramètres!$A$1:$I$89,5,0)</f>
        <v>273.47579999999959</v>
      </c>
      <c r="BF114" s="14">
        <f t="shared" si="91"/>
        <v>65.586371730977532</v>
      </c>
      <c r="BG114" s="22">
        <f t="shared" si="61"/>
        <v>590.53328243145177</v>
      </c>
      <c r="BH114" s="60">
        <f t="shared" si="62"/>
        <v>883.86661576478514</v>
      </c>
      <c r="BI114" s="60">
        <f ca="1">AVERAGE(OFFSET($BH$3,0,0,'Données projet'!$E$11+1,1))-AVERAGE(OFFSET($H$3,0,0,'Données projet'!$E$11+1,1))</f>
        <v>475.47920969424894</v>
      </c>
      <c r="BJ114" s="60">
        <f t="shared" si="92"/>
        <v>271.73544012419364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</v>
      </c>
      <c r="BY114" s="13">
        <f>IF('Données projet'!$A$114&gt;35,BY113+BX114-CG113,IF(A114&lt;'Données projet'!$A$114,$BV$205^A114,IF(A114='Données projet'!$A$114,'Données projet'!$B$114,BY113+BX114-CG113)))</f>
        <v>184.00000000000006</v>
      </c>
      <c r="BZ114" s="14">
        <f>BY114*VLOOKUP('Données projet'!$B$12,Paramètres!$A$1:$I$89,3,0)*VLOOKUP('Données projet'!$B$12,Paramètres!$A$1:$I$89,5,0)</f>
        <v>177.96480000000008</v>
      </c>
      <c r="CA114" s="14">
        <f t="shared" si="93"/>
        <v>44.869092441133326</v>
      </c>
      <c r="CB114" s="22">
        <f t="shared" si="64"/>
        <v>388.10236266830731</v>
      </c>
      <c r="CC114" s="60">
        <f t="shared" si="65"/>
        <v>681.43569600164062</v>
      </c>
      <c r="CD114" s="60">
        <f ca="1">AVERAGE(OFFSET($CC$3,0,0,'Données projet'!$E$12+1,1))-AVERAGE(OFFSET($H$3,0,0,'Données projet'!$E$12+1,1))</f>
        <v>255.59755832175625</v>
      </c>
      <c r="CE114" s="60">
        <f t="shared" si="94"/>
        <v>154.0840647586964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</v>
      </c>
      <c r="CT114" s="13">
        <f>IF('Données projet'!$A$140&gt;35,CT113+CS114-DB113,IF(A114&lt;'Données projet'!$A$140,$CQ$205^A114,IF(A114='Données projet'!$A$140,'Données projet'!$B$140,CT113+CS114-DB113)))</f>
        <v>184.00000000000006</v>
      </c>
      <c r="CU114" s="18">
        <f>CT114*VLOOKUP('Données projet'!$B$13,Paramètres!$A$1:$I$89,3,0)*VLOOKUP('Données projet'!$B$13,Paramètres!$A$1:$I$89,5,0)</f>
        <v>198.05760000000006</v>
      </c>
      <c r="CV114" s="14">
        <f t="shared" si="95"/>
        <v>49.317044830035982</v>
      </c>
      <c r="CW114" s="22">
        <f t="shared" si="67"/>
        <v>430.8441730789794</v>
      </c>
      <c r="CX114" s="60">
        <f t="shared" si="68"/>
        <v>724.17750641231271</v>
      </c>
      <c r="CY114" s="60">
        <f ca="1">AVERAGE(OFFSET($CX$3,0,0,'Données projet'!$E$13+1,1))-AVERAGE(OFFSET($H$3,0,0,'Données projet'!$E$13+1,1))</f>
        <v>280.20599015000306</v>
      </c>
      <c r="CZ114" s="60">
        <f t="shared" si="96"/>
        <v>166.97658184507787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-5.6843418860808015E-14</v>
      </c>
      <c r="DP114" s="18">
        <f>DO114*VLOOKUP('Données projet'!$B$14,Paramètres!$A$1:$I$89,3,0)*VLOOKUP('Données projet'!$B$14,Paramètres!$A$1:$I$89,5,0)</f>
        <v>-3.813056537183002E-14</v>
      </c>
      <c r="DQ114" s="14" t="e">
        <f t="shared" si="97"/>
        <v>#NUM!</v>
      </c>
      <c r="DR114" s="22" t="e">
        <f t="shared" si="70"/>
        <v>#NUM!</v>
      </c>
      <c r="DS114" s="60" t="e">
        <f t="shared" si="71"/>
        <v>#NUM!</v>
      </c>
      <c r="DT114" s="60">
        <f ca="1">AVERAGE(OFFSET($DS$3,0,0,'Données projet'!$E$14+1,1))-AVERAGE(OFFSET($H$3,0,0,'Données projet'!$E$14+1,1))</f>
        <v>291.18686311753402</v>
      </c>
      <c r="DU114" s="60">
        <f t="shared" si="98"/>
        <v>215.44422413249839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-1.9895196601282805E-13</v>
      </c>
      <c r="EK114" s="18">
        <f>EJ114*VLOOKUP('Données projet'!$B$15,Paramètres!$A$1:$I$89,3,0)*VLOOKUP('Données projet'!$B$15,Paramètres!$A$1:$I$89,5,0)</f>
        <v>-1.6138983482960614E-13</v>
      </c>
      <c r="EL114" s="14" t="e">
        <f t="shared" si="99"/>
        <v>#NUM!</v>
      </c>
      <c r="EM114" s="22" t="e">
        <f t="shared" si="73"/>
        <v>#NUM!</v>
      </c>
      <c r="EN114" s="60" t="e">
        <f t="shared" si="74"/>
        <v>#NUM!</v>
      </c>
      <c r="EO114" s="60">
        <f ca="1">AVERAGE(OFFSET($EN$3,0,0,'Données projet'!$E$15+1,1))-AVERAGE(OFFSET($H$3,0,0,'Données projet'!$E$15+1,1))</f>
        <v>236.22643401787644</v>
      </c>
      <c r="EP114" s="60">
        <f t="shared" si="100"/>
        <v>188.80444043778022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8">
        <f t="shared" si="56"/>
        <v>256.66666666666669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0" t="e">
        <f t="shared" si="55"/>
        <v>#NUM!</v>
      </c>
      <c r="S115" s="60">
        <f ca="1">AVERAGE(OFFSET($R$3,0,0,'Données projet'!$E$9+1,1))-AVERAGE(OFFSET($H$3,0,0,'Données projet'!$E$9+1,1))</f>
        <v>144.55635559713392</v>
      </c>
      <c r="T115" s="60">
        <f t="shared" si="88"/>
        <v>349.14692715126904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12.012883397218905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1.0015654965650254E-13</v>
      </c>
      <c r="AC115" s="24">
        <f t="shared" si="57"/>
        <v>12.012883397219005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273.39999999999958</v>
      </c>
      <c r="AJ115" s="14">
        <f>AI115*VLOOKUP('Données projet'!$B$10,Paramètres!$A$1:$I$89,3,0)*VLOOKUP('Données projet'!$B$10,Paramètres!$A$1:$I$89,5,0)</f>
        <v>247.3723199999996</v>
      </c>
      <c r="AK115" s="14">
        <f t="shared" si="89"/>
        <v>60.022917171130942</v>
      </c>
      <c r="AL115" s="22">
        <f t="shared" si="58"/>
        <v>535.38003807305233</v>
      </c>
      <c r="AM115" s="60">
        <f t="shared" si="59"/>
        <v>828.7133714063857</v>
      </c>
      <c r="AN115" s="60">
        <f ca="1">AVERAGE(OFFSET($AM$3,0,0,'Données projet'!$E$10+1,1))-AVERAGE(OFFSET($H$3,0,0,'Données projet'!$E$10+1,1))</f>
        <v>428.8489304403459</v>
      </c>
      <c r="AO115" s="60">
        <f t="shared" si="90"/>
        <v>247.01165577562966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3.7</v>
      </c>
      <c r="BD115" s="13">
        <f>IF('Données projet'!$A$88&gt;35,BD114+BC115-BL114,IF(A115&lt;'Données projet'!$A$88,$BA$205^A115,IF(A115='Données projet'!$A$88,'Données projet'!$B$88,BD114+BC115-BL114)))</f>
        <v>273.39999999999958</v>
      </c>
      <c r="BE115" s="14">
        <f>BD115*VLOOKUP('Données projet'!$B$11,Paramètres!$A$1:$I$89,3,0)*VLOOKUP('Données projet'!$B$11,Paramètres!$A$1:$I$89,5,0)</f>
        <v>277.2275999999996</v>
      </c>
      <c r="BF115" s="14">
        <f t="shared" si="91"/>
        <v>66.380782187895392</v>
      </c>
      <c r="BG115" s="22">
        <f t="shared" si="61"/>
        <v>598.45126564391705</v>
      </c>
      <c r="BH115" s="60">
        <f t="shared" si="62"/>
        <v>891.78459897725043</v>
      </c>
      <c r="BI115" s="60">
        <f ca="1">AVERAGE(OFFSET($BH$3,0,0,'Données projet'!$E$11+1,1))-AVERAGE(OFFSET($H$3,0,0,'Données projet'!$E$11+1,1))</f>
        <v>475.47920969424894</v>
      </c>
      <c r="BJ115" s="60">
        <f t="shared" si="92"/>
        <v>271.73544012419364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</v>
      </c>
      <c r="BY115" s="13">
        <f>IF('Données projet'!$A$114&gt;35,BY114+BX115-CG114,IF(A115&lt;'Données projet'!$A$114,$BV$205^A115,IF(A115='Données projet'!$A$114,'Données projet'!$B$114,BY114+BX115-CG114)))</f>
        <v>187.00000000000006</v>
      </c>
      <c r="BZ115" s="14">
        <f>BY115*VLOOKUP('Données projet'!$B$12,Paramètres!$A$1:$I$89,3,0)*VLOOKUP('Données projet'!$B$12,Paramètres!$A$1:$I$89,5,0)</f>
        <v>180.86640000000006</v>
      </c>
      <c r="CA115" s="14">
        <f t="shared" si="93"/>
        <v>45.514890302102152</v>
      </c>
      <c r="CB115" s="22">
        <f t="shared" si="64"/>
        <v>394.28074727616132</v>
      </c>
      <c r="CC115" s="60">
        <f t="shared" si="65"/>
        <v>687.61408060949464</v>
      </c>
      <c r="CD115" s="60">
        <f ca="1">AVERAGE(OFFSET($CC$3,0,0,'Données projet'!$E$12+1,1))-AVERAGE(OFFSET($H$3,0,0,'Données projet'!$E$12+1,1))</f>
        <v>255.59755832175625</v>
      </c>
      <c r="CE115" s="60">
        <f t="shared" si="94"/>
        <v>154.0840647586964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</v>
      </c>
      <c r="CT115" s="13">
        <f>IF('Données projet'!$A$140&gt;35,CT114+CS115-DB114,IF(A115&lt;'Données projet'!$A$140,$CQ$205^A115,IF(A115='Données projet'!$A$140,'Données projet'!$B$140,CT114+CS115-DB114)))</f>
        <v>187.00000000000006</v>
      </c>
      <c r="CU115" s="18">
        <f>CT115*VLOOKUP('Données projet'!$B$13,Paramètres!$A$1:$I$89,3,0)*VLOOKUP('Données projet'!$B$13,Paramètres!$A$1:$I$89,5,0)</f>
        <v>201.28680000000006</v>
      </c>
      <c r="CV115" s="14">
        <f t="shared" si="95"/>
        <v>50.026861773677666</v>
      </c>
      <c r="CW115" s="22">
        <f t="shared" si="67"/>
        <v>437.70462758915534</v>
      </c>
      <c r="CX115" s="60">
        <f t="shared" si="68"/>
        <v>731.03796092248865</v>
      </c>
      <c r="CY115" s="60">
        <f ca="1">AVERAGE(OFFSET($CX$3,0,0,'Données projet'!$E$13+1,1))-AVERAGE(OFFSET($H$3,0,0,'Données projet'!$E$13+1,1))</f>
        <v>280.20599015000306</v>
      </c>
      <c r="CZ115" s="60">
        <f t="shared" si="96"/>
        <v>166.97658184507787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-5.6843418860808015E-14</v>
      </c>
      <c r="DP115" s="18">
        <f>DO115*VLOOKUP('Données projet'!$B$14,Paramètres!$A$1:$I$89,3,0)*VLOOKUP('Données projet'!$B$14,Paramètres!$A$1:$I$89,5,0)</f>
        <v>-3.813056537183002E-14</v>
      </c>
      <c r="DQ115" s="14" t="e">
        <f t="shared" si="97"/>
        <v>#NUM!</v>
      </c>
      <c r="DR115" s="22" t="e">
        <f t="shared" si="70"/>
        <v>#NUM!</v>
      </c>
      <c r="DS115" s="60" t="e">
        <f t="shared" si="71"/>
        <v>#NUM!</v>
      </c>
      <c r="DT115" s="60">
        <f ca="1">AVERAGE(OFFSET($DS$3,0,0,'Données projet'!$E$14+1,1))-AVERAGE(OFFSET($H$3,0,0,'Données projet'!$E$14+1,1))</f>
        <v>291.18686311753402</v>
      </c>
      <c r="DU115" s="60">
        <f t="shared" si="98"/>
        <v>215.44422413249839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-1.9895196601282805E-13</v>
      </c>
      <c r="EK115" s="18">
        <f>EJ115*VLOOKUP('Données projet'!$B$15,Paramètres!$A$1:$I$89,3,0)*VLOOKUP('Données projet'!$B$15,Paramètres!$A$1:$I$89,5,0)</f>
        <v>-1.6138983482960614E-13</v>
      </c>
      <c r="EL115" s="14" t="e">
        <f t="shared" si="99"/>
        <v>#NUM!</v>
      </c>
      <c r="EM115" s="22" t="e">
        <f t="shared" si="73"/>
        <v>#NUM!</v>
      </c>
      <c r="EN115" s="60" t="e">
        <f t="shared" si="74"/>
        <v>#NUM!</v>
      </c>
      <c r="EO115" s="60">
        <f ca="1">AVERAGE(OFFSET($EN$3,0,0,'Données projet'!$E$15+1,1))-AVERAGE(OFFSET($H$3,0,0,'Données projet'!$E$15+1,1))</f>
        <v>236.22643401787644</v>
      </c>
      <c r="EP115" s="60">
        <f t="shared" si="100"/>
        <v>188.80444043778022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8">
        <f t="shared" si="56"/>
        <v>256.66666666666669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0" t="e">
        <f t="shared" si="55"/>
        <v>#NUM!</v>
      </c>
      <c r="S116" s="60">
        <f ca="1">AVERAGE(OFFSET($R$3,0,0,'Données projet'!$E$9+1,1))-AVERAGE(OFFSET($H$3,0,0,'Données projet'!$E$9+1,1))</f>
        <v>144.55635559713392</v>
      </c>
      <c r="T116" s="60">
        <f t="shared" si="88"/>
        <v>349.14692715126904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11.777318080934821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7.082137544236012E-14</v>
      </c>
      <c r="AC116" s="24">
        <f t="shared" si="57"/>
        <v>11.777318080934892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277.09999999999957</v>
      </c>
      <c r="AJ116" s="14">
        <f>AI116*VLOOKUP('Données projet'!$B$10,Paramètres!$A$1:$I$89,3,0)*VLOOKUP('Données projet'!$B$10,Paramètres!$A$1:$I$89,5,0)</f>
        <v>250.7200799999996</v>
      </c>
      <c r="AK116" s="14">
        <f t="shared" si="89"/>
        <v>60.740109326032709</v>
      </c>
      <c r="AL116" s="22">
        <f t="shared" si="58"/>
        <v>542.45982974283959</v>
      </c>
      <c r="AM116" s="60">
        <f t="shared" si="59"/>
        <v>835.79316307617296</v>
      </c>
      <c r="AN116" s="60">
        <f ca="1">AVERAGE(OFFSET($AM$3,0,0,'Données projet'!$E$10+1,1))-AVERAGE(OFFSET($H$3,0,0,'Données projet'!$E$10+1,1))</f>
        <v>428.8489304403459</v>
      </c>
      <c r="AO116" s="60">
        <f t="shared" si="90"/>
        <v>247.01165577562966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3.7</v>
      </c>
      <c r="BD116" s="13">
        <f>IF('Données projet'!$A$88&gt;35,BD115+BC116-BL115,IF(A116&lt;'Données projet'!$A$88,$BA$205^A116,IF(A116='Données projet'!$A$88,'Données projet'!$B$88,BD115+BC116-BL115)))</f>
        <v>277.09999999999957</v>
      </c>
      <c r="BE116" s="14">
        <f>BD116*VLOOKUP('Données projet'!$B$11,Paramètres!$A$1:$I$89,3,0)*VLOOKUP('Données projet'!$B$11,Paramètres!$A$1:$I$89,5,0)</f>
        <v>280.9793999999996</v>
      </c>
      <c r="BF116" s="14">
        <f t="shared" si="91"/>
        <v>67.173942175199358</v>
      </c>
      <c r="BG116" s="22">
        <f t="shared" si="61"/>
        <v>606.36707095513827</v>
      </c>
      <c r="BH116" s="60">
        <f t="shared" si="62"/>
        <v>899.70040428847165</v>
      </c>
      <c r="BI116" s="60">
        <f ca="1">AVERAGE(OFFSET($BH$3,0,0,'Données projet'!$E$11+1,1))-AVERAGE(OFFSET($H$3,0,0,'Données projet'!$E$11+1,1))</f>
        <v>475.47920969424894</v>
      </c>
      <c r="BJ116" s="60">
        <f t="shared" si="92"/>
        <v>271.73544012419364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</v>
      </c>
      <c r="BY116" s="13">
        <f>IF('Données projet'!$A$114&gt;35,BY115+BX116-CG115,IF(A116&lt;'Données projet'!$A$114,$BV$205^A116,IF(A116='Données projet'!$A$114,'Données projet'!$B$114,BY115+BX116-CG115)))</f>
        <v>190.00000000000006</v>
      </c>
      <c r="BZ116" s="14">
        <f>BY116*VLOOKUP('Données projet'!$B$12,Paramètres!$A$1:$I$89,3,0)*VLOOKUP('Données projet'!$B$12,Paramètres!$A$1:$I$89,5,0)</f>
        <v>183.76800000000006</v>
      </c>
      <c r="CA116" s="14">
        <f t="shared" si="93"/>
        <v>46.159483283907285</v>
      </c>
      <c r="CB116" s="22">
        <f t="shared" si="64"/>
        <v>400.45703338613862</v>
      </c>
      <c r="CC116" s="60">
        <f t="shared" si="65"/>
        <v>693.79036671947188</v>
      </c>
      <c r="CD116" s="60">
        <f ca="1">AVERAGE(OFFSET($CC$3,0,0,'Données projet'!$E$12+1,1))-AVERAGE(OFFSET($H$3,0,0,'Données projet'!$E$12+1,1))</f>
        <v>255.59755832175625</v>
      </c>
      <c r="CE116" s="60">
        <f t="shared" si="94"/>
        <v>154.0840647586964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</v>
      </c>
      <c r="CT116" s="13">
        <f>IF('Données projet'!$A$140&gt;35,CT115+CS116-DB115,IF(A116&lt;'Données projet'!$A$140,$CQ$205^A116,IF(A116='Données projet'!$A$140,'Données projet'!$B$140,CT115+CS116-DB115)))</f>
        <v>190.00000000000006</v>
      </c>
      <c r="CU116" s="18">
        <f>CT116*VLOOKUP('Données projet'!$B$13,Paramètres!$A$1:$I$89,3,0)*VLOOKUP('Données projet'!$B$13,Paramètres!$A$1:$I$89,5,0)</f>
        <v>204.51600000000005</v>
      </c>
      <c r="CV116" s="14">
        <f t="shared" si="95"/>
        <v>50.735354396355888</v>
      </c>
      <c r="CW116" s="22">
        <f t="shared" si="67"/>
        <v>444.5627755736532</v>
      </c>
      <c r="CX116" s="60">
        <f t="shared" si="68"/>
        <v>737.89610890698646</v>
      </c>
      <c r="CY116" s="60">
        <f ca="1">AVERAGE(OFFSET($CX$3,0,0,'Données projet'!$E$13+1,1))-AVERAGE(OFFSET($H$3,0,0,'Données projet'!$E$13+1,1))</f>
        <v>280.20599015000306</v>
      </c>
      <c r="CZ116" s="60">
        <f t="shared" si="96"/>
        <v>166.97658184507787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-5.6843418860808015E-14</v>
      </c>
      <c r="DP116" s="18">
        <f>DO116*VLOOKUP('Données projet'!$B$14,Paramètres!$A$1:$I$89,3,0)*VLOOKUP('Données projet'!$B$14,Paramètres!$A$1:$I$89,5,0)</f>
        <v>-3.813056537183002E-14</v>
      </c>
      <c r="DQ116" s="14" t="e">
        <f t="shared" si="97"/>
        <v>#NUM!</v>
      </c>
      <c r="DR116" s="22" t="e">
        <f t="shared" si="70"/>
        <v>#NUM!</v>
      </c>
      <c r="DS116" s="60" t="e">
        <f t="shared" si="71"/>
        <v>#NUM!</v>
      </c>
      <c r="DT116" s="60">
        <f ca="1">AVERAGE(OFFSET($DS$3,0,0,'Données projet'!$E$14+1,1))-AVERAGE(OFFSET($H$3,0,0,'Données projet'!$E$14+1,1))</f>
        <v>291.18686311753402</v>
      </c>
      <c r="DU116" s="60">
        <f t="shared" si="98"/>
        <v>215.44422413249839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-1.9895196601282805E-13</v>
      </c>
      <c r="EK116" s="18">
        <f>EJ116*VLOOKUP('Données projet'!$B$15,Paramètres!$A$1:$I$89,3,0)*VLOOKUP('Données projet'!$B$15,Paramètres!$A$1:$I$89,5,0)</f>
        <v>-1.6138983482960614E-13</v>
      </c>
      <c r="EL116" s="14" t="e">
        <f t="shared" si="99"/>
        <v>#NUM!</v>
      </c>
      <c r="EM116" s="22" t="e">
        <f t="shared" si="73"/>
        <v>#NUM!</v>
      </c>
      <c r="EN116" s="60" t="e">
        <f t="shared" si="74"/>
        <v>#NUM!</v>
      </c>
      <c r="EO116" s="60">
        <f ca="1">AVERAGE(OFFSET($EN$3,0,0,'Données projet'!$E$15+1,1))-AVERAGE(OFFSET($H$3,0,0,'Données projet'!$E$15+1,1))</f>
        <v>236.22643401787644</v>
      </c>
      <c r="EP116" s="60">
        <f t="shared" si="100"/>
        <v>188.80444043778022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8">
        <f t="shared" si="56"/>
        <v>256.66666666666669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0" t="e">
        <f t="shared" si="55"/>
        <v>#NUM!</v>
      </c>
      <c r="S117" s="60">
        <f ca="1">AVERAGE(OFFSET($R$3,0,0,'Données projet'!$E$9+1,1))-AVERAGE(OFFSET($H$3,0,0,'Données projet'!$E$9+1,1))</f>
        <v>144.55635559713392</v>
      </c>
      <c r="T117" s="60">
        <f t="shared" si="88"/>
        <v>349.14692715126904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11.546372056822412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5.0078274828251268E-14</v>
      </c>
      <c r="AC117" s="24">
        <f t="shared" si="57"/>
        <v>11.546372056822461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280.79999999999956</v>
      </c>
      <c r="AJ117" s="14">
        <f>AI117*VLOOKUP('Données projet'!$B$10,Paramètres!$A$1:$I$89,3,0)*VLOOKUP('Données projet'!$B$10,Paramètres!$A$1:$I$89,5,0)</f>
        <v>254.06783999999956</v>
      </c>
      <c r="AK117" s="14">
        <f t="shared" si="89"/>
        <v>61.456187622750669</v>
      </c>
      <c r="AL117" s="22">
        <f t="shared" si="58"/>
        <v>549.53768144295657</v>
      </c>
      <c r="AM117" s="60">
        <f t="shared" si="59"/>
        <v>842.87101477628994</v>
      </c>
      <c r="AN117" s="60">
        <f ca="1">AVERAGE(OFFSET($AM$3,0,0,'Données projet'!$E$10+1,1))-AVERAGE(OFFSET($H$3,0,0,'Données projet'!$E$10+1,1))</f>
        <v>428.8489304403459</v>
      </c>
      <c r="AO117" s="60">
        <f t="shared" si="90"/>
        <v>247.01165577562966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3.7</v>
      </c>
      <c r="BD117" s="13">
        <f>IF('Données projet'!$A$88&gt;35,BD116+BC117-BL116,IF(A117&lt;'Données projet'!$A$88,$BA$205^A117,IF(A117='Données projet'!$A$88,'Données projet'!$B$88,BD116+BC117-BL116)))</f>
        <v>280.79999999999956</v>
      </c>
      <c r="BE117" s="14">
        <f>BD117*VLOOKUP('Données projet'!$B$11,Paramètres!$A$1:$I$89,3,0)*VLOOKUP('Données projet'!$B$11,Paramètres!$A$1:$I$89,5,0)</f>
        <v>284.7311999999996</v>
      </c>
      <c r="BF117" s="14">
        <f t="shared" si="91"/>
        <v>67.965870320050882</v>
      </c>
      <c r="BG117" s="22">
        <f t="shared" si="61"/>
        <v>614.28073080742126</v>
      </c>
      <c r="BH117" s="60">
        <f t="shared" si="62"/>
        <v>907.61406414075464</v>
      </c>
      <c r="BI117" s="60">
        <f ca="1">AVERAGE(OFFSET($BH$3,0,0,'Données projet'!$E$11+1,1))-AVERAGE(OFFSET($H$3,0,0,'Données projet'!$E$11+1,1))</f>
        <v>475.47920969424894</v>
      </c>
      <c r="BJ117" s="60">
        <f t="shared" si="92"/>
        <v>271.73544012419364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</v>
      </c>
      <c r="BY117" s="13">
        <f>IF('Données projet'!$A$114&gt;35,BY116+BX117-CG116,IF(A117&lt;'Données projet'!$A$114,$BV$205^A117,IF(A117='Données projet'!$A$114,'Données projet'!$B$114,BY116+BX117-CG116)))</f>
        <v>193.00000000000006</v>
      </c>
      <c r="BZ117" s="14">
        <f>BY117*VLOOKUP('Données projet'!$B$12,Paramètres!$A$1:$I$89,3,0)*VLOOKUP('Données projet'!$B$12,Paramètres!$A$1:$I$89,5,0)</f>
        <v>186.66960000000006</v>
      </c>
      <c r="CA117" s="14">
        <f t="shared" si="93"/>
        <v>46.802892607668348</v>
      </c>
      <c r="CB117" s="22">
        <f t="shared" si="64"/>
        <v>406.63125795835577</v>
      </c>
      <c r="CC117" s="60">
        <f t="shared" si="65"/>
        <v>699.96459129168909</v>
      </c>
      <c r="CD117" s="60">
        <f ca="1">AVERAGE(OFFSET($CC$3,0,0,'Données projet'!$E$12+1,1))-AVERAGE(OFFSET($H$3,0,0,'Données projet'!$E$12+1,1))</f>
        <v>255.59755832175625</v>
      </c>
      <c r="CE117" s="60">
        <f t="shared" si="94"/>
        <v>154.0840647586964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</v>
      </c>
      <c r="CT117" s="13">
        <f>IF('Données projet'!$A$140&gt;35,CT116+CS117-DB116,IF(A117&lt;'Données projet'!$A$140,$CQ$205^A117,IF(A117='Données projet'!$A$140,'Données projet'!$B$140,CT116+CS117-DB116)))</f>
        <v>193.00000000000006</v>
      </c>
      <c r="CU117" s="18">
        <f>CT117*VLOOKUP('Données projet'!$B$13,Paramètres!$A$1:$I$89,3,0)*VLOOKUP('Données projet'!$B$13,Paramètres!$A$1:$I$89,5,0)</f>
        <v>207.74520000000004</v>
      </c>
      <c r="CV117" s="14">
        <f t="shared" si="95"/>
        <v>51.442546022877416</v>
      </c>
      <c r="CW117" s="22">
        <f t="shared" si="67"/>
        <v>451.41865765651147</v>
      </c>
      <c r="CX117" s="60">
        <f t="shared" si="68"/>
        <v>744.75199098984478</v>
      </c>
      <c r="CY117" s="60">
        <f ca="1">AVERAGE(OFFSET($CX$3,0,0,'Données projet'!$E$13+1,1))-AVERAGE(OFFSET($H$3,0,0,'Données projet'!$E$13+1,1))</f>
        <v>280.20599015000306</v>
      </c>
      <c r="CZ117" s="60">
        <f t="shared" si="96"/>
        <v>166.97658184507787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-5.6843418860808015E-14</v>
      </c>
      <c r="DP117" s="18">
        <f>DO117*VLOOKUP('Données projet'!$B$14,Paramètres!$A$1:$I$89,3,0)*VLOOKUP('Données projet'!$B$14,Paramètres!$A$1:$I$89,5,0)</f>
        <v>-3.813056537183002E-14</v>
      </c>
      <c r="DQ117" s="14" t="e">
        <f t="shared" si="97"/>
        <v>#NUM!</v>
      </c>
      <c r="DR117" s="22" t="e">
        <f t="shared" si="70"/>
        <v>#NUM!</v>
      </c>
      <c r="DS117" s="60" t="e">
        <f t="shared" si="71"/>
        <v>#NUM!</v>
      </c>
      <c r="DT117" s="60">
        <f ca="1">AVERAGE(OFFSET($DS$3,0,0,'Données projet'!$E$14+1,1))-AVERAGE(OFFSET($H$3,0,0,'Données projet'!$E$14+1,1))</f>
        <v>291.18686311753402</v>
      </c>
      <c r="DU117" s="60">
        <f t="shared" si="98"/>
        <v>215.44422413249839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-1.9895196601282805E-13</v>
      </c>
      <c r="EK117" s="18">
        <f>EJ117*VLOOKUP('Données projet'!$B$15,Paramètres!$A$1:$I$89,3,0)*VLOOKUP('Données projet'!$B$15,Paramètres!$A$1:$I$89,5,0)</f>
        <v>-1.6138983482960614E-13</v>
      </c>
      <c r="EL117" s="14" t="e">
        <f t="shared" si="99"/>
        <v>#NUM!</v>
      </c>
      <c r="EM117" s="22" t="e">
        <f t="shared" si="73"/>
        <v>#NUM!</v>
      </c>
      <c r="EN117" s="60" t="e">
        <f t="shared" si="74"/>
        <v>#NUM!</v>
      </c>
      <c r="EO117" s="60">
        <f ca="1">AVERAGE(OFFSET($EN$3,0,0,'Données projet'!$E$15+1,1))-AVERAGE(OFFSET($H$3,0,0,'Données projet'!$E$15+1,1))</f>
        <v>236.22643401787644</v>
      </c>
      <c r="EP117" s="60">
        <f t="shared" si="100"/>
        <v>188.80444043778022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8">
        <f t="shared" si="56"/>
        <v>256.66666666666669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0" t="e">
        <f t="shared" si="55"/>
        <v>#NUM!</v>
      </c>
      <c r="S118" s="60">
        <f ca="1">AVERAGE(OFFSET($R$3,0,0,'Données projet'!$E$9+1,1))-AVERAGE(OFFSET($H$3,0,0,'Données projet'!$E$9+1,1))</f>
        <v>144.55635559713392</v>
      </c>
      <c r="T118" s="60">
        <f t="shared" si="88"/>
        <v>349.14692715126904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11.319954743379681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3.541068772118006E-14</v>
      </c>
      <c r="AC118" s="24">
        <f t="shared" si="57"/>
        <v>11.319954743379716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284.49999999999955</v>
      </c>
      <c r="AJ118" s="14">
        <f>AI118*VLOOKUP('Données projet'!$B$10,Paramètres!$A$1:$I$89,3,0)*VLOOKUP('Données projet'!$B$10,Paramètres!$A$1:$I$89,5,0)</f>
        <v>257.41559999999959</v>
      </c>
      <c r="AK118" s="14">
        <f t="shared" si="89"/>
        <v>62.171168434977062</v>
      </c>
      <c r="AL118" s="22">
        <f t="shared" si="58"/>
        <v>556.61362169091774</v>
      </c>
      <c r="AM118" s="60">
        <f t="shared" si="59"/>
        <v>849.94695502425111</v>
      </c>
      <c r="AN118" s="60">
        <f ca="1">AVERAGE(OFFSET($AM$3,0,0,'Données projet'!$E$10+1,1))-AVERAGE(OFFSET($H$3,0,0,'Données projet'!$E$10+1,1))</f>
        <v>428.8489304403459</v>
      </c>
      <c r="AO118" s="60">
        <f t="shared" si="90"/>
        <v>247.01165577562966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3.7</v>
      </c>
      <c r="BD118" s="13">
        <f>IF('Données projet'!$A$88&gt;35,BD117+BC118-BL117,IF(A118&lt;'Données projet'!$A$88,$BA$205^A118,IF(A118='Données projet'!$A$88,'Données projet'!$B$88,BD117+BC118-BL117)))</f>
        <v>284.49999999999955</v>
      </c>
      <c r="BE118" s="14">
        <f>BD118*VLOOKUP('Données projet'!$B$11,Paramètres!$A$1:$I$89,3,0)*VLOOKUP('Données projet'!$B$11,Paramètres!$A$1:$I$89,5,0)</f>
        <v>288.48299999999955</v>
      </c>
      <c r="BF118" s="14">
        <f t="shared" si="91"/>
        <v>68.756584730508635</v>
      </c>
      <c r="BG118" s="22">
        <f t="shared" si="61"/>
        <v>622.19227673896842</v>
      </c>
      <c r="BH118" s="60">
        <f t="shared" si="62"/>
        <v>915.52561007230179</v>
      </c>
      <c r="BI118" s="60">
        <f ca="1">AVERAGE(OFFSET($BH$3,0,0,'Données projet'!$E$11+1,1))-AVERAGE(OFFSET($H$3,0,0,'Données projet'!$E$11+1,1))</f>
        <v>475.47920969424894</v>
      </c>
      <c r="BJ118" s="60">
        <f t="shared" si="92"/>
        <v>271.73544012419364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3</v>
      </c>
      <c r="BY118" s="13">
        <f>IF('Données projet'!$A$114&gt;35,BY117+BX118-CG117,IF(A118&lt;'Données projet'!$A$114,$BV$205^A118,IF(A118='Données projet'!$A$114,'Données projet'!$B$114,BY117+BX118-CG117)))</f>
        <v>196.00000000000006</v>
      </c>
      <c r="BZ118" s="14">
        <f>BY118*VLOOKUP('Données projet'!$B$12,Paramètres!$A$1:$I$89,3,0)*VLOOKUP('Données projet'!$B$12,Paramètres!$A$1:$I$89,5,0)</f>
        <v>189.57120000000006</v>
      </c>
      <c r="CA118" s="14">
        <f t="shared" si="93"/>
        <v>47.445138796932483</v>
      </c>
      <c r="CB118" s="22">
        <f t="shared" si="64"/>
        <v>412.80345673799087</v>
      </c>
      <c r="CC118" s="60">
        <f t="shared" si="65"/>
        <v>706.13679007132419</v>
      </c>
      <c r="CD118" s="60">
        <f ca="1">AVERAGE(OFFSET($CC$3,0,0,'Données projet'!$E$12+1,1))-AVERAGE(OFFSET($H$3,0,0,'Données projet'!$E$12+1,1))</f>
        <v>255.59755832175625</v>
      </c>
      <c r="CE118" s="60">
        <f t="shared" si="94"/>
        <v>154.0840647586964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3</v>
      </c>
      <c r="CT118" s="13">
        <f>IF('Données projet'!$A$140&gt;35,CT117+CS118-DB117,IF(A118&lt;'Données projet'!$A$140,$CQ$205^A118,IF(A118='Données projet'!$A$140,'Données projet'!$B$140,CT117+CS118-DB117)))</f>
        <v>196.00000000000006</v>
      </c>
      <c r="CU118" s="18">
        <f>CT118*VLOOKUP('Données projet'!$B$13,Paramètres!$A$1:$I$89,3,0)*VLOOKUP('Données projet'!$B$13,Paramètres!$A$1:$I$89,5,0)</f>
        <v>210.97440000000006</v>
      </c>
      <c r="CV118" s="14">
        <f t="shared" si="95"/>
        <v>52.148459211324706</v>
      </c>
      <c r="CW118" s="22">
        <f t="shared" si="67"/>
        <v>458.27231312639066</v>
      </c>
      <c r="CX118" s="60">
        <f t="shared" si="68"/>
        <v>751.60564645972397</v>
      </c>
      <c r="CY118" s="60">
        <f ca="1">AVERAGE(OFFSET($CX$3,0,0,'Données projet'!$E$13+1,1))-AVERAGE(OFFSET($H$3,0,0,'Données projet'!$E$13+1,1))</f>
        <v>280.20599015000306</v>
      </c>
      <c r="CZ118" s="60">
        <f t="shared" si="96"/>
        <v>166.97658184507787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-5.6843418860808015E-14</v>
      </c>
      <c r="DP118" s="18">
        <f>DO118*VLOOKUP('Données projet'!$B$14,Paramètres!$A$1:$I$89,3,0)*VLOOKUP('Données projet'!$B$14,Paramètres!$A$1:$I$89,5,0)</f>
        <v>-3.813056537183002E-14</v>
      </c>
      <c r="DQ118" s="14" t="e">
        <f t="shared" si="97"/>
        <v>#NUM!</v>
      </c>
      <c r="DR118" s="22" t="e">
        <f t="shared" si="70"/>
        <v>#NUM!</v>
      </c>
      <c r="DS118" s="60" t="e">
        <f t="shared" si="71"/>
        <v>#NUM!</v>
      </c>
      <c r="DT118" s="60">
        <f ca="1">AVERAGE(OFFSET($DS$3,0,0,'Données projet'!$E$14+1,1))-AVERAGE(OFFSET($H$3,0,0,'Données projet'!$E$14+1,1))</f>
        <v>291.18686311753402</v>
      </c>
      <c r="DU118" s="60">
        <f t="shared" si="98"/>
        <v>215.44422413249839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-1.9895196601282805E-13</v>
      </c>
      <c r="EK118" s="18">
        <f>EJ118*VLOOKUP('Données projet'!$B$15,Paramètres!$A$1:$I$89,3,0)*VLOOKUP('Données projet'!$B$15,Paramètres!$A$1:$I$89,5,0)</f>
        <v>-1.6138983482960614E-13</v>
      </c>
      <c r="EL118" s="14" t="e">
        <f t="shared" si="99"/>
        <v>#NUM!</v>
      </c>
      <c r="EM118" s="22" t="e">
        <f t="shared" si="73"/>
        <v>#NUM!</v>
      </c>
      <c r="EN118" s="60" t="e">
        <f t="shared" si="74"/>
        <v>#NUM!</v>
      </c>
      <c r="EO118" s="60">
        <f ca="1">AVERAGE(OFFSET($EN$3,0,0,'Données projet'!$E$15+1,1))-AVERAGE(OFFSET($H$3,0,0,'Données projet'!$E$15+1,1))</f>
        <v>236.22643401787644</v>
      </c>
      <c r="EP118" s="60">
        <f t="shared" si="100"/>
        <v>188.80444043778022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8">
        <f t="shared" si="56"/>
        <v>256.66666666666669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0" t="e">
        <f t="shared" si="55"/>
        <v>#NUM!</v>
      </c>
      <c r="S119" s="60">
        <f ca="1">AVERAGE(OFFSET($R$3,0,0,'Données projet'!$E$9+1,1))-AVERAGE(OFFSET($H$3,0,0,'Données projet'!$E$9+1,1))</f>
        <v>144.55635559713392</v>
      </c>
      <c r="T119" s="60">
        <f t="shared" si="88"/>
        <v>349.14692715126904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11.097977335352637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2.5039137414125634E-14</v>
      </c>
      <c r="AC119" s="24">
        <f t="shared" si="57"/>
        <v>11.097977335352661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288.19999999999953</v>
      </c>
      <c r="AJ119" s="14">
        <f>AI119*VLOOKUP('Données projet'!$B$10,Paramètres!$A$1:$I$89,3,0)*VLOOKUP('Données projet'!$B$10,Paramètres!$A$1:$I$89,5,0)</f>
        <v>260.76335999999958</v>
      </c>
      <c r="AK119" s="14">
        <f t="shared" si="89"/>
        <v>62.885067686031896</v>
      </c>
      <c r="AL119" s="22">
        <f t="shared" si="58"/>
        <v>563.68767821983818</v>
      </c>
      <c r="AM119" s="60">
        <f t="shared" si="59"/>
        <v>857.02101155317155</v>
      </c>
      <c r="AN119" s="60">
        <f ca="1">AVERAGE(OFFSET($AM$3,0,0,'Données projet'!$E$10+1,1))-AVERAGE(OFFSET($H$3,0,0,'Données projet'!$E$10+1,1))</f>
        <v>428.8489304403459</v>
      </c>
      <c r="AO119" s="60">
        <f t="shared" si="90"/>
        <v>247.01165577562966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3.7</v>
      </c>
      <c r="BD119" s="13">
        <f>IF('Données projet'!$A$88&gt;35,BD118+BC119-BL118,IF(A119&lt;'Données projet'!$A$88,$BA$205^A119,IF(A119='Données projet'!$A$88,'Données projet'!$B$88,BD118+BC119-BL118)))</f>
        <v>288.19999999999953</v>
      </c>
      <c r="BE119" s="14">
        <f>BD119*VLOOKUP('Données projet'!$B$11,Paramètres!$A$1:$I$89,3,0)*VLOOKUP('Données projet'!$B$11,Paramètres!$A$1:$I$89,5,0)</f>
        <v>292.23479999999955</v>
      </c>
      <c r="BF119" s="14">
        <f t="shared" si="91"/>
        <v>69.546103016553644</v>
      </c>
      <c r="BG119" s="22">
        <f t="shared" si="61"/>
        <v>630.10173942049676</v>
      </c>
      <c r="BH119" s="60">
        <f t="shared" si="62"/>
        <v>923.43507275383013</v>
      </c>
      <c r="BI119" s="60">
        <f ca="1">AVERAGE(OFFSET($BH$3,0,0,'Données projet'!$E$11+1,1))-AVERAGE(OFFSET($H$3,0,0,'Données projet'!$E$11+1,1))</f>
        <v>475.47920969424894</v>
      </c>
      <c r="BJ119" s="60">
        <f t="shared" si="92"/>
        <v>271.73544012419364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</v>
      </c>
      <c r="BY119" s="13">
        <f>IF('Données projet'!$A$114&gt;35,BY118+BX119-CG118,IF(A119&lt;'Données projet'!$A$114,$BV$205^A119,IF(A119='Données projet'!$A$114,'Données projet'!$B$114,BY118+BX119-CG118)))</f>
        <v>199.00000000000006</v>
      </c>
      <c r="BZ119" s="14">
        <f>BY119*VLOOKUP('Données projet'!$B$12,Paramètres!$A$1:$I$89,3,0)*VLOOKUP('Données projet'!$B$12,Paramètres!$A$1:$I$89,5,0)</f>
        <v>192.47280000000006</v>
      </c>
      <c r="CA119" s="14">
        <f t="shared" si="93"/>
        <v>48.086241710923829</v>
      </c>
      <c r="CB119" s="22">
        <f t="shared" si="64"/>
        <v>418.97366431319239</v>
      </c>
      <c r="CC119" s="60">
        <f t="shared" si="65"/>
        <v>712.3069976465257</v>
      </c>
      <c r="CD119" s="60">
        <f ca="1">AVERAGE(OFFSET($CC$3,0,0,'Données projet'!$E$12+1,1))-AVERAGE(OFFSET($H$3,0,0,'Données projet'!$E$12+1,1))</f>
        <v>255.59755832175625</v>
      </c>
      <c r="CE119" s="60">
        <f t="shared" si="94"/>
        <v>154.0840647586964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</v>
      </c>
      <c r="CT119" s="13">
        <f>IF('Données projet'!$A$140&gt;35,CT118+CS119-DB118,IF(A119&lt;'Données projet'!$A$140,$CQ$205^A119,IF(A119='Données projet'!$A$140,'Données projet'!$B$140,CT118+CS119-DB118)))</f>
        <v>199.00000000000006</v>
      </c>
      <c r="CU119" s="18">
        <f>CT119*VLOOKUP('Données projet'!$B$13,Paramètres!$A$1:$I$89,3,0)*VLOOKUP('Données projet'!$B$13,Paramètres!$A$1:$I$89,5,0)</f>
        <v>214.20360000000005</v>
      </c>
      <c r="CV119" s="14">
        <f t="shared" si="95"/>
        <v>52.853115789602029</v>
      </c>
      <c r="CW119" s="22">
        <f t="shared" si="67"/>
        <v>465.12378000022363</v>
      </c>
      <c r="CX119" s="60">
        <f t="shared" si="68"/>
        <v>758.45711333355689</v>
      </c>
      <c r="CY119" s="60">
        <f ca="1">AVERAGE(OFFSET($CX$3,0,0,'Données projet'!$E$13+1,1))-AVERAGE(OFFSET($H$3,0,0,'Données projet'!$E$13+1,1))</f>
        <v>280.20599015000306</v>
      </c>
      <c r="CZ119" s="60">
        <f t="shared" si="96"/>
        <v>166.97658184507787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-5.6843418860808015E-14</v>
      </c>
      <c r="DP119" s="18">
        <f>DO119*VLOOKUP('Données projet'!$B$14,Paramètres!$A$1:$I$89,3,0)*VLOOKUP('Données projet'!$B$14,Paramètres!$A$1:$I$89,5,0)</f>
        <v>-3.813056537183002E-14</v>
      </c>
      <c r="DQ119" s="14" t="e">
        <f t="shared" si="97"/>
        <v>#NUM!</v>
      </c>
      <c r="DR119" s="22" t="e">
        <f t="shared" si="70"/>
        <v>#NUM!</v>
      </c>
      <c r="DS119" s="60" t="e">
        <f t="shared" si="71"/>
        <v>#NUM!</v>
      </c>
      <c r="DT119" s="60">
        <f ca="1">AVERAGE(OFFSET($DS$3,0,0,'Données projet'!$E$14+1,1))-AVERAGE(OFFSET($H$3,0,0,'Données projet'!$E$14+1,1))</f>
        <v>291.18686311753402</v>
      </c>
      <c r="DU119" s="60">
        <f t="shared" si="98"/>
        <v>215.44422413249839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-1.9895196601282805E-13</v>
      </c>
      <c r="EK119" s="18">
        <f>EJ119*VLOOKUP('Données projet'!$B$15,Paramètres!$A$1:$I$89,3,0)*VLOOKUP('Données projet'!$B$15,Paramètres!$A$1:$I$89,5,0)</f>
        <v>-1.6138983482960614E-13</v>
      </c>
      <c r="EL119" s="14" t="e">
        <f t="shared" si="99"/>
        <v>#NUM!</v>
      </c>
      <c r="EM119" s="22" t="e">
        <f t="shared" si="73"/>
        <v>#NUM!</v>
      </c>
      <c r="EN119" s="60" t="e">
        <f t="shared" si="74"/>
        <v>#NUM!</v>
      </c>
      <c r="EO119" s="60">
        <f ca="1">AVERAGE(OFFSET($EN$3,0,0,'Données projet'!$E$15+1,1))-AVERAGE(OFFSET($H$3,0,0,'Données projet'!$E$15+1,1))</f>
        <v>236.22643401787644</v>
      </c>
      <c r="EP119" s="60">
        <f t="shared" si="100"/>
        <v>188.80444043778022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8">
        <f t="shared" si="56"/>
        <v>256.66666666666669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0" t="e">
        <f t="shared" si="55"/>
        <v>#NUM!</v>
      </c>
      <c r="S120" s="60">
        <f ca="1">AVERAGE(OFFSET($R$3,0,0,'Données projet'!$E$9+1,1))-AVERAGE(OFFSET($H$3,0,0,'Données projet'!$E$9+1,1))</f>
        <v>144.55635559713392</v>
      </c>
      <c r="T120" s="60">
        <f t="shared" si="88"/>
        <v>349.14692715126904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10.880352768904153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1.770534386059003E-14</v>
      </c>
      <c r="AC120" s="24">
        <f t="shared" si="57"/>
        <v>10.880352768904171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291.89999999999952</v>
      </c>
      <c r="AJ120" s="14">
        <f>AI120*VLOOKUP('Données projet'!$B$10,Paramètres!$A$1:$I$89,3,0)*VLOOKUP('Données projet'!$B$10,Paramètres!$A$1:$I$89,5,0)</f>
        <v>264.11111999999957</v>
      </c>
      <c r="AK120" s="14">
        <f t="shared" si="89"/>
        <v>63.597900866870546</v>
      </c>
      <c r="AL120" s="22">
        <f t="shared" si="58"/>
        <v>570.75987800979885</v>
      </c>
      <c r="AM120" s="60">
        <f t="shared" si="59"/>
        <v>864.09321134313223</v>
      </c>
      <c r="AN120" s="60">
        <f ca="1">AVERAGE(OFFSET($AM$3,0,0,'Données projet'!$E$10+1,1))-AVERAGE(OFFSET($H$3,0,0,'Données projet'!$E$10+1,1))</f>
        <v>428.8489304403459</v>
      </c>
      <c r="AO120" s="60">
        <f t="shared" si="90"/>
        <v>247.01165577562966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3.7</v>
      </c>
      <c r="BD120" s="13">
        <f>IF('Données projet'!$A$88&gt;35,BD119+BC120-BL119,IF(A120&lt;'Données projet'!$A$88,$BA$205^A120,IF(A120='Données projet'!$A$88,'Données projet'!$B$88,BD119+BC120-BL119)))</f>
        <v>291.89999999999952</v>
      </c>
      <c r="BE120" s="14">
        <f>BD120*VLOOKUP('Données projet'!$B$11,Paramètres!$A$1:$I$89,3,0)*VLOOKUP('Données projet'!$B$11,Paramètres!$A$1:$I$89,5,0)</f>
        <v>295.98659999999956</v>
      </c>
      <c r="BF120" s="14">
        <f t="shared" si="91"/>
        <v>70.334442310004661</v>
      </c>
      <c r="BG120" s="22">
        <f t="shared" si="61"/>
        <v>638.00914868992402</v>
      </c>
      <c r="BH120" s="60">
        <f t="shared" si="62"/>
        <v>931.34248202325739</v>
      </c>
      <c r="BI120" s="60">
        <f ca="1">AVERAGE(OFFSET($BH$3,0,0,'Données projet'!$E$11+1,1))-AVERAGE(OFFSET($H$3,0,0,'Données projet'!$E$11+1,1))</f>
        <v>475.47920969424894</v>
      </c>
      <c r="BJ120" s="60">
        <f t="shared" si="92"/>
        <v>271.73544012419364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</v>
      </c>
      <c r="BY120" s="13">
        <f>IF('Données projet'!$A$114&gt;35,BY119+BX120-CG119,IF(A120&lt;'Données projet'!$A$114,$BV$205^A120,IF(A120='Données projet'!$A$114,'Données projet'!$B$114,BY119+BX120-CG119)))</f>
        <v>202.00000000000006</v>
      </c>
      <c r="BZ120" s="14">
        <f>BY120*VLOOKUP('Données projet'!$B$12,Paramètres!$A$1:$I$89,3,0)*VLOOKUP('Données projet'!$B$12,Paramètres!$A$1:$I$89,5,0)</f>
        <v>195.37440000000007</v>
      </c>
      <c r="CA120" s="14">
        <f t="shared" si="93"/>
        <v>48.726220575731695</v>
      </c>
      <c r="CB120" s="22">
        <f t="shared" si="64"/>
        <v>425.14191416939951</v>
      </c>
      <c r="CC120" s="60">
        <f t="shared" si="65"/>
        <v>718.47524750273283</v>
      </c>
      <c r="CD120" s="60">
        <f ca="1">AVERAGE(OFFSET($CC$3,0,0,'Données projet'!$E$12+1,1))-AVERAGE(OFFSET($H$3,0,0,'Données projet'!$E$12+1,1))</f>
        <v>255.59755832175625</v>
      </c>
      <c r="CE120" s="60">
        <f t="shared" si="94"/>
        <v>154.0840647586964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</v>
      </c>
      <c r="CT120" s="13">
        <f>IF('Données projet'!$A$140&gt;35,CT119+CS120-DB119,IF(A120&lt;'Données projet'!$A$140,$CQ$205^A120,IF(A120='Données projet'!$A$140,'Données projet'!$B$140,CT119+CS120-DB119)))</f>
        <v>202.00000000000006</v>
      </c>
      <c r="CU120" s="18">
        <f>CT120*VLOOKUP('Données projet'!$B$13,Paramètres!$A$1:$I$89,3,0)*VLOOKUP('Données projet'!$B$13,Paramètres!$A$1:$I$89,5,0)</f>
        <v>217.43280000000004</v>
      </c>
      <c r="CV120" s="14">
        <f t="shared" si="95"/>
        <v>53.556536889714792</v>
      </c>
      <c r="CW120" s="22">
        <f t="shared" si="67"/>
        <v>471.97309508291988</v>
      </c>
      <c r="CX120" s="60">
        <f t="shared" si="68"/>
        <v>765.3064284162532</v>
      </c>
      <c r="CY120" s="60">
        <f ca="1">AVERAGE(OFFSET($CX$3,0,0,'Données projet'!$E$13+1,1))-AVERAGE(OFFSET($H$3,0,0,'Données projet'!$E$13+1,1))</f>
        <v>280.20599015000306</v>
      </c>
      <c r="CZ120" s="60">
        <f t="shared" si="96"/>
        <v>166.97658184507787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-5.6843418860808015E-14</v>
      </c>
      <c r="DP120" s="18">
        <f>DO120*VLOOKUP('Données projet'!$B$14,Paramètres!$A$1:$I$89,3,0)*VLOOKUP('Données projet'!$B$14,Paramètres!$A$1:$I$89,5,0)</f>
        <v>-3.813056537183002E-14</v>
      </c>
      <c r="DQ120" s="14" t="e">
        <f t="shared" si="97"/>
        <v>#NUM!</v>
      </c>
      <c r="DR120" s="22" t="e">
        <f t="shared" si="70"/>
        <v>#NUM!</v>
      </c>
      <c r="DS120" s="60" t="e">
        <f t="shared" si="71"/>
        <v>#NUM!</v>
      </c>
      <c r="DT120" s="60">
        <f ca="1">AVERAGE(OFFSET($DS$3,0,0,'Données projet'!$E$14+1,1))-AVERAGE(OFFSET($H$3,0,0,'Données projet'!$E$14+1,1))</f>
        <v>291.18686311753402</v>
      </c>
      <c r="DU120" s="60">
        <f t="shared" si="98"/>
        <v>215.44422413249839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-1.9895196601282805E-13</v>
      </c>
      <c r="EK120" s="18">
        <f>EJ120*VLOOKUP('Données projet'!$B$15,Paramètres!$A$1:$I$89,3,0)*VLOOKUP('Données projet'!$B$15,Paramètres!$A$1:$I$89,5,0)</f>
        <v>-1.6138983482960614E-13</v>
      </c>
      <c r="EL120" s="14" t="e">
        <f t="shared" si="99"/>
        <v>#NUM!</v>
      </c>
      <c r="EM120" s="22" t="e">
        <f t="shared" si="73"/>
        <v>#NUM!</v>
      </c>
      <c r="EN120" s="60" t="e">
        <f t="shared" si="74"/>
        <v>#NUM!</v>
      </c>
      <c r="EO120" s="60">
        <f ca="1">AVERAGE(OFFSET($EN$3,0,0,'Données projet'!$E$15+1,1))-AVERAGE(OFFSET($H$3,0,0,'Données projet'!$E$15+1,1))</f>
        <v>236.22643401787644</v>
      </c>
      <c r="EP120" s="60">
        <f t="shared" si="100"/>
        <v>188.80444043778022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8">
        <f t="shared" si="56"/>
        <v>256.66666666666669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0" t="e">
        <f t="shared" si="55"/>
        <v>#NUM!</v>
      </c>
      <c r="S121" s="60">
        <f ca="1">AVERAGE(OFFSET($R$3,0,0,'Données projet'!$E$9+1,1))-AVERAGE(OFFSET($H$3,0,0,'Données projet'!$E$9+1,1))</f>
        <v>144.55635559713392</v>
      </c>
      <c r="T121" s="60">
        <f t="shared" si="88"/>
        <v>349.14692715126904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10.666995687465846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1.2519568707062817E-14</v>
      </c>
      <c r="AC121" s="24">
        <f t="shared" si="57"/>
        <v>10.666995687465858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295.59999999999951</v>
      </c>
      <c r="AJ121" s="14">
        <f>AI121*VLOOKUP('Données projet'!$B$10,Paramètres!$A$1:$I$89,3,0)*VLOOKUP('Données projet'!$B$10,Paramètres!$A$1:$I$89,5,0)</f>
        <v>267.45887999999951</v>
      </c>
      <c r="AK121" s="14">
        <f t="shared" si="89"/>
        <v>64.309683053152327</v>
      </c>
      <c r="AL121" s="22">
        <f t="shared" si="58"/>
        <v>577.8302473175728</v>
      </c>
      <c r="AM121" s="60">
        <f t="shared" si="59"/>
        <v>871.16358065090617</v>
      </c>
      <c r="AN121" s="60">
        <f ca="1">AVERAGE(OFFSET($AM$3,0,0,'Données projet'!$E$10+1,1))-AVERAGE(OFFSET($H$3,0,0,'Données projet'!$E$10+1,1))</f>
        <v>428.8489304403459</v>
      </c>
      <c r="AO121" s="60">
        <f t="shared" si="90"/>
        <v>247.01165577562966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3.7</v>
      </c>
      <c r="BD121" s="13">
        <f>IF('Données projet'!$A$88&gt;35,BD120+BC121-BL120,IF(A121&lt;'Données projet'!$A$88,$BA$205^A121,IF(A121='Données projet'!$A$88,'Données projet'!$B$88,BD120+BC121-BL120)))</f>
        <v>295.59999999999951</v>
      </c>
      <c r="BE121" s="14">
        <f>BD121*VLOOKUP('Données projet'!$B$11,Paramètres!$A$1:$I$89,3,0)*VLOOKUP('Données projet'!$B$11,Paramètres!$A$1:$I$89,5,0)</f>
        <v>299.73839999999956</v>
      </c>
      <c r="BF121" s="14">
        <f t="shared" si="91"/>
        <v>71.121619283394352</v>
      </c>
      <c r="BG121" s="22">
        <f t="shared" si="61"/>
        <v>645.91453358524438</v>
      </c>
      <c r="BH121" s="60">
        <f t="shared" si="62"/>
        <v>939.24786691857776</v>
      </c>
      <c r="BI121" s="60">
        <f ca="1">AVERAGE(OFFSET($BH$3,0,0,'Données projet'!$E$11+1,1))-AVERAGE(OFFSET($H$3,0,0,'Données projet'!$E$11+1,1))</f>
        <v>475.47920969424894</v>
      </c>
      <c r="BJ121" s="60">
        <f t="shared" si="92"/>
        <v>271.73544012419364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</v>
      </c>
      <c r="BY121" s="13">
        <f>IF('Données projet'!$A$114&gt;35,BY120+BX121-CG120,IF(A121&lt;'Données projet'!$A$114,$BV$205^A121,IF(A121='Données projet'!$A$114,'Données projet'!$B$114,BY120+BX121-CG120)))</f>
        <v>205.00000000000006</v>
      </c>
      <c r="BZ121" s="14">
        <f>BY121*VLOOKUP('Données projet'!$B$12,Paramètres!$A$1:$I$89,3,0)*VLOOKUP('Données projet'!$B$12,Paramètres!$A$1:$I$89,5,0)</f>
        <v>198.27600000000007</v>
      </c>
      <c r="CA121" s="14">
        <f t="shared" si="93"/>
        <v>49.365094013592753</v>
      </c>
      <c r="CB121" s="22">
        <f t="shared" si="64"/>
        <v>431.30823874034081</v>
      </c>
      <c r="CC121" s="60">
        <f t="shared" si="65"/>
        <v>724.64157207367407</v>
      </c>
      <c r="CD121" s="60">
        <f ca="1">AVERAGE(OFFSET($CC$3,0,0,'Données projet'!$E$12+1,1))-AVERAGE(OFFSET($H$3,0,0,'Données projet'!$E$12+1,1))</f>
        <v>255.59755832175625</v>
      </c>
      <c r="CE121" s="60">
        <f t="shared" si="94"/>
        <v>154.0840647586964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</v>
      </c>
      <c r="CT121" s="13">
        <f>IF('Données projet'!$A$140&gt;35,CT120+CS121-DB120,IF(A121&lt;'Données projet'!$A$140,$CQ$205^A121,IF(A121='Données projet'!$A$140,'Données projet'!$B$140,CT120+CS121-DB120)))</f>
        <v>205.00000000000006</v>
      </c>
      <c r="CU121" s="18">
        <f>CT121*VLOOKUP('Données projet'!$B$13,Paramètres!$A$1:$I$89,3,0)*VLOOKUP('Données projet'!$B$13,Paramètres!$A$1:$I$89,5,0)</f>
        <v>220.66200000000003</v>
      </c>
      <c r="CV121" s="14">
        <f t="shared" si="95"/>
        <v>54.258742979954953</v>
      </c>
      <c r="CW121" s="22">
        <f t="shared" si="67"/>
        <v>478.82029402342158</v>
      </c>
      <c r="CX121" s="60">
        <f t="shared" si="68"/>
        <v>772.1536273567549</v>
      </c>
      <c r="CY121" s="60">
        <f ca="1">AVERAGE(OFFSET($CX$3,0,0,'Données projet'!$E$13+1,1))-AVERAGE(OFFSET($H$3,0,0,'Données projet'!$E$13+1,1))</f>
        <v>280.20599015000306</v>
      </c>
      <c r="CZ121" s="60">
        <f t="shared" si="96"/>
        <v>166.97658184507787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-5.6843418860808015E-14</v>
      </c>
      <c r="DP121" s="18">
        <f>DO121*VLOOKUP('Données projet'!$B$14,Paramètres!$A$1:$I$89,3,0)*VLOOKUP('Données projet'!$B$14,Paramètres!$A$1:$I$89,5,0)</f>
        <v>-3.813056537183002E-14</v>
      </c>
      <c r="DQ121" s="14" t="e">
        <f t="shared" si="97"/>
        <v>#NUM!</v>
      </c>
      <c r="DR121" s="22" t="e">
        <f t="shared" si="70"/>
        <v>#NUM!</v>
      </c>
      <c r="DS121" s="60" t="e">
        <f t="shared" si="71"/>
        <v>#NUM!</v>
      </c>
      <c r="DT121" s="60">
        <f ca="1">AVERAGE(OFFSET($DS$3,0,0,'Données projet'!$E$14+1,1))-AVERAGE(OFFSET($H$3,0,0,'Données projet'!$E$14+1,1))</f>
        <v>291.18686311753402</v>
      </c>
      <c r="DU121" s="60">
        <f t="shared" si="98"/>
        <v>215.44422413249839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-1.9895196601282805E-13</v>
      </c>
      <c r="EK121" s="18">
        <f>EJ121*VLOOKUP('Données projet'!$B$15,Paramètres!$A$1:$I$89,3,0)*VLOOKUP('Données projet'!$B$15,Paramètres!$A$1:$I$89,5,0)</f>
        <v>-1.6138983482960614E-13</v>
      </c>
      <c r="EL121" s="14" t="e">
        <f t="shared" si="99"/>
        <v>#NUM!</v>
      </c>
      <c r="EM121" s="22" t="e">
        <f t="shared" si="73"/>
        <v>#NUM!</v>
      </c>
      <c r="EN121" s="60" t="e">
        <f t="shared" si="74"/>
        <v>#NUM!</v>
      </c>
      <c r="EO121" s="60">
        <f ca="1">AVERAGE(OFFSET($EN$3,0,0,'Données projet'!$E$15+1,1))-AVERAGE(OFFSET($H$3,0,0,'Données projet'!$E$15+1,1))</f>
        <v>236.22643401787644</v>
      </c>
      <c r="EP121" s="60">
        <f t="shared" si="100"/>
        <v>188.80444043778022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8">
        <f t="shared" si="56"/>
        <v>256.66666666666669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0" t="e">
        <f t="shared" si="55"/>
        <v>#NUM!</v>
      </c>
      <c r="S122" s="60">
        <f ca="1">AVERAGE(OFFSET($R$3,0,0,'Données projet'!$E$9+1,1))-AVERAGE(OFFSET($H$3,0,0,'Données projet'!$E$9+1,1))</f>
        <v>144.55635559713392</v>
      </c>
      <c r="T122" s="60">
        <f t="shared" si="88"/>
        <v>349.14692715126904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10.457822408259574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8.852671930295015E-15</v>
      </c>
      <c r="AC122" s="24">
        <f t="shared" si="57"/>
        <v>10.457822408259583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299.2999999999995</v>
      </c>
      <c r="AJ122" s="14">
        <f>AI122*VLOOKUP('Données projet'!$B$10,Paramètres!$A$1:$I$89,3,0)*VLOOKUP('Données projet'!$B$10,Paramètres!$A$1:$I$89,5,0)</f>
        <v>270.80663999999956</v>
      </c>
      <c r="AK122" s="14">
        <f t="shared" si="89"/>
        <v>65.020428921429911</v>
      </c>
      <c r="AL122" s="22">
        <f t="shared" si="58"/>
        <v>584.89881170482306</v>
      </c>
      <c r="AM122" s="60">
        <f t="shared" si="59"/>
        <v>878.23214503815643</v>
      </c>
      <c r="AN122" s="60">
        <f ca="1">AVERAGE(OFFSET($AM$3,0,0,'Données projet'!$E$10+1,1))-AVERAGE(OFFSET($H$3,0,0,'Données projet'!$E$10+1,1))</f>
        <v>428.8489304403459</v>
      </c>
      <c r="AO122" s="60">
        <f t="shared" si="90"/>
        <v>247.01165577562966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3.7</v>
      </c>
      <c r="BD122" s="13">
        <f>IF('Données projet'!$A$88&gt;35,BD121+BC122-BL121,IF(A122&lt;'Données projet'!$A$88,$BA$205^A122,IF(A122='Données projet'!$A$88,'Données projet'!$B$88,BD121+BC122-BL121)))</f>
        <v>299.2999999999995</v>
      </c>
      <c r="BE122" s="14">
        <f>BD122*VLOOKUP('Données projet'!$B$11,Paramètres!$A$1:$I$89,3,0)*VLOOKUP('Données projet'!$B$11,Paramètres!$A$1:$I$89,5,0)</f>
        <v>303.4901999999995</v>
      </c>
      <c r="BF122" s="14">
        <f t="shared" si="91"/>
        <v>71.907650167874138</v>
      </c>
      <c r="BG122" s="22">
        <f t="shared" si="61"/>
        <v>653.81792237571324</v>
      </c>
      <c r="BH122" s="60">
        <f t="shared" si="62"/>
        <v>947.15125570904661</v>
      </c>
      <c r="BI122" s="60">
        <f ca="1">AVERAGE(OFFSET($BH$3,0,0,'Données projet'!$E$11+1,1))-AVERAGE(OFFSET($H$3,0,0,'Données projet'!$E$11+1,1))</f>
        <v>475.47920969424894</v>
      </c>
      <c r="BJ122" s="60">
        <f t="shared" si="92"/>
        <v>271.73544012419364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</v>
      </c>
      <c r="BY122" s="13">
        <f>IF('Données projet'!$A$114&gt;35,BY121+BX122-CG121,IF(A122&lt;'Données projet'!$A$114,$BV$205^A122,IF(A122='Données projet'!$A$114,'Données projet'!$B$114,BY121+BX122-CG121)))</f>
        <v>208.00000000000006</v>
      </c>
      <c r="BZ122" s="14">
        <f>BY122*VLOOKUP('Données projet'!$B$12,Paramètres!$A$1:$I$89,3,0)*VLOOKUP('Données projet'!$B$12,Paramètres!$A$1:$I$89,5,0)</f>
        <v>201.17760000000007</v>
      </c>
      <c r="CA122" s="14">
        <f t="shared" si="93"/>
        <v>50.002880070410733</v>
      </c>
      <c r="CB122" s="22">
        <f t="shared" si="64"/>
        <v>437.47266945596539</v>
      </c>
      <c r="CC122" s="60">
        <f t="shared" si="65"/>
        <v>730.80600278929865</v>
      </c>
      <c r="CD122" s="60">
        <f ca="1">AVERAGE(OFFSET($CC$3,0,0,'Données projet'!$E$12+1,1))-AVERAGE(OFFSET($H$3,0,0,'Données projet'!$E$12+1,1))</f>
        <v>255.59755832175625</v>
      </c>
      <c r="CE122" s="60">
        <f t="shared" si="94"/>
        <v>154.0840647586964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</v>
      </c>
      <c r="CT122" s="13">
        <f>IF('Données projet'!$A$140&gt;35,CT121+CS122-DB121,IF(A122&lt;'Données projet'!$A$140,$CQ$205^A122,IF(A122='Données projet'!$A$140,'Données projet'!$B$140,CT121+CS122-DB121)))</f>
        <v>208.00000000000006</v>
      </c>
      <c r="CU122" s="18">
        <f>CT122*VLOOKUP('Données projet'!$B$13,Paramètres!$A$1:$I$89,3,0)*VLOOKUP('Données projet'!$B$13,Paramètres!$A$1:$I$89,5,0)</f>
        <v>223.89120000000005</v>
      </c>
      <c r="CV122" s="14">
        <f t="shared" si="95"/>
        <v>54.95975389514863</v>
      </c>
      <c r="CW122" s="22">
        <f t="shared" si="67"/>
        <v>485.66541136738397</v>
      </c>
      <c r="CX122" s="60">
        <f t="shared" si="68"/>
        <v>778.99874470071722</v>
      </c>
      <c r="CY122" s="60">
        <f ca="1">AVERAGE(OFFSET($CX$3,0,0,'Données projet'!$E$13+1,1))-AVERAGE(OFFSET($H$3,0,0,'Données projet'!$E$13+1,1))</f>
        <v>280.20599015000306</v>
      </c>
      <c r="CZ122" s="60">
        <f t="shared" si="96"/>
        <v>166.97658184507787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-5.6843418860808015E-14</v>
      </c>
      <c r="DP122" s="18">
        <f>DO122*VLOOKUP('Données projet'!$B$14,Paramètres!$A$1:$I$89,3,0)*VLOOKUP('Données projet'!$B$14,Paramètres!$A$1:$I$89,5,0)</f>
        <v>-3.813056537183002E-14</v>
      </c>
      <c r="DQ122" s="14" t="e">
        <f t="shared" si="97"/>
        <v>#NUM!</v>
      </c>
      <c r="DR122" s="22" t="e">
        <f t="shared" si="70"/>
        <v>#NUM!</v>
      </c>
      <c r="DS122" s="60" t="e">
        <f t="shared" si="71"/>
        <v>#NUM!</v>
      </c>
      <c r="DT122" s="60">
        <f ca="1">AVERAGE(OFFSET($DS$3,0,0,'Données projet'!$E$14+1,1))-AVERAGE(OFFSET($H$3,0,0,'Données projet'!$E$14+1,1))</f>
        <v>291.18686311753402</v>
      </c>
      <c r="DU122" s="60">
        <f t="shared" si="98"/>
        <v>215.44422413249839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-1.9895196601282805E-13</v>
      </c>
      <c r="EK122" s="18">
        <f>EJ122*VLOOKUP('Données projet'!$B$15,Paramètres!$A$1:$I$89,3,0)*VLOOKUP('Données projet'!$B$15,Paramètres!$A$1:$I$89,5,0)</f>
        <v>-1.6138983482960614E-13</v>
      </c>
      <c r="EL122" s="14" t="e">
        <f t="shared" si="99"/>
        <v>#NUM!</v>
      </c>
      <c r="EM122" s="22" t="e">
        <f t="shared" si="73"/>
        <v>#NUM!</v>
      </c>
      <c r="EN122" s="60" t="e">
        <f t="shared" si="74"/>
        <v>#NUM!</v>
      </c>
      <c r="EO122" s="60">
        <f ca="1">AVERAGE(OFFSET($EN$3,0,0,'Données projet'!$E$15+1,1))-AVERAGE(OFFSET($H$3,0,0,'Données projet'!$E$15+1,1))</f>
        <v>236.22643401787644</v>
      </c>
      <c r="EP122" s="60">
        <f t="shared" si="100"/>
        <v>188.80444043778022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8">
        <f t="shared" si="56"/>
        <v>256.66666666666669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0" t="e">
        <f t="shared" si="55"/>
        <v>#NUM!</v>
      </c>
      <c r="S123" s="60">
        <f ca="1">AVERAGE(OFFSET($R$3,0,0,'Données projet'!$E$9+1,1))-AVERAGE(OFFSET($H$3,0,0,'Données projet'!$E$9+1,1))</f>
        <v>144.55635559713392</v>
      </c>
      <c r="T123" s="60">
        <f t="shared" si="88"/>
        <v>349.14692715126904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10.252750889475434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6.2597843535314085E-15</v>
      </c>
      <c r="AC123" s="24">
        <f t="shared" si="57"/>
        <v>10.252750889475442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302.99999999999949</v>
      </c>
      <c r="AJ123" s="14">
        <f>AI123*VLOOKUP('Données projet'!$B$10,Paramètres!$A$1:$I$89,3,0)*VLOOKUP('Données projet'!$B$10,Paramètres!$A$1:$I$89,5,0)</f>
        <v>274.15439999999955</v>
      </c>
      <c r="AK123" s="14">
        <f t="shared" si="89"/>
        <v>65.730152764515779</v>
      </c>
      <c r="AL123" s="22">
        <f t="shared" si="58"/>
        <v>591.96559606486414</v>
      </c>
      <c r="AM123" s="60">
        <f t="shared" si="59"/>
        <v>885.29892939819752</v>
      </c>
      <c r="AN123" s="60">
        <f ca="1">AVERAGE(OFFSET($AM$3,0,0,'Données projet'!$E$10+1,1))-AVERAGE(OFFSET($H$3,0,0,'Données projet'!$E$10+1,1))</f>
        <v>428.8489304403459</v>
      </c>
      <c r="AO123" s="60">
        <f t="shared" si="90"/>
        <v>247.01165577562966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303</v>
      </c>
      <c r="BB123" s="13">
        <f>VLOOKUP(A123,'Données projet'!$A$87:$I$107,9,0)</f>
        <v>3.7</v>
      </c>
      <c r="BC123" s="13">
        <f t="array" ref="BC123">INDEX(BB:BB,MIN(IF(ISNUMBER(BB123:BB319),ROW(BB123:BB319),"")))</f>
        <v>3.7</v>
      </c>
      <c r="BD123" s="13">
        <f>IF('Données projet'!$A$88&gt;35,BD122+BC123-BL122,IF(A123&lt;'Données projet'!$A$88,$BA$205^A123,IF(A123='Données projet'!$A$88,'Données projet'!$B$88,BD122+BC123-BL122)))</f>
        <v>302.99999999999949</v>
      </c>
      <c r="BE123" s="14">
        <f>BD123*VLOOKUP('Données projet'!$B$11,Paramètres!$A$1:$I$89,3,0)*VLOOKUP('Données projet'!$B$11,Paramètres!$A$1:$I$89,5,0)</f>
        <v>307.24199999999951</v>
      </c>
      <c r="BF123" s="14">
        <f t="shared" si="91"/>
        <v>72.692550770207717</v>
      </c>
      <c r="BG123" s="22">
        <f t="shared" si="61"/>
        <v>661.71934259144427</v>
      </c>
      <c r="BH123" s="60">
        <f t="shared" si="62"/>
        <v>955.05267592477753</v>
      </c>
      <c r="BI123" s="60">
        <f ca="1">AVERAGE(OFFSET($BH$3,0,0,'Données projet'!$E$11+1,1))-AVERAGE(OFFSET($H$3,0,0,'Données projet'!$E$11+1,1))</f>
        <v>475.47920969424894</v>
      </c>
      <c r="BJ123" s="60">
        <f t="shared" si="92"/>
        <v>271.73544012419364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35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211</v>
      </c>
      <c r="BW123" s="13">
        <f>VLOOKUP(A123,'Données projet'!$A$113:$I$133,9,0)</f>
        <v>3</v>
      </c>
      <c r="BX123" s="13">
        <f t="array" ref="BX123">INDEX(BW:BW,MIN(IF(ISNUMBER(BW123:BW319),ROW(BW123:BW319),"")))</f>
        <v>3</v>
      </c>
      <c r="BY123" s="13">
        <f>IF('Données projet'!$A$114&gt;35,BY122+BX123-CG122,IF(A123&lt;'Données projet'!$A$114,$BV$205^A123,IF(A123='Données projet'!$A$114,'Données projet'!$B$114,BY122+BX123-CG122)))</f>
        <v>211.00000000000006</v>
      </c>
      <c r="BZ123" s="14">
        <f>BY123*VLOOKUP('Données projet'!$B$12,Paramètres!$A$1:$I$89,3,0)*VLOOKUP('Données projet'!$B$12,Paramètres!$A$1:$I$89,5,0)</f>
        <v>204.07920000000004</v>
      </c>
      <c r="CA123" s="14">
        <f t="shared" si="93"/>
        <v>50.639596241643567</v>
      </c>
      <c r="CB123" s="22">
        <f t="shared" si="64"/>
        <v>443.63523678752927</v>
      </c>
      <c r="CC123" s="60">
        <f t="shared" si="65"/>
        <v>736.96857012086252</v>
      </c>
      <c r="CD123" s="60">
        <f ca="1">AVERAGE(OFFSET($CC$3,0,0,'Données projet'!$E$12+1,1))-AVERAGE(OFFSET($H$3,0,0,'Données projet'!$E$12+1,1))</f>
        <v>255.59755832175625</v>
      </c>
      <c r="CE123" s="60">
        <f t="shared" si="94"/>
        <v>154.0840647586964</v>
      </c>
      <c r="CF123" s="16">
        <f>IF(ISNA(VLOOKUP(A123,'Données projet'!$A$113:$I$133,3,0)),0,VLOOKUP(A123,'Données projet'!$A$113:$I$133,3,0))</f>
        <v>9</v>
      </c>
      <c r="CG123" s="16">
        <f>IF(ISNA(VLOOKUP(A123,'Données projet'!$A$113:$I$133,4,0)),0,VLOOKUP(A123,'Données projet'!$A$113:$I$133,4,0))</f>
        <v>211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211</v>
      </c>
      <c r="CR123" s="13">
        <f>VLOOKUP(A123,'Données projet'!$A$139:$I$159,9,0)</f>
        <v>3</v>
      </c>
      <c r="CS123" s="13">
        <f t="array" ref="CS123">INDEX(CR:CR,MIN(IF(ISNUMBER(CR123:CR319),ROW(CR123:CR319),"")))</f>
        <v>3</v>
      </c>
      <c r="CT123" s="13">
        <f>IF('Données projet'!$A$140&gt;35,CT122+CS123-DB122,IF(A123&lt;'Données projet'!$A$140,$CQ$205^A123,IF(A123='Données projet'!$A$140,'Données projet'!$B$140,CT122+CS123-DB122)))</f>
        <v>211.00000000000006</v>
      </c>
      <c r="CU123" s="18">
        <f>CT123*VLOOKUP('Données projet'!$B$13,Paramètres!$A$1:$I$89,3,0)*VLOOKUP('Données projet'!$B$13,Paramètres!$A$1:$I$89,5,0)</f>
        <v>227.12040000000005</v>
      </c>
      <c r="CV123" s="14">
        <f t="shared" si="95"/>
        <v>55.6595888651092</v>
      </c>
      <c r="CW123" s="22">
        <f t="shared" si="67"/>
        <v>492.50848060673189</v>
      </c>
      <c r="CX123" s="60">
        <f t="shared" si="68"/>
        <v>785.84181394006521</v>
      </c>
      <c r="CY123" s="60">
        <f ca="1">AVERAGE(OFFSET($CX$3,0,0,'Données projet'!$E$13+1,1))-AVERAGE(OFFSET($H$3,0,0,'Données projet'!$E$13+1,1))</f>
        <v>280.20599015000306</v>
      </c>
      <c r="CZ123" s="60">
        <f t="shared" si="96"/>
        <v>166.97658184507787</v>
      </c>
      <c r="DA123" s="16">
        <f>IF(ISNA(VLOOKUP(A123,'Données projet'!$A$139:$I$159,3,0)),0,VLOOKUP(A123,'Données projet'!$A$139:$I$159,3,0))</f>
        <v>9</v>
      </c>
      <c r="DB123" s="16">
        <f>IF(ISNA(VLOOKUP(A123,'Données projet'!$A$139:$I$159,4,0)),0,VLOOKUP(A123,'Données projet'!$A$139:$I$159,4,0))</f>
        <v>211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-5.6843418860808015E-14</v>
      </c>
      <c r="DP123" s="18">
        <f>DO123*VLOOKUP('Données projet'!$B$14,Paramètres!$A$1:$I$89,3,0)*VLOOKUP('Données projet'!$B$14,Paramètres!$A$1:$I$89,5,0)</f>
        <v>-3.813056537183002E-14</v>
      </c>
      <c r="DQ123" s="14" t="e">
        <f t="shared" si="97"/>
        <v>#NUM!</v>
      </c>
      <c r="DR123" s="22" t="e">
        <f t="shared" si="70"/>
        <v>#NUM!</v>
      </c>
      <c r="DS123" s="60" t="e">
        <f t="shared" si="71"/>
        <v>#NUM!</v>
      </c>
      <c r="DT123" s="60">
        <f ca="1">AVERAGE(OFFSET($DS$3,0,0,'Données projet'!$E$14+1,1))-AVERAGE(OFFSET($H$3,0,0,'Données projet'!$E$14+1,1))</f>
        <v>291.18686311753402</v>
      </c>
      <c r="DU123" s="60">
        <f t="shared" si="98"/>
        <v>215.44422413249839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-1.9895196601282805E-13</v>
      </c>
      <c r="EK123" s="18">
        <f>EJ123*VLOOKUP('Données projet'!$B$15,Paramètres!$A$1:$I$89,3,0)*VLOOKUP('Données projet'!$B$15,Paramètres!$A$1:$I$89,5,0)</f>
        <v>-1.6138983482960614E-13</v>
      </c>
      <c r="EL123" s="14" t="e">
        <f t="shared" si="99"/>
        <v>#NUM!</v>
      </c>
      <c r="EM123" s="22" t="e">
        <f t="shared" si="73"/>
        <v>#NUM!</v>
      </c>
      <c r="EN123" s="60" t="e">
        <f t="shared" si="74"/>
        <v>#NUM!</v>
      </c>
      <c r="EO123" s="60">
        <f ca="1">AVERAGE(OFFSET($EN$3,0,0,'Données projet'!$E$15+1,1))-AVERAGE(OFFSET($H$3,0,0,'Données projet'!$E$15+1,1))</f>
        <v>236.22643401787644</v>
      </c>
      <c r="EP123" s="60">
        <f t="shared" si="100"/>
        <v>188.80444043778022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8">
        <f t="shared" si="56"/>
        <v>256.66666666666669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0" t="e">
        <f t="shared" si="55"/>
        <v>#NUM!</v>
      </c>
      <c r="S124" s="60">
        <f ca="1">AVERAGE(OFFSET($R$3,0,0,'Données projet'!$E$9+1,1))-AVERAGE(OFFSET($H$3,0,0,'Données projet'!$E$9+1,1))</f>
        <v>144.55635559713392</v>
      </c>
      <c r="T124" s="60">
        <f t="shared" si="88"/>
        <v>349.14692715126904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10.051700698093375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4.4263359651475075E-15</v>
      </c>
      <c r="AC124" s="24">
        <f t="shared" si="57"/>
        <v>10.051700698093379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271.19999999999948</v>
      </c>
      <c r="AJ124" s="14">
        <f>AI124*VLOOKUP('Données projet'!$B$10,Paramètres!$A$1:$I$89,3,0)*VLOOKUP('Données projet'!$B$10,Paramètres!$A$1:$I$89,5,0)</f>
        <v>245.3817599999995</v>
      </c>
      <c r="AK124" s="14">
        <f t="shared" si="89"/>
        <v>59.595943661626663</v>
      </c>
      <c r="AL124" s="22">
        <f t="shared" si="58"/>
        <v>531.16950054399888</v>
      </c>
      <c r="AM124" s="60">
        <f t="shared" si="59"/>
        <v>824.50283387733225</v>
      </c>
      <c r="AN124" s="60">
        <f ca="1">AVERAGE(OFFSET($AM$3,0,0,'Données projet'!$E$10+1,1))-AVERAGE(OFFSET($H$3,0,0,'Données projet'!$E$10+1,1))</f>
        <v>428.8489304403459</v>
      </c>
      <c r="AO124" s="60">
        <f t="shared" si="90"/>
        <v>247.01165577562966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3.2</v>
      </c>
      <c r="BD124" s="13">
        <f>IF('Données projet'!$A$88&gt;35,BD123+BC124-BL123,IF(A124&lt;'Données projet'!$A$88,$BA$205^A124,IF(A124='Données projet'!$A$88,'Données projet'!$B$88,BD123+BC124-BL123)))</f>
        <v>271.19999999999948</v>
      </c>
      <c r="BE124" s="14">
        <f>BD124*VLOOKUP('Données projet'!$B$11,Paramètres!$A$1:$I$89,3,0)*VLOOKUP('Données projet'!$B$11,Paramètres!$A$1:$I$89,5,0)</f>
        <v>274.9967999999995</v>
      </c>
      <c r="BF124" s="14">
        <f t="shared" si="91"/>
        <v>65.908581953881495</v>
      </c>
      <c r="BG124" s="22">
        <f t="shared" si="61"/>
        <v>593.74354023634271</v>
      </c>
      <c r="BH124" s="60">
        <f t="shared" si="62"/>
        <v>887.07687356967608</v>
      </c>
      <c r="BI124" s="60">
        <f ca="1">AVERAGE(OFFSET($BH$3,0,0,'Données projet'!$E$11+1,1))-AVERAGE(OFFSET($H$3,0,0,'Données projet'!$E$11+1,1))</f>
        <v>475.47920969424894</v>
      </c>
      <c r="BJ124" s="60">
        <f t="shared" si="92"/>
        <v>271.73544012419364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5.6843418860808015E-14</v>
      </c>
      <c r="BZ124" s="14">
        <f>BY124*VLOOKUP('Données projet'!$B$12,Paramètres!$A$1:$I$89,3,0)*VLOOKUP('Données projet'!$B$12,Paramètres!$A$1:$I$89,5,0)</f>
        <v>5.4978954722173515E-14</v>
      </c>
      <c r="CA124" s="14">
        <f t="shared" si="93"/>
        <v>8.8550225887742724E-13</v>
      </c>
      <c r="CB124" s="22">
        <f t="shared" si="64"/>
        <v>1.6380047803526383E-12</v>
      </c>
      <c r="CC124" s="60">
        <f t="shared" si="65"/>
        <v>293.33333333333496</v>
      </c>
      <c r="CD124" s="60">
        <f ca="1">AVERAGE(OFFSET($CC$3,0,0,'Données projet'!$E$12+1,1))-AVERAGE(OFFSET($H$3,0,0,'Données projet'!$E$12+1,1))</f>
        <v>255.59755832175625</v>
      </c>
      <c r="CE124" s="60">
        <f t="shared" si="94"/>
        <v>154.0840647586964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5.6843418860808015E-14</v>
      </c>
      <c r="CU124" s="18">
        <f>CT124*VLOOKUP('Données projet'!$B$13,Paramètres!$A$1:$I$89,3,0)*VLOOKUP('Données projet'!$B$13,Paramètres!$A$1:$I$89,5,0)</f>
        <v>6.1186256061773749E-14</v>
      </c>
      <c r="CV124" s="14">
        <f t="shared" si="95"/>
        <v>9.7328366192051127E-13</v>
      </c>
      <c r="CW124" s="22">
        <f t="shared" si="67"/>
        <v>1.8017017738191463E-12</v>
      </c>
      <c r="CX124" s="60">
        <f t="shared" si="68"/>
        <v>293.33333333333513</v>
      </c>
      <c r="CY124" s="60">
        <f ca="1">AVERAGE(OFFSET($CX$3,0,0,'Données projet'!$E$13+1,1))-AVERAGE(OFFSET($H$3,0,0,'Données projet'!$E$13+1,1))</f>
        <v>280.20599015000306</v>
      </c>
      <c r="CZ124" s="60">
        <f t="shared" si="96"/>
        <v>166.97658184507787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-5.6843418860808015E-14</v>
      </c>
      <c r="DP124" s="18">
        <f>DO124*VLOOKUP('Données projet'!$B$14,Paramètres!$A$1:$I$89,3,0)*VLOOKUP('Données projet'!$B$14,Paramètres!$A$1:$I$89,5,0)</f>
        <v>-3.813056537183002E-14</v>
      </c>
      <c r="DQ124" s="14" t="e">
        <f t="shared" si="97"/>
        <v>#NUM!</v>
      </c>
      <c r="DR124" s="22" t="e">
        <f t="shared" si="70"/>
        <v>#NUM!</v>
      </c>
      <c r="DS124" s="60" t="e">
        <f t="shared" si="71"/>
        <v>#NUM!</v>
      </c>
      <c r="DT124" s="60">
        <f ca="1">AVERAGE(OFFSET($DS$3,0,0,'Données projet'!$E$14+1,1))-AVERAGE(OFFSET($H$3,0,0,'Données projet'!$E$14+1,1))</f>
        <v>291.18686311753402</v>
      </c>
      <c r="DU124" s="60">
        <f t="shared" si="98"/>
        <v>215.44422413249839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-1.9895196601282805E-13</v>
      </c>
      <c r="EK124" s="18">
        <f>EJ124*VLOOKUP('Données projet'!$B$15,Paramètres!$A$1:$I$89,3,0)*VLOOKUP('Données projet'!$B$15,Paramètres!$A$1:$I$89,5,0)</f>
        <v>-1.6138983482960614E-13</v>
      </c>
      <c r="EL124" s="14" t="e">
        <f t="shared" si="99"/>
        <v>#NUM!</v>
      </c>
      <c r="EM124" s="22" t="e">
        <f t="shared" si="73"/>
        <v>#NUM!</v>
      </c>
      <c r="EN124" s="60" t="e">
        <f t="shared" si="74"/>
        <v>#NUM!</v>
      </c>
      <c r="EO124" s="60">
        <f ca="1">AVERAGE(OFFSET($EN$3,0,0,'Données projet'!$E$15+1,1))-AVERAGE(OFFSET($H$3,0,0,'Données projet'!$E$15+1,1))</f>
        <v>236.22643401787644</v>
      </c>
      <c r="EP124" s="60">
        <f t="shared" si="100"/>
        <v>188.80444043778022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8">
        <f t="shared" si="56"/>
        <v>256.66666666666669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0" t="e">
        <f t="shared" si="55"/>
        <v>#NUM!</v>
      </c>
      <c r="S125" s="60">
        <f ca="1">AVERAGE(OFFSET($R$3,0,0,'Données projet'!$E$9+1,1))-AVERAGE(OFFSET($H$3,0,0,'Données projet'!$E$9+1,1))</f>
        <v>144.55635559713392</v>
      </c>
      <c r="T125" s="60">
        <f t="shared" si="88"/>
        <v>349.14692715126904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9.8545929783358108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3.1298921767657043E-15</v>
      </c>
      <c r="AC125" s="24">
        <f t="shared" si="57"/>
        <v>9.8545929783358144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274.39999999999947</v>
      </c>
      <c r="AJ125" s="14">
        <f>AI125*VLOOKUP('Données projet'!$B$10,Paramètres!$A$1:$I$89,3,0)*VLOOKUP('Données projet'!$B$10,Paramètres!$A$1:$I$89,5,0)</f>
        <v>248.27711999999951</v>
      </c>
      <c r="AK125" s="14">
        <f t="shared" si="89"/>
        <v>60.216863677580257</v>
      </c>
      <c r="AL125" s="22">
        <f t="shared" si="58"/>
        <v>537.29368823845141</v>
      </c>
      <c r="AM125" s="60">
        <f t="shared" si="59"/>
        <v>830.62702157178478</v>
      </c>
      <c r="AN125" s="60">
        <f ca="1">AVERAGE(OFFSET($AM$3,0,0,'Données projet'!$E$10+1,1))-AVERAGE(OFFSET($H$3,0,0,'Données projet'!$E$10+1,1))</f>
        <v>428.8489304403459</v>
      </c>
      <c r="AO125" s="60">
        <f t="shared" si="90"/>
        <v>247.01165577562966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3.2</v>
      </c>
      <c r="BD125" s="13">
        <f>IF('Données projet'!$A$88&gt;35,BD124+BC125-BL124,IF(A125&lt;'Données projet'!$A$88,$BA$205^A125,IF(A125='Données projet'!$A$88,'Données projet'!$B$88,BD124+BC125-BL124)))</f>
        <v>274.39999999999947</v>
      </c>
      <c r="BE125" s="14">
        <f>BD125*VLOOKUP('Données projet'!$B$11,Paramètres!$A$1:$I$89,3,0)*VLOOKUP('Données projet'!$B$11,Paramètres!$A$1:$I$89,5,0)</f>
        <v>278.24159999999949</v>
      </c>
      <c r="BF125" s="14">
        <f t="shared" si="91"/>
        <v>66.595272276139681</v>
      </c>
      <c r="BG125" s="22">
        <f t="shared" si="61"/>
        <v>600.59088588094244</v>
      </c>
      <c r="BH125" s="60">
        <f t="shared" si="62"/>
        <v>893.92421921427581</v>
      </c>
      <c r="BI125" s="60">
        <f ca="1">AVERAGE(OFFSET($BH$3,0,0,'Données projet'!$E$11+1,1))-AVERAGE(OFFSET($H$3,0,0,'Données projet'!$E$11+1,1))</f>
        <v>475.47920969424894</v>
      </c>
      <c r="BJ125" s="60">
        <f t="shared" si="92"/>
        <v>271.73544012419364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5.6843418860808015E-14</v>
      </c>
      <c r="BZ125" s="14">
        <f>BY125*VLOOKUP('Données projet'!$B$12,Paramètres!$A$1:$I$89,3,0)*VLOOKUP('Données projet'!$B$12,Paramètres!$A$1:$I$89,5,0)</f>
        <v>5.4978954722173515E-14</v>
      </c>
      <c r="CA125" s="14">
        <f t="shared" si="93"/>
        <v>8.8550225887742724E-13</v>
      </c>
      <c r="CB125" s="22">
        <f t="shared" si="64"/>
        <v>1.6380047803526383E-12</v>
      </c>
      <c r="CC125" s="60">
        <f t="shared" si="65"/>
        <v>293.33333333333496</v>
      </c>
      <c r="CD125" s="60">
        <f ca="1">AVERAGE(OFFSET($CC$3,0,0,'Données projet'!$E$12+1,1))-AVERAGE(OFFSET($H$3,0,0,'Données projet'!$E$12+1,1))</f>
        <v>255.59755832175625</v>
      </c>
      <c r="CE125" s="60">
        <f t="shared" si="94"/>
        <v>154.0840647586964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5.6843418860808015E-14</v>
      </c>
      <c r="CU125" s="18">
        <f>CT125*VLOOKUP('Données projet'!$B$13,Paramètres!$A$1:$I$89,3,0)*VLOOKUP('Données projet'!$B$13,Paramètres!$A$1:$I$89,5,0)</f>
        <v>6.1186256061773749E-14</v>
      </c>
      <c r="CV125" s="14">
        <f t="shared" si="95"/>
        <v>9.7328366192051127E-13</v>
      </c>
      <c r="CW125" s="22">
        <f t="shared" si="67"/>
        <v>1.8017017738191463E-12</v>
      </c>
      <c r="CX125" s="60">
        <f t="shared" si="68"/>
        <v>293.33333333333513</v>
      </c>
      <c r="CY125" s="60">
        <f ca="1">AVERAGE(OFFSET($CX$3,0,0,'Données projet'!$E$13+1,1))-AVERAGE(OFFSET($H$3,0,0,'Données projet'!$E$13+1,1))</f>
        <v>280.20599015000306</v>
      </c>
      <c r="CZ125" s="60">
        <f t="shared" si="96"/>
        <v>166.97658184507787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-5.6843418860808015E-14</v>
      </c>
      <c r="DP125" s="18">
        <f>DO125*VLOOKUP('Données projet'!$B$14,Paramètres!$A$1:$I$89,3,0)*VLOOKUP('Données projet'!$B$14,Paramètres!$A$1:$I$89,5,0)</f>
        <v>-3.813056537183002E-14</v>
      </c>
      <c r="DQ125" s="14" t="e">
        <f t="shared" si="97"/>
        <v>#NUM!</v>
      </c>
      <c r="DR125" s="22" t="e">
        <f t="shared" si="70"/>
        <v>#NUM!</v>
      </c>
      <c r="DS125" s="60" t="e">
        <f t="shared" si="71"/>
        <v>#NUM!</v>
      </c>
      <c r="DT125" s="60">
        <f ca="1">AVERAGE(OFFSET($DS$3,0,0,'Données projet'!$E$14+1,1))-AVERAGE(OFFSET($H$3,0,0,'Données projet'!$E$14+1,1))</f>
        <v>291.18686311753402</v>
      </c>
      <c r="DU125" s="60">
        <f t="shared" si="98"/>
        <v>215.44422413249839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-1.9895196601282805E-13</v>
      </c>
      <c r="EK125" s="18">
        <f>EJ125*VLOOKUP('Données projet'!$B$15,Paramètres!$A$1:$I$89,3,0)*VLOOKUP('Données projet'!$B$15,Paramètres!$A$1:$I$89,5,0)</f>
        <v>-1.6138983482960614E-13</v>
      </c>
      <c r="EL125" s="14" t="e">
        <f t="shared" si="99"/>
        <v>#NUM!</v>
      </c>
      <c r="EM125" s="22" t="e">
        <f t="shared" si="73"/>
        <v>#NUM!</v>
      </c>
      <c r="EN125" s="60" t="e">
        <f t="shared" si="74"/>
        <v>#NUM!</v>
      </c>
      <c r="EO125" s="60">
        <f ca="1">AVERAGE(OFFSET($EN$3,0,0,'Données projet'!$E$15+1,1))-AVERAGE(OFFSET($H$3,0,0,'Données projet'!$E$15+1,1))</f>
        <v>236.22643401787644</v>
      </c>
      <c r="EP125" s="60">
        <f t="shared" si="100"/>
        <v>188.80444043778022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8">
        <f t="shared" si="56"/>
        <v>256.66666666666669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0" t="e">
        <f t="shared" si="55"/>
        <v>#NUM!</v>
      </c>
      <c r="S126" s="60">
        <f ca="1">AVERAGE(OFFSET($R$3,0,0,'Données projet'!$E$9+1,1))-AVERAGE(OFFSET($H$3,0,0,'Données projet'!$E$9+1,1))</f>
        <v>144.55635559713392</v>
      </c>
      <c r="T126" s="60">
        <f t="shared" si="88"/>
        <v>349.14692715126904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9.6613504207388541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2.2131679825737538E-15</v>
      </c>
      <c r="AC126" s="24">
        <f t="shared" si="57"/>
        <v>9.6613504207388559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277.59999999999945</v>
      </c>
      <c r="AJ126" s="14">
        <f>AI126*VLOOKUP('Données projet'!$B$10,Paramètres!$A$1:$I$89,3,0)*VLOOKUP('Données projet'!$B$10,Paramètres!$A$1:$I$89,5,0)</f>
        <v>251.1724799999995</v>
      </c>
      <c r="AK126" s="14">
        <f t="shared" si="89"/>
        <v>60.836941386956575</v>
      </c>
      <c r="AL126" s="22">
        <f t="shared" si="58"/>
        <v>543.41640891561519</v>
      </c>
      <c r="AM126" s="60">
        <f t="shared" si="59"/>
        <v>836.74974224894845</v>
      </c>
      <c r="AN126" s="60">
        <f ca="1">AVERAGE(OFFSET($AM$3,0,0,'Données projet'!$E$10+1,1))-AVERAGE(OFFSET($H$3,0,0,'Données projet'!$E$10+1,1))</f>
        <v>428.8489304403459</v>
      </c>
      <c r="AO126" s="60">
        <f t="shared" si="90"/>
        <v>247.01165577562966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3.2</v>
      </c>
      <c r="BD126" s="13">
        <f>IF('Données projet'!$A$88&gt;35,BD125+BC126-BL125,IF(A126&lt;'Données projet'!$A$88,$BA$205^A126,IF(A126='Données projet'!$A$88,'Données projet'!$B$88,BD125+BC126-BL125)))</f>
        <v>277.59999999999945</v>
      </c>
      <c r="BE126" s="14">
        <f>BD126*VLOOKUP('Données projet'!$B$11,Paramètres!$A$1:$I$89,3,0)*VLOOKUP('Données projet'!$B$11,Paramètres!$A$1:$I$89,5,0)</f>
        <v>281.48639999999949</v>
      </c>
      <c r="BF126" s="14">
        <f t="shared" si="91"/>
        <v>67.281031071373235</v>
      </c>
      <c r="BG126" s="22">
        <f t="shared" si="61"/>
        <v>607.43660911597419</v>
      </c>
      <c r="BH126" s="60">
        <f t="shared" si="62"/>
        <v>900.76994244930756</v>
      </c>
      <c r="BI126" s="60">
        <f ca="1">AVERAGE(OFFSET($BH$3,0,0,'Données projet'!$E$11+1,1))-AVERAGE(OFFSET($H$3,0,0,'Données projet'!$E$11+1,1))</f>
        <v>475.47920969424894</v>
      </c>
      <c r="BJ126" s="60">
        <f t="shared" si="92"/>
        <v>271.73544012419364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5.6843418860808015E-14</v>
      </c>
      <c r="BZ126" s="14">
        <f>BY126*VLOOKUP('Données projet'!$B$12,Paramètres!$A$1:$I$89,3,0)*VLOOKUP('Données projet'!$B$12,Paramètres!$A$1:$I$89,5,0)</f>
        <v>5.4978954722173515E-14</v>
      </c>
      <c r="CA126" s="14">
        <f t="shared" si="93"/>
        <v>8.8550225887742724E-13</v>
      </c>
      <c r="CB126" s="22">
        <f t="shared" si="64"/>
        <v>1.6380047803526383E-12</v>
      </c>
      <c r="CC126" s="60">
        <f t="shared" si="65"/>
        <v>293.33333333333496</v>
      </c>
      <c r="CD126" s="60">
        <f ca="1">AVERAGE(OFFSET($CC$3,0,0,'Données projet'!$E$12+1,1))-AVERAGE(OFFSET($H$3,0,0,'Données projet'!$E$12+1,1))</f>
        <v>255.59755832175625</v>
      </c>
      <c r="CE126" s="60">
        <f t="shared" si="94"/>
        <v>154.0840647586964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5.6843418860808015E-14</v>
      </c>
      <c r="CU126" s="18">
        <f>CT126*VLOOKUP('Données projet'!$B$13,Paramètres!$A$1:$I$89,3,0)*VLOOKUP('Données projet'!$B$13,Paramètres!$A$1:$I$89,5,0)</f>
        <v>6.1186256061773749E-14</v>
      </c>
      <c r="CV126" s="14">
        <f t="shared" si="95"/>
        <v>9.7328366192051127E-13</v>
      </c>
      <c r="CW126" s="22">
        <f t="shared" si="67"/>
        <v>1.8017017738191463E-12</v>
      </c>
      <c r="CX126" s="60">
        <f t="shared" si="68"/>
        <v>293.33333333333513</v>
      </c>
      <c r="CY126" s="60">
        <f ca="1">AVERAGE(OFFSET($CX$3,0,0,'Données projet'!$E$13+1,1))-AVERAGE(OFFSET($H$3,0,0,'Données projet'!$E$13+1,1))</f>
        <v>280.20599015000306</v>
      </c>
      <c r="CZ126" s="60">
        <f t="shared" si="96"/>
        <v>166.97658184507787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-5.6843418860808015E-14</v>
      </c>
      <c r="DP126" s="18">
        <f>DO126*VLOOKUP('Données projet'!$B$14,Paramètres!$A$1:$I$89,3,0)*VLOOKUP('Données projet'!$B$14,Paramètres!$A$1:$I$89,5,0)</f>
        <v>-3.813056537183002E-14</v>
      </c>
      <c r="DQ126" s="14" t="e">
        <f t="shared" si="97"/>
        <v>#NUM!</v>
      </c>
      <c r="DR126" s="22" t="e">
        <f t="shared" si="70"/>
        <v>#NUM!</v>
      </c>
      <c r="DS126" s="60" t="e">
        <f t="shared" si="71"/>
        <v>#NUM!</v>
      </c>
      <c r="DT126" s="60">
        <f ca="1">AVERAGE(OFFSET($DS$3,0,0,'Données projet'!$E$14+1,1))-AVERAGE(OFFSET($H$3,0,0,'Données projet'!$E$14+1,1))</f>
        <v>291.18686311753402</v>
      </c>
      <c r="DU126" s="60">
        <f t="shared" si="98"/>
        <v>215.44422413249839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-1.9895196601282805E-13</v>
      </c>
      <c r="EK126" s="18">
        <f>EJ126*VLOOKUP('Données projet'!$B$15,Paramètres!$A$1:$I$89,3,0)*VLOOKUP('Données projet'!$B$15,Paramètres!$A$1:$I$89,5,0)</f>
        <v>-1.6138983482960614E-13</v>
      </c>
      <c r="EL126" s="14" t="e">
        <f t="shared" si="99"/>
        <v>#NUM!</v>
      </c>
      <c r="EM126" s="22" t="e">
        <f t="shared" si="73"/>
        <v>#NUM!</v>
      </c>
      <c r="EN126" s="60" t="e">
        <f t="shared" si="74"/>
        <v>#NUM!</v>
      </c>
      <c r="EO126" s="60">
        <f ca="1">AVERAGE(OFFSET($EN$3,0,0,'Données projet'!$E$15+1,1))-AVERAGE(OFFSET($H$3,0,0,'Données projet'!$E$15+1,1))</f>
        <v>236.22643401787644</v>
      </c>
      <c r="EP126" s="60">
        <f t="shared" si="100"/>
        <v>188.80444043778022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8">
        <f t="shared" si="56"/>
        <v>256.66666666666669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0" t="e">
        <f t="shared" si="55"/>
        <v>#NUM!</v>
      </c>
      <c r="S127" s="60">
        <f ca="1">AVERAGE(OFFSET($R$3,0,0,'Données projet'!$E$9+1,1))-AVERAGE(OFFSET($H$3,0,0,'Données projet'!$E$9+1,1))</f>
        <v>144.55635559713392</v>
      </c>
      <c r="T127" s="60">
        <f t="shared" si="88"/>
        <v>349.14692715126904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9.4718972318300523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1.5649460883828521E-15</v>
      </c>
      <c r="AC127" s="24">
        <f t="shared" si="57"/>
        <v>9.4718972318300541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280.79999999999944</v>
      </c>
      <c r="AJ127" s="14">
        <f>AI127*VLOOKUP('Données projet'!$B$10,Paramètres!$A$1:$I$89,3,0)*VLOOKUP('Données projet'!$B$10,Paramètres!$A$1:$I$89,5,0)</f>
        <v>254.06783999999948</v>
      </c>
      <c r="AK127" s="14">
        <f t="shared" si="89"/>
        <v>61.456187622750612</v>
      </c>
      <c r="AL127" s="22">
        <f t="shared" si="58"/>
        <v>549.53768144295634</v>
      </c>
      <c r="AM127" s="60">
        <f t="shared" si="59"/>
        <v>842.87101477628971</v>
      </c>
      <c r="AN127" s="60">
        <f ca="1">AVERAGE(OFFSET($AM$3,0,0,'Données projet'!$E$10+1,1))-AVERAGE(OFFSET($H$3,0,0,'Données projet'!$E$10+1,1))</f>
        <v>428.8489304403459</v>
      </c>
      <c r="AO127" s="60">
        <f t="shared" si="90"/>
        <v>247.01165577562966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3.2</v>
      </c>
      <c r="BD127" s="13">
        <f>IF('Données projet'!$A$88&gt;35,BD126+BC127-BL126,IF(A127&lt;'Données projet'!$A$88,$BA$205^A127,IF(A127='Données projet'!$A$88,'Données projet'!$B$88,BD126+BC127-BL126)))</f>
        <v>280.79999999999944</v>
      </c>
      <c r="BE127" s="14">
        <f>BD127*VLOOKUP('Données projet'!$B$11,Paramètres!$A$1:$I$89,3,0)*VLOOKUP('Données projet'!$B$11,Paramètres!$A$1:$I$89,5,0)</f>
        <v>284.73119999999943</v>
      </c>
      <c r="BF127" s="14">
        <f t="shared" si="91"/>
        <v>67.965870320050826</v>
      </c>
      <c r="BG127" s="22">
        <f t="shared" si="61"/>
        <v>614.28073080742081</v>
      </c>
      <c r="BH127" s="60">
        <f t="shared" si="62"/>
        <v>907.61406414075418</v>
      </c>
      <c r="BI127" s="60">
        <f ca="1">AVERAGE(OFFSET($BH$3,0,0,'Données projet'!$E$11+1,1))-AVERAGE(OFFSET($H$3,0,0,'Données projet'!$E$11+1,1))</f>
        <v>475.47920969424894</v>
      </c>
      <c r="BJ127" s="60">
        <f t="shared" si="92"/>
        <v>271.73544012419364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5.6843418860808015E-14</v>
      </c>
      <c r="BZ127" s="14">
        <f>BY127*VLOOKUP('Données projet'!$B$12,Paramètres!$A$1:$I$89,3,0)*VLOOKUP('Données projet'!$B$12,Paramètres!$A$1:$I$89,5,0)</f>
        <v>5.4978954722173515E-14</v>
      </c>
      <c r="CA127" s="14">
        <f t="shared" si="93"/>
        <v>8.8550225887742724E-13</v>
      </c>
      <c r="CB127" s="22">
        <f t="shared" si="64"/>
        <v>1.6380047803526383E-12</v>
      </c>
      <c r="CC127" s="60">
        <f t="shared" si="65"/>
        <v>293.33333333333496</v>
      </c>
      <c r="CD127" s="60">
        <f ca="1">AVERAGE(OFFSET($CC$3,0,0,'Données projet'!$E$12+1,1))-AVERAGE(OFFSET($H$3,0,0,'Données projet'!$E$12+1,1))</f>
        <v>255.59755832175625</v>
      </c>
      <c r="CE127" s="60">
        <f t="shared" si="94"/>
        <v>154.0840647586964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5.6843418860808015E-14</v>
      </c>
      <c r="CU127" s="18">
        <f>CT127*VLOOKUP('Données projet'!$B$13,Paramètres!$A$1:$I$89,3,0)*VLOOKUP('Données projet'!$B$13,Paramètres!$A$1:$I$89,5,0)</f>
        <v>6.1186256061773749E-14</v>
      </c>
      <c r="CV127" s="14">
        <f t="shared" si="95"/>
        <v>9.7328366192051127E-13</v>
      </c>
      <c r="CW127" s="22">
        <f t="shared" si="67"/>
        <v>1.8017017738191463E-12</v>
      </c>
      <c r="CX127" s="60">
        <f t="shared" si="68"/>
        <v>293.33333333333513</v>
      </c>
      <c r="CY127" s="60">
        <f ca="1">AVERAGE(OFFSET($CX$3,0,0,'Données projet'!$E$13+1,1))-AVERAGE(OFFSET($H$3,0,0,'Données projet'!$E$13+1,1))</f>
        <v>280.20599015000306</v>
      </c>
      <c r="CZ127" s="60">
        <f t="shared" si="96"/>
        <v>166.97658184507787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-5.6843418860808015E-14</v>
      </c>
      <c r="DP127" s="18">
        <f>DO127*VLOOKUP('Données projet'!$B$14,Paramètres!$A$1:$I$89,3,0)*VLOOKUP('Données projet'!$B$14,Paramètres!$A$1:$I$89,5,0)</f>
        <v>-3.813056537183002E-14</v>
      </c>
      <c r="DQ127" s="14" t="e">
        <f t="shared" si="97"/>
        <v>#NUM!</v>
      </c>
      <c r="DR127" s="22" t="e">
        <f t="shared" si="70"/>
        <v>#NUM!</v>
      </c>
      <c r="DS127" s="60" t="e">
        <f t="shared" si="71"/>
        <v>#NUM!</v>
      </c>
      <c r="DT127" s="60">
        <f ca="1">AVERAGE(OFFSET($DS$3,0,0,'Données projet'!$E$14+1,1))-AVERAGE(OFFSET($H$3,0,0,'Données projet'!$E$14+1,1))</f>
        <v>291.18686311753402</v>
      </c>
      <c r="DU127" s="60">
        <f t="shared" si="98"/>
        <v>215.44422413249839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-1.9895196601282805E-13</v>
      </c>
      <c r="EK127" s="18">
        <f>EJ127*VLOOKUP('Données projet'!$B$15,Paramètres!$A$1:$I$89,3,0)*VLOOKUP('Données projet'!$B$15,Paramètres!$A$1:$I$89,5,0)</f>
        <v>-1.6138983482960614E-13</v>
      </c>
      <c r="EL127" s="14" t="e">
        <f t="shared" si="99"/>
        <v>#NUM!</v>
      </c>
      <c r="EM127" s="22" t="e">
        <f t="shared" si="73"/>
        <v>#NUM!</v>
      </c>
      <c r="EN127" s="60" t="e">
        <f t="shared" si="74"/>
        <v>#NUM!</v>
      </c>
      <c r="EO127" s="60">
        <f ca="1">AVERAGE(OFFSET($EN$3,0,0,'Données projet'!$E$15+1,1))-AVERAGE(OFFSET($H$3,0,0,'Données projet'!$E$15+1,1))</f>
        <v>236.22643401787644</v>
      </c>
      <c r="EP127" s="60">
        <f t="shared" si="100"/>
        <v>188.80444043778022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8">
        <f t="shared" si="56"/>
        <v>256.66666666666669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0" t="e">
        <f t="shared" si="55"/>
        <v>#NUM!</v>
      </c>
      <c r="S128" s="60">
        <f ca="1">AVERAGE(OFFSET($R$3,0,0,'Données projet'!$E$9+1,1))-AVERAGE(OFFSET($H$3,0,0,'Données projet'!$E$9+1,1))</f>
        <v>144.55635559713392</v>
      </c>
      <c r="T128" s="60">
        <f t="shared" si="88"/>
        <v>349.14692715126904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9.286159104400717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1.1065839912868769E-15</v>
      </c>
      <c r="AC128" s="24">
        <f t="shared" si="57"/>
        <v>9.2861591044007188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283.99999999999943</v>
      </c>
      <c r="AJ128" s="14">
        <f>AI128*VLOOKUP('Données projet'!$B$10,Paramètres!$A$1:$I$89,3,0)*VLOOKUP('Données projet'!$B$10,Paramètres!$A$1:$I$89,5,0)</f>
        <v>256.96319999999946</v>
      </c>
      <c r="AK128" s="14">
        <f t="shared" si="89"/>
        <v>62.07461295683791</v>
      </c>
      <c r="AL128" s="22">
        <f t="shared" si="58"/>
        <v>555.65752423315837</v>
      </c>
      <c r="AM128" s="60">
        <f t="shared" si="59"/>
        <v>848.99085756649174</v>
      </c>
      <c r="AN128" s="60">
        <f ca="1">AVERAGE(OFFSET($AM$3,0,0,'Données projet'!$E$10+1,1))-AVERAGE(OFFSET($H$3,0,0,'Données projet'!$E$10+1,1))</f>
        <v>428.8489304403459</v>
      </c>
      <c r="AO128" s="60">
        <f t="shared" si="90"/>
        <v>247.01165577562966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3.2</v>
      </c>
      <c r="BD128" s="13">
        <f>IF('Données projet'!$A$88&gt;35,BD127+BC128-BL127,IF(A128&lt;'Données projet'!$A$88,$BA$205^A128,IF(A128='Données projet'!$A$88,'Données projet'!$B$88,BD127+BC128-BL127)))</f>
        <v>283.99999999999943</v>
      </c>
      <c r="BE128" s="14">
        <f>BD128*VLOOKUP('Données projet'!$B$11,Paramètres!$A$1:$I$89,3,0)*VLOOKUP('Données projet'!$B$11,Paramètres!$A$1:$I$89,5,0)</f>
        <v>287.97599999999943</v>
      </c>
      <c r="BF128" s="14">
        <f t="shared" si="91"/>
        <v>68.649801713863027</v>
      </c>
      <c r="BG128" s="22">
        <f t="shared" si="61"/>
        <v>621.12327131831046</v>
      </c>
      <c r="BH128" s="60">
        <f t="shared" si="62"/>
        <v>914.45660465164383</v>
      </c>
      <c r="BI128" s="60">
        <f ca="1">AVERAGE(OFFSET($BH$3,0,0,'Données projet'!$E$11+1,1))-AVERAGE(OFFSET($H$3,0,0,'Données projet'!$E$11+1,1))</f>
        <v>475.47920969424894</v>
      </c>
      <c r="BJ128" s="60">
        <f t="shared" si="92"/>
        <v>271.73544012419364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5.6843418860808015E-14</v>
      </c>
      <c r="BZ128" s="14">
        <f>BY128*VLOOKUP('Données projet'!$B$12,Paramètres!$A$1:$I$89,3,0)*VLOOKUP('Données projet'!$B$12,Paramètres!$A$1:$I$89,5,0)</f>
        <v>5.4978954722173515E-14</v>
      </c>
      <c r="CA128" s="14">
        <f t="shared" si="93"/>
        <v>8.8550225887742724E-13</v>
      </c>
      <c r="CB128" s="22">
        <f t="shared" si="64"/>
        <v>1.6380047803526383E-12</v>
      </c>
      <c r="CC128" s="60">
        <f t="shared" si="65"/>
        <v>293.33333333333496</v>
      </c>
      <c r="CD128" s="60">
        <f ca="1">AVERAGE(OFFSET($CC$3,0,0,'Données projet'!$E$12+1,1))-AVERAGE(OFFSET($H$3,0,0,'Données projet'!$E$12+1,1))</f>
        <v>255.59755832175625</v>
      </c>
      <c r="CE128" s="60">
        <f t="shared" si="94"/>
        <v>154.0840647586964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5.6843418860808015E-14</v>
      </c>
      <c r="CU128" s="18">
        <f>CT128*VLOOKUP('Données projet'!$B$13,Paramètres!$A$1:$I$89,3,0)*VLOOKUP('Données projet'!$B$13,Paramètres!$A$1:$I$89,5,0)</f>
        <v>6.1186256061773749E-14</v>
      </c>
      <c r="CV128" s="14">
        <f t="shared" si="95"/>
        <v>9.7328366192051127E-13</v>
      </c>
      <c r="CW128" s="22">
        <f t="shared" si="67"/>
        <v>1.8017017738191463E-12</v>
      </c>
      <c r="CX128" s="60">
        <f t="shared" si="68"/>
        <v>293.33333333333513</v>
      </c>
      <c r="CY128" s="60">
        <f ca="1">AVERAGE(OFFSET($CX$3,0,0,'Données projet'!$E$13+1,1))-AVERAGE(OFFSET($H$3,0,0,'Données projet'!$E$13+1,1))</f>
        <v>280.20599015000306</v>
      </c>
      <c r="CZ128" s="60">
        <f t="shared" si="96"/>
        <v>166.97658184507787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-5.6843418860808015E-14</v>
      </c>
      <c r="DP128" s="18">
        <f>DO128*VLOOKUP('Données projet'!$B$14,Paramètres!$A$1:$I$89,3,0)*VLOOKUP('Données projet'!$B$14,Paramètres!$A$1:$I$89,5,0)</f>
        <v>-3.813056537183002E-14</v>
      </c>
      <c r="DQ128" s="14" t="e">
        <f t="shared" si="97"/>
        <v>#NUM!</v>
      </c>
      <c r="DR128" s="22" t="e">
        <f t="shared" si="70"/>
        <v>#NUM!</v>
      </c>
      <c r="DS128" s="60" t="e">
        <f t="shared" si="71"/>
        <v>#NUM!</v>
      </c>
      <c r="DT128" s="60">
        <f ca="1">AVERAGE(OFFSET($DS$3,0,0,'Données projet'!$E$14+1,1))-AVERAGE(OFFSET($H$3,0,0,'Données projet'!$E$14+1,1))</f>
        <v>291.18686311753402</v>
      </c>
      <c r="DU128" s="60">
        <f t="shared" si="98"/>
        <v>215.44422413249839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-1.9895196601282805E-13</v>
      </c>
      <c r="EK128" s="18">
        <f>EJ128*VLOOKUP('Données projet'!$B$15,Paramètres!$A$1:$I$89,3,0)*VLOOKUP('Données projet'!$B$15,Paramètres!$A$1:$I$89,5,0)</f>
        <v>-1.6138983482960614E-13</v>
      </c>
      <c r="EL128" s="14" t="e">
        <f t="shared" si="99"/>
        <v>#NUM!</v>
      </c>
      <c r="EM128" s="22" t="e">
        <f t="shared" si="73"/>
        <v>#NUM!</v>
      </c>
      <c r="EN128" s="60" t="e">
        <f t="shared" si="74"/>
        <v>#NUM!</v>
      </c>
      <c r="EO128" s="60">
        <f ca="1">AVERAGE(OFFSET($EN$3,0,0,'Données projet'!$E$15+1,1))-AVERAGE(OFFSET($H$3,0,0,'Données projet'!$E$15+1,1))</f>
        <v>236.22643401787644</v>
      </c>
      <c r="EP128" s="60">
        <f t="shared" si="100"/>
        <v>188.80444043778022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8">
        <f t="shared" si="56"/>
        <v>256.66666666666669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0" t="e">
        <f t="shared" si="55"/>
        <v>#NUM!</v>
      </c>
      <c r="S129" s="60">
        <f ca="1">AVERAGE(OFFSET($R$3,0,0,'Données projet'!$E$9+1,1))-AVERAGE(OFFSET($H$3,0,0,'Données projet'!$E$9+1,1))</f>
        <v>144.55635559713392</v>
      </c>
      <c r="T129" s="60">
        <f t="shared" si="88"/>
        <v>349.14692715126904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9.1040631883611987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7.8247304419142607E-16</v>
      </c>
      <c r="AC129" s="24">
        <f t="shared" si="57"/>
        <v>9.1040631883611987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287.19999999999942</v>
      </c>
      <c r="AJ129" s="14">
        <f>AI129*VLOOKUP('Données projet'!$B$10,Paramètres!$A$1:$I$89,3,0)*VLOOKUP('Données projet'!$B$10,Paramètres!$A$1:$I$89,5,0)</f>
        <v>259.85855999999944</v>
      </c>
      <c r="AK129" s="14">
        <f t="shared" si="89"/>
        <v>62.692227709138365</v>
      </c>
      <c r="AL129" s="22">
        <f t="shared" si="58"/>
        <v>561.77595526008167</v>
      </c>
      <c r="AM129" s="60">
        <f t="shared" si="59"/>
        <v>855.10928859341493</v>
      </c>
      <c r="AN129" s="60">
        <f ca="1">AVERAGE(OFFSET($AM$3,0,0,'Données projet'!$E$10+1,1))-AVERAGE(OFFSET($H$3,0,0,'Données projet'!$E$10+1,1))</f>
        <v>428.8489304403459</v>
      </c>
      <c r="AO129" s="60">
        <f t="shared" si="90"/>
        <v>247.01165577562966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3.2</v>
      </c>
      <c r="BD129" s="13">
        <f>IF('Données projet'!$A$88&gt;35,BD128+BC129-BL128,IF(A129&lt;'Données projet'!$A$88,$BA$205^A129,IF(A129='Données projet'!$A$88,'Données projet'!$B$88,BD128+BC129-BL128)))</f>
        <v>287.19999999999942</v>
      </c>
      <c r="BE129" s="14">
        <f>BD129*VLOOKUP('Données projet'!$B$11,Paramètres!$A$1:$I$89,3,0)*VLOOKUP('Données projet'!$B$11,Paramètres!$A$1:$I$89,5,0)</f>
        <v>291.22079999999943</v>
      </c>
      <c r="BF129" s="14">
        <f t="shared" si="91"/>
        <v>69.33283666585649</v>
      </c>
      <c r="BG129" s="22">
        <f t="shared" si="61"/>
        <v>627.96425052636573</v>
      </c>
      <c r="BH129" s="60">
        <f t="shared" si="62"/>
        <v>921.29758385969899</v>
      </c>
      <c r="BI129" s="60">
        <f ca="1">AVERAGE(OFFSET($BH$3,0,0,'Données projet'!$E$11+1,1))-AVERAGE(OFFSET($H$3,0,0,'Données projet'!$E$11+1,1))</f>
        <v>475.47920969424894</v>
      </c>
      <c r="BJ129" s="60">
        <f t="shared" si="92"/>
        <v>271.73544012419364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5.6843418860808015E-14</v>
      </c>
      <c r="BZ129" s="14">
        <f>BY129*VLOOKUP('Données projet'!$B$12,Paramètres!$A$1:$I$89,3,0)*VLOOKUP('Données projet'!$B$12,Paramètres!$A$1:$I$89,5,0)</f>
        <v>5.4978954722173515E-14</v>
      </c>
      <c r="CA129" s="14">
        <f t="shared" si="93"/>
        <v>8.8550225887742724E-13</v>
      </c>
      <c r="CB129" s="22">
        <f t="shared" si="64"/>
        <v>1.6380047803526383E-12</v>
      </c>
      <c r="CC129" s="60">
        <f t="shared" si="65"/>
        <v>293.33333333333496</v>
      </c>
      <c r="CD129" s="60">
        <f ca="1">AVERAGE(OFFSET($CC$3,0,0,'Données projet'!$E$12+1,1))-AVERAGE(OFFSET($H$3,0,0,'Données projet'!$E$12+1,1))</f>
        <v>255.59755832175625</v>
      </c>
      <c r="CE129" s="60">
        <f t="shared" si="94"/>
        <v>154.0840647586964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5.6843418860808015E-14</v>
      </c>
      <c r="CU129" s="18">
        <f>CT129*VLOOKUP('Données projet'!$B$13,Paramètres!$A$1:$I$89,3,0)*VLOOKUP('Données projet'!$B$13,Paramètres!$A$1:$I$89,5,0)</f>
        <v>6.1186256061773749E-14</v>
      </c>
      <c r="CV129" s="14">
        <f t="shared" si="95"/>
        <v>9.7328366192051127E-13</v>
      </c>
      <c r="CW129" s="22">
        <f t="shared" si="67"/>
        <v>1.8017017738191463E-12</v>
      </c>
      <c r="CX129" s="60">
        <f t="shared" si="68"/>
        <v>293.33333333333513</v>
      </c>
      <c r="CY129" s="60">
        <f ca="1">AVERAGE(OFFSET($CX$3,0,0,'Données projet'!$E$13+1,1))-AVERAGE(OFFSET($H$3,0,0,'Données projet'!$E$13+1,1))</f>
        <v>280.20599015000306</v>
      </c>
      <c r="CZ129" s="60">
        <f t="shared" si="96"/>
        <v>166.97658184507787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-5.6843418860808015E-14</v>
      </c>
      <c r="DP129" s="18">
        <f>DO129*VLOOKUP('Données projet'!$B$14,Paramètres!$A$1:$I$89,3,0)*VLOOKUP('Données projet'!$B$14,Paramètres!$A$1:$I$89,5,0)</f>
        <v>-3.813056537183002E-14</v>
      </c>
      <c r="DQ129" s="14" t="e">
        <f t="shared" si="97"/>
        <v>#NUM!</v>
      </c>
      <c r="DR129" s="22" t="e">
        <f t="shared" si="70"/>
        <v>#NUM!</v>
      </c>
      <c r="DS129" s="60" t="e">
        <f t="shared" si="71"/>
        <v>#NUM!</v>
      </c>
      <c r="DT129" s="60">
        <f ca="1">AVERAGE(OFFSET($DS$3,0,0,'Données projet'!$E$14+1,1))-AVERAGE(OFFSET($H$3,0,0,'Données projet'!$E$14+1,1))</f>
        <v>291.18686311753402</v>
      </c>
      <c r="DU129" s="60">
        <f t="shared" si="98"/>
        <v>215.44422413249839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-1.9895196601282805E-13</v>
      </c>
      <c r="EK129" s="18">
        <f>EJ129*VLOOKUP('Données projet'!$B$15,Paramètres!$A$1:$I$89,3,0)*VLOOKUP('Données projet'!$B$15,Paramètres!$A$1:$I$89,5,0)</f>
        <v>-1.6138983482960614E-13</v>
      </c>
      <c r="EL129" s="14" t="e">
        <f t="shared" si="99"/>
        <v>#NUM!</v>
      </c>
      <c r="EM129" s="22" t="e">
        <f t="shared" si="73"/>
        <v>#NUM!</v>
      </c>
      <c r="EN129" s="60" t="e">
        <f t="shared" si="74"/>
        <v>#NUM!</v>
      </c>
      <c r="EO129" s="60">
        <f ca="1">AVERAGE(OFFSET($EN$3,0,0,'Données projet'!$E$15+1,1))-AVERAGE(OFFSET($H$3,0,0,'Données projet'!$E$15+1,1))</f>
        <v>236.22643401787644</v>
      </c>
      <c r="EP129" s="60">
        <f t="shared" si="100"/>
        <v>188.80444043778022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8">
        <f t="shared" si="56"/>
        <v>256.66666666666669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0" t="e">
        <f t="shared" si="55"/>
        <v>#NUM!</v>
      </c>
      <c r="S130" s="60">
        <f ca="1">AVERAGE(OFFSET($R$3,0,0,'Données projet'!$E$9+1,1))-AVERAGE(OFFSET($H$3,0,0,'Données projet'!$E$9+1,1))</f>
        <v>144.55635559713392</v>
      </c>
      <c r="T130" s="60">
        <f t="shared" si="88"/>
        <v>349.14692715126904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8.925538062167675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5.5329199564343844E-16</v>
      </c>
      <c r="AC130" s="24">
        <f t="shared" si="57"/>
        <v>8.925538062167675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290.39999999999941</v>
      </c>
      <c r="AJ130" s="14">
        <f>AI130*VLOOKUP('Données projet'!$B$10,Paramètres!$A$1:$I$89,3,0)*VLOOKUP('Données projet'!$B$10,Paramètres!$A$1:$I$89,5,0)</f>
        <v>262.75391999999948</v>
      </c>
      <c r="AK130" s="14">
        <f t="shared" si="89"/>
        <v>63.309041956360211</v>
      </c>
      <c r="AL130" s="22">
        <f t="shared" si="58"/>
        <v>567.89299207399313</v>
      </c>
      <c r="AM130" s="60">
        <f t="shared" si="59"/>
        <v>861.22632540732639</v>
      </c>
      <c r="AN130" s="60">
        <f ca="1">AVERAGE(OFFSET($AM$3,0,0,'Données projet'!$E$10+1,1))-AVERAGE(OFFSET($H$3,0,0,'Données projet'!$E$10+1,1))</f>
        <v>428.8489304403459</v>
      </c>
      <c r="AO130" s="60">
        <f t="shared" si="90"/>
        <v>247.01165577562966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3.2</v>
      </c>
      <c r="BD130" s="13">
        <f>IF('Données projet'!$A$88&gt;35,BD129+BC130-BL129,IF(A130&lt;'Données projet'!$A$88,$BA$205^A130,IF(A130='Données projet'!$A$88,'Données projet'!$B$88,BD129+BC130-BL129)))</f>
        <v>290.39999999999941</v>
      </c>
      <c r="BE130" s="14">
        <f>BD130*VLOOKUP('Données projet'!$B$11,Paramètres!$A$1:$I$89,3,0)*VLOOKUP('Données projet'!$B$11,Paramètres!$A$1:$I$89,5,0)</f>
        <v>294.46559999999943</v>
      </c>
      <c r="BF130" s="14">
        <f t="shared" si="91"/>
        <v>70.0149863201041</v>
      </c>
      <c r="BG130" s="22">
        <f t="shared" si="61"/>
        <v>634.80368784084692</v>
      </c>
      <c r="BH130" s="60">
        <f t="shared" si="62"/>
        <v>928.13702117418029</v>
      </c>
      <c r="BI130" s="60">
        <f ca="1">AVERAGE(OFFSET($BH$3,0,0,'Données projet'!$E$11+1,1))-AVERAGE(OFFSET($H$3,0,0,'Données projet'!$E$11+1,1))</f>
        <v>475.47920969424894</v>
      </c>
      <c r="BJ130" s="60">
        <f t="shared" si="92"/>
        <v>271.73544012419364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5.6843418860808015E-14</v>
      </c>
      <c r="BZ130" s="14">
        <f>BY130*VLOOKUP('Données projet'!$B$12,Paramètres!$A$1:$I$89,3,0)*VLOOKUP('Données projet'!$B$12,Paramètres!$A$1:$I$89,5,0)</f>
        <v>5.4978954722173515E-14</v>
      </c>
      <c r="CA130" s="14">
        <f t="shared" si="93"/>
        <v>8.8550225887742724E-13</v>
      </c>
      <c r="CB130" s="22">
        <f t="shared" si="64"/>
        <v>1.6380047803526383E-12</v>
      </c>
      <c r="CC130" s="60">
        <f t="shared" si="65"/>
        <v>293.33333333333496</v>
      </c>
      <c r="CD130" s="60">
        <f ca="1">AVERAGE(OFFSET($CC$3,0,0,'Données projet'!$E$12+1,1))-AVERAGE(OFFSET($H$3,0,0,'Données projet'!$E$12+1,1))</f>
        <v>255.59755832175625</v>
      </c>
      <c r="CE130" s="60">
        <f t="shared" si="94"/>
        <v>154.0840647586964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5.6843418860808015E-14</v>
      </c>
      <c r="CU130" s="18">
        <f>CT130*VLOOKUP('Données projet'!$B$13,Paramètres!$A$1:$I$89,3,0)*VLOOKUP('Données projet'!$B$13,Paramètres!$A$1:$I$89,5,0)</f>
        <v>6.1186256061773749E-14</v>
      </c>
      <c r="CV130" s="14">
        <f t="shared" si="95"/>
        <v>9.7328366192051127E-13</v>
      </c>
      <c r="CW130" s="22">
        <f t="shared" si="67"/>
        <v>1.8017017738191463E-12</v>
      </c>
      <c r="CX130" s="60">
        <f t="shared" si="68"/>
        <v>293.33333333333513</v>
      </c>
      <c r="CY130" s="60">
        <f ca="1">AVERAGE(OFFSET($CX$3,0,0,'Données projet'!$E$13+1,1))-AVERAGE(OFFSET($H$3,0,0,'Données projet'!$E$13+1,1))</f>
        <v>280.20599015000306</v>
      </c>
      <c r="CZ130" s="60">
        <f t="shared" si="96"/>
        <v>166.97658184507787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-5.6843418860808015E-14</v>
      </c>
      <c r="DP130" s="18">
        <f>DO130*VLOOKUP('Données projet'!$B$14,Paramètres!$A$1:$I$89,3,0)*VLOOKUP('Données projet'!$B$14,Paramètres!$A$1:$I$89,5,0)</f>
        <v>-3.813056537183002E-14</v>
      </c>
      <c r="DQ130" s="14" t="e">
        <f t="shared" si="97"/>
        <v>#NUM!</v>
      </c>
      <c r="DR130" s="22" t="e">
        <f t="shared" si="70"/>
        <v>#NUM!</v>
      </c>
      <c r="DS130" s="60" t="e">
        <f t="shared" si="71"/>
        <v>#NUM!</v>
      </c>
      <c r="DT130" s="60">
        <f ca="1">AVERAGE(OFFSET($DS$3,0,0,'Données projet'!$E$14+1,1))-AVERAGE(OFFSET($H$3,0,0,'Données projet'!$E$14+1,1))</f>
        <v>291.18686311753402</v>
      </c>
      <c r="DU130" s="60">
        <f t="shared" si="98"/>
        <v>215.44422413249839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-1.9895196601282805E-13</v>
      </c>
      <c r="EK130" s="18">
        <f>EJ130*VLOOKUP('Données projet'!$B$15,Paramètres!$A$1:$I$89,3,0)*VLOOKUP('Données projet'!$B$15,Paramètres!$A$1:$I$89,5,0)</f>
        <v>-1.6138983482960614E-13</v>
      </c>
      <c r="EL130" s="14" t="e">
        <f t="shared" si="99"/>
        <v>#NUM!</v>
      </c>
      <c r="EM130" s="22" t="e">
        <f t="shared" si="73"/>
        <v>#NUM!</v>
      </c>
      <c r="EN130" s="60" t="e">
        <f t="shared" si="74"/>
        <v>#NUM!</v>
      </c>
      <c r="EO130" s="60">
        <f ca="1">AVERAGE(OFFSET($EN$3,0,0,'Données projet'!$E$15+1,1))-AVERAGE(OFFSET($H$3,0,0,'Données projet'!$E$15+1,1))</f>
        <v>236.22643401787644</v>
      </c>
      <c r="EP130" s="60">
        <f t="shared" si="100"/>
        <v>188.80444043778022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8">
        <f t="shared" si="56"/>
        <v>256.66666666666669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0" t="e">
        <f t="shared" ref="R131:R194" si="109">Q131+(I131+J131)*44/12</f>
        <v>#NUM!</v>
      </c>
      <c r="S131" s="60">
        <f ca="1">AVERAGE(OFFSET($R$3,0,0,'Données projet'!$E$9+1,1))-AVERAGE(OFFSET($H$3,0,0,'Données projet'!$E$9+1,1))</f>
        <v>144.55635559713392</v>
      </c>
      <c r="T131" s="60">
        <f t="shared" si="88"/>
        <v>349.14692715126904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8.7505137048092312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3.9123652209571303E-16</v>
      </c>
      <c r="AC131" s="24">
        <f t="shared" si="57"/>
        <v>8.7505137048092312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293.5999999999994</v>
      </c>
      <c r="AJ131" s="14">
        <f>AI131*VLOOKUP('Données projet'!$B$10,Paramètres!$A$1:$I$89,3,0)*VLOOKUP('Données projet'!$B$10,Paramètres!$A$1:$I$89,5,0)</f>
        <v>265.64927999999946</v>
      </c>
      <c r="AK131" s="14">
        <f t="shared" si="89"/>
        <v>63.925065540346907</v>
      </c>
      <c r="AL131" s="22">
        <f t="shared" si="58"/>
        <v>574.00865181610322</v>
      </c>
      <c r="AM131" s="60">
        <f t="shared" si="59"/>
        <v>867.3419851494366</v>
      </c>
      <c r="AN131" s="60">
        <f ca="1">AVERAGE(OFFSET($AM$3,0,0,'Données projet'!$E$10+1,1))-AVERAGE(OFFSET($H$3,0,0,'Données projet'!$E$10+1,1))</f>
        <v>428.8489304403459</v>
      </c>
      <c r="AO131" s="60">
        <f t="shared" si="90"/>
        <v>247.01165577562966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3.2</v>
      </c>
      <c r="BD131" s="13">
        <f>IF('Données projet'!$A$88&gt;35,BD130+BC131-BL130,IF(A131&lt;'Données projet'!$A$88,$BA$205^A131,IF(A131='Données projet'!$A$88,'Données projet'!$B$88,BD130+BC131-BL130)))</f>
        <v>293.5999999999994</v>
      </c>
      <c r="BE131" s="14">
        <f>BD131*VLOOKUP('Données projet'!$B$11,Paramètres!$A$1:$I$89,3,0)*VLOOKUP('Données projet'!$B$11,Paramètres!$A$1:$I$89,5,0)</f>
        <v>297.71039999999937</v>
      </c>
      <c r="BF131" s="14">
        <f t="shared" si="91"/>
        <v>70.696261560936534</v>
      </c>
      <c r="BG131" s="22">
        <f t="shared" si="61"/>
        <v>641.64160221862994</v>
      </c>
      <c r="BH131" s="60">
        <f t="shared" si="62"/>
        <v>934.9749355519632</v>
      </c>
      <c r="BI131" s="60">
        <f ca="1">AVERAGE(OFFSET($BH$3,0,0,'Données projet'!$E$11+1,1))-AVERAGE(OFFSET($H$3,0,0,'Données projet'!$E$11+1,1))</f>
        <v>475.47920969424894</v>
      </c>
      <c r="BJ131" s="60">
        <f t="shared" si="92"/>
        <v>271.73544012419364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5.6843418860808015E-14</v>
      </c>
      <c r="BZ131" s="14">
        <f>BY131*VLOOKUP('Données projet'!$B$12,Paramètres!$A$1:$I$89,3,0)*VLOOKUP('Données projet'!$B$12,Paramètres!$A$1:$I$89,5,0)</f>
        <v>5.4978954722173515E-14</v>
      </c>
      <c r="CA131" s="14">
        <f t="shared" si="93"/>
        <v>8.8550225887742724E-13</v>
      </c>
      <c r="CB131" s="22">
        <f t="shared" si="64"/>
        <v>1.6380047803526383E-12</v>
      </c>
      <c r="CC131" s="60">
        <f t="shared" si="65"/>
        <v>293.33333333333496</v>
      </c>
      <c r="CD131" s="60">
        <f ca="1">AVERAGE(OFFSET($CC$3,0,0,'Données projet'!$E$12+1,1))-AVERAGE(OFFSET($H$3,0,0,'Données projet'!$E$12+1,1))</f>
        <v>255.59755832175625</v>
      </c>
      <c r="CE131" s="60">
        <f t="shared" si="94"/>
        <v>154.0840647586964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5.6843418860808015E-14</v>
      </c>
      <c r="CU131" s="18">
        <f>CT131*VLOOKUP('Données projet'!$B$13,Paramètres!$A$1:$I$89,3,0)*VLOOKUP('Données projet'!$B$13,Paramètres!$A$1:$I$89,5,0)</f>
        <v>6.1186256061773749E-14</v>
      </c>
      <c r="CV131" s="14">
        <f t="shared" si="95"/>
        <v>9.7328366192051127E-13</v>
      </c>
      <c r="CW131" s="22">
        <f t="shared" si="67"/>
        <v>1.8017017738191463E-12</v>
      </c>
      <c r="CX131" s="60">
        <f t="shared" si="68"/>
        <v>293.33333333333513</v>
      </c>
      <c r="CY131" s="60">
        <f ca="1">AVERAGE(OFFSET($CX$3,0,0,'Données projet'!$E$13+1,1))-AVERAGE(OFFSET($H$3,0,0,'Données projet'!$E$13+1,1))</f>
        <v>280.20599015000306</v>
      </c>
      <c r="CZ131" s="60">
        <f t="shared" si="96"/>
        <v>166.97658184507787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-5.6843418860808015E-14</v>
      </c>
      <c r="DP131" s="18">
        <f>DO131*VLOOKUP('Données projet'!$B$14,Paramètres!$A$1:$I$89,3,0)*VLOOKUP('Données projet'!$B$14,Paramètres!$A$1:$I$89,5,0)</f>
        <v>-3.813056537183002E-14</v>
      </c>
      <c r="DQ131" s="14" t="e">
        <f t="shared" si="97"/>
        <v>#NUM!</v>
      </c>
      <c r="DR131" s="22" t="e">
        <f t="shared" si="70"/>
        <v>#NUM!</v>
      </c>
      <c r="DS131" s="60" t="e">
        <f t="shared" si="71"/>
        <v>#NUM!</v>
      </c>
      <c r="DT131" s="60">
        <f ca="1">AVERAGE(OFFSET($DS$3,0,0,'Données projet'!$E$14+1,1))-AVERAGE(OFFSET($H$3,0,0,'Données projet'!$E$14+1,1))</f>
        <v>291.18686311753402</v>
      </c>
      <c r="DU131" s="60">
        <f t="shared" si="98"/>
        <v>215.44422413249839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-1.9895196601282805E-13</v>
      </c>
      <c r="EK131" s="18">
        <f>EJ131*VLOOKUP('Données projet'!$B$15,Paramètres!$A$1:$I$89,3,0)*VLOOKUP('Données projet'!$B$15,Paramètres!$A$1:$I$89,5,0)</f>
        <v>-1.6138983482960614E-13</v>
      </c>
      <c r="EL131" s="14" t="e">
        <f t="shared" si="99"/>
        <v>#NUM!</v>
      </c>
      <c r="EM131" s="22" t="e">
        <f t="shared" si="73"/>
        <v>#NUM!</v>
      </c>
      <c r="EN131" s="60" t="e">
        <f t="shared" si="74"/>
        <v>#NUM!</v>
      </c>
      <c r="EO131" s="60">
        <f ca="1">AVERAGE(OFFSET($EN$3,0,0,'Données projet'!$E$15+1,1))-AVERAGE(OFFSET($H$3,0,0,'Données projet'!$E$15+1,1))</f>
        <v>236.22643401787644</v>
      </c>
      <c r="EP131" s="60">
        <f t="shared" si="100"/>
        <v>188.80444043778022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8">
        <f t="shared" ref="H132:H195" si="110">(B132+E132+F132)*44/12+(C132+D132)*0.475*44/12</f>
        <v>256.66666666666669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0" t="e">
        <f t="shared" si="109"/>
        <v>#NUM!</v>
      </c>
      <c r="S132" s="60">
        <f ca="1">AVERAGE(OFFSET($R$3,0,0,'Données projet'!$E$9+1,1))-AVERAGE(OFFSET($H$3,0,0,'Données projet'!$E$9+1,1))</f>
        <v>144.55635559713392</v>
      </c>
      <c r="T132" s="60">
        <f t="shared" si="88"/>
        <v>349.14692715126904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8.5789214683442694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2.7664599782171922E-16</v>
      </c>
      <c r="AC132" s="24">
        <f t="shared" ref="AC132:AC153" si="111">SUM(Z132:AB132)</f>
        <v>8.5789214683442694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296.79999999999939</v>
      </c>
      <c r="AJ132" s="14">
        <f>AI132*VLOOKUP('Données projet'!$B$10,Paramètres!$A$1:$I$89,3,0)*VLOOKUP('Données projet'!$B$10,Paramètres!$A$1:$I$89,5,0)</f>
        <v>268.54463999999945</v>
      </c>
      <c r="AK132" s="14">
        <f t="shared" si="89"/>
        <v>64.540308076050593</v>
      </c>
      <c r="AL132" s="22">
        <f t="shared" ref="AL132:AL153" si="112">(AJ132+AK132)*0.475*44/12</f>
        <v>580.12295123245383</v>
      </c>
      <c r="AM132" s="60">
        <f t="shared" ref="AM132:AM195" si="113">AL132+(AD132+AE132)*44/12</f>
        <v>873.4562845657872</v>
      </c>
      <c r="AN132" s="60">
        <f ca="1">AVERAGE(OFFSET($AM$3,0,0,'Données projet'!$E$10+1,1))-AVERAGE(OFFSET($H$3,0,0,'Données projet'!$E$10+1,1))</f>
        <v>428.8489304403459</v>
      </c>
      <c r="AO132" s="60">
        <f t="shared" si="90"/>
        <v>247.01165577562966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3.2</v>
      </c>
      <c r="BD132" s="13">
        <f>IF('Données projet'!$A$88&gt;35,BD131+BC132-BL131,IF(A132&lt;'Données projet'!$A$88,$BA$205^A132,IF(A132='Données projet'!$A$88,'Données projet'!$B$88,BD131+BC132-BL131)))</f>
        <v>296.79999999999939</v>
      </c>
      <c r="BE132" s="14">
        <f>BD132*VLOOKUP('Données projet'!$B$11,Paramètres!$A$1:$I$89,3,0)*VLOOKUP('Données projet'!$B$11,Paramètres!$A$1:$I$89,5,0)</f>
        <v>300.95519999999942</v>
      </c>
      <c r="BF132" s="14">
        <f t="shared" si="91"/>
        <v>71.376673021759657</v>
      </c>
      <c r="BG132" s="22">
        <f t="shared" ref="BG132:BG153" si="115">(BE132+BF132)*0.475*44/12</f>
        <v>648.47801217956373</v>
      </c>
      <c r="BH132" s="60">
        <f t="shared" ref="BH132:BH195" si="116">BG132+(AY132+AZ132)*44/12</f>
        <v>941.81134551289711</v>
      </c>
      <c r="BI132" s="60">
        <f ca="1">AVERAGE(OFFSET($BH$3,0,0,'Données projet'!$E$11+1,1))-AVERAGE(OFFSET($H$3,0,0,'Données projet'!$E$11+1,1))</f>
        <v>475.47920969424894</v>
      </c>
      <c r="BJ132" s="60">
        <f t="shared" si="92"/>
        <v>271.73544012419364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5.6843418860808015E-14</v>
      </c>
      <c r="BZ132" s="14">
        <f>BY132*VLOOKUP('Données projet'!$B$12,Paramètres!$A$1:$I$89,3,0)*VLOOKUP('Données projet'!$B$12,Paramètres!$A$1:$I$89,5,0)</f>
        <v>5.4978954722173515E-14</v>
      </c>
      <c r="CA132" s="14">
        <f t="shared" si="93"/>
        <v>8.8550225887742724E-13</v>
      </c>
      <c r="CB132" s="22">
        <f t="shared" ref="CB132:CB153" si="118">(BZ132+CA132)*0.475*44/12</f>
        <v>1.6380047803526383E-12</v>
      </c>
      <c r="CC132" s="60">
        <f t="shared" ref="CC132:CC195" si="119">CB132+(BT132+BU132)*44/12</f>
        <v>293.33333333333496</v>
      </c>
      <c r="CD132" s="60">
        <f ca="1">AVERAGE(OFFSET($CC$3,0,0,'Données projet'!$E$12+1,1))-AVERAGE(OFFSET($H$3,0,0,'Données projet'!$E$12+1,1))</f>
        <v>255.59755832175625</v>
      </c>
      <c r="CE132" s="60">
        <f t="shared" si="94"/>
        <v>154.0840647586964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5.6843418860808015E-14</v>
      </c>
      <c r="CU132" s="18">
        <f>CT132*VLOOKUP('Données projet'!$B$13,Paramètres!$A$1:$I$89,3,0)*VLOOKUP('Données projet'!$B$13,Paramètres!$A$1:$I$89,5,0)</f>
        <v>6.1186256061773749E-14</v>
      </c>
      <c r="CV132" s="14">
        <f t="shared" si="95"/>
        <v>9.7328366192051127E-13</v>
      </c>
      <c r="CW132" s="22">
        <f t="shared" ref="CW132:CW153" si="121">(CU132+CV132)*0.475*44/12</f>
        <v>1.8017017738191463E-12</v>
      </c>
      <c r="CX132" s="60">
        <f t="shared" ref="CX132:CX195" si="122">CW132+(CO132+CP132)*44/12</f>
        <v>293.33333333333513</v>
      </c>
      <c r="CY132" s="60">
        <f ca="1">AVERAGE(OFFSET($CX$3,0,0,'Données projet'!$E$13+1,1))-AVERAGE(OFFSET($H$3,0,0,'Données projet'!$E$13+1,1))</f>
        <v>280.20599015000306</v>
      </c>
      <c r="CZ132" s="60">
        <f t="shared" si="96"/>
        <v>166.97658184507787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-5.6843418860808015E-14</v>
      </c>
      <c r="DP132" s="18">
        <f>DO132*VLOOKUP('Données projet'!$B$14,Paramètres!$A$1:$I$89,3,0)*VLOOKUP('Données projet'!$B$14,Paramètres!$A$1:$I$89,5,0)</f>
        <v>-3.813056537183002E-14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0" t="e">
        <f t="shared" ref="DS132:DS195" si="125">DR132+(DJ132+DK132)*44/12</f>
        <v>#NUM!</v>
      </c>
      <c r="DT132" s="60">
        <f ca="1">AVERAGE(OFFSET($DS$3,0,0,'Données projet'!$E$14+1,1))-AVERAGE(OFFSET($H$3,0,0,'Données projet'!$E$14+1,1))</f>
        <v>291.18686311753402</v>
      </c>
      <c r="DU132" s="60">
        <f t="shared" si="98"/>
        <v>215.44422413249839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-1.9895196601282805E-13</v>
      </c>
      <c r="EK132" s="18">
        <f>EJ132*VLOOKUP('Données projet'!$B$15,Paramètres!$A$1:$I$89,3,0)*VLOOKUP('Données projet'!$B$15,Paramètres!$A$1:$I$89,5,0)</f>
        <v>-1.6138983482960614E-13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0" t="e">
        <f t="shared" ref="EN132:EN195" si="128">EM132+(EE132+EF132)*44/12</f>
        <v>#NUM!</v>
      </c>
      <c r="EO132" s="60">
        <f ca="1">AVERAGE(OFFSET($EN$3,0,0,'Données projet'!$E$15+1,1))-AVERAGE(OFFSET($H$3,0,0,'Données projet'!$E$15+1,1))</f>
        <v>236.22643401787644</v>
      </c>
      <c r="EP132" s="60">
        <f t="shared" si="100"/>
        <v>188.80444043778022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8">
        <f t="shared" si="110"/>
        <v>256.66666666666669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0" t="e">
        <f t="shared" si="109"/>
        <v>#NUM!</v>
      </c>
      <c r="S133" s="60">
        <f ca="1">AVERAGE(OFFSET($R$3,0,0,'Données projet'!$E$9+1,1))-AVERAGE(OFFSET($H$3,0,0,'Données projet'!$E$9+1,1))</f>
        <v>144.55635559713392</v>
      </c>
      <c r="T133" s="60">
        <f t="shared" ref="T133:T196" si="142">$T$3</f>
        <v>349.14692715126904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8.4106940509754544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1.9561826104785652E-16</v>
      </c>
      <c r="AC133" s="24">
        <f t="shared" si="111"/>
        <v>8.4106940509754544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299.99999999999937</v>
      </c>
      <c r="AJ133" s="14">
        <f>AI133*VLOOKUP('Données projet'!$B$10,Paramètres!$A$1:$I$89,3,0)*VLOOKUP('Données projet'!$B$10,Paramètres!$A$1:$I$89,5,0)</f>
        <v>271.43999999999943</v>
      </c>
      <c r="AK133" s="14">
        <f t="shared" ref="AK133:AK153" si="143">EXP(-1.0587+0.8836*LN(AJ133)+0.284)</f>
        <v>65.154778959151116</v>
      </c>
      <c r="AL133" s="22">
        <f t="shared" si="112"/>
        <v>586.23590668718714</v>
      </c>
      <c r="AM133" s="60">
        <f t="shared" si="113"/>
        <v>879.56924002052051</v>
      </c>
      <c r="AN133" s="60">
        <f ca="1">AVERAGE(OFFSET($AM$3,0,0,'Données projet'!$E$10+1,1))-AVERAGE(OFFSET($H$3,0,0,'Données projet'!$E$10+1,1))</f>
        <v>428.8489304403459</v>
      </c>
      <c r="AO133" s="60">
        <f t="shared" ref="AO133:AO196" si="144">$AO$3</f>
        <v>247.01165577562966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300</v>
      </c>
      <c r="BB133" s="13">
        <f>VLOOKUP(A133,'Données projet'!$A$87:$I$107,9,0)</f>
        <v>3.2</v>
      </c>
      <c r="BC133" s="13">
        <f t="array" ref="BC133">INDEX(BB:BB,MIN(IF(ISNUMBER(BB133:BB329),ROW(BB133:BB329),"")))</f>
        <v>3.2</v>
      </c>
      <c r="BD133" s="13">
        <f>IF('Données projet'!$A$88&gt;35,BD132+BC133-BL132,IF(A133&lt;'Données projet'!$A$88,$BA$205^A133,IF(A133='Données projet'!$A$88,'Données projet'!$B$88,BD132+BC133-BL132)))</f>
        <v>299.99999999999937</v>
      </c>
      <c r="BE133" s="14">
        <f>BD133*VLOOKUP('Données projet'!$B$11,Paramètres!$A$1:$I$89,3,0)*VLOOKUP('Données projet'!$B$11,Paramètres!$A$1:$I$89,5,0)</f>
        <v>304.19999999999936</v>
      </c>
      <c r="BF133" s="14">
        <f t="shared" ref="BF133:BF153" si="145">EXP(-1.0587+0.8836*LN(BE133)+0.284)</f>
        <v>72.056231093480946</v>
      </c>
      <c r="BG133" s="22">
        <f t="shared" si="115"/>
        <v>655.31293582114483</v>
      </c>
      <c r="BH133" s="60">
        <f t="shared" si="116"/>
        <v>948.6462691544782</v>
      </c>
      <c r="BI133" s="60">
        <f ca="1">AVERAGE(OFFSET($BH$3,0,0,'Données projet'!$E$11+1,1))-AVERAGE(OFFSET($H$3,0,0,'Données projet'!$E$11+1,1))</f>
        <v>475.47920969424894</v>
      </c>
      <c r="BJ133" s="60">
        <f t="shared" ref="BJ133:BJ196" si="146">$BJ$3</f>
        <v>271.73544012419364</v>
      </c>
      <c r="BK133" s="16">
        <f>IF(ISNA(VLOOKUP(A133,'Données projet'!$A$87:$I$107,3,0)),0,VLOOKUP(A133,'Données projet'!$A$87:$I$107,3,0))</f>
        <v>11</v>
      </c>
      <c r="BL133" s="16">
        <f>IF(ISNA(VLOOKUP(A133,'Données projet'!$A$87:$I$107,4,0)),0,VLOOKUP(A133,'Données projet'!$A$87:$I$107,4,0))</f>
        <v>31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5.6843418860808015E-14</v>
      </c>
      <c r="BZ133" s="14">
        <f>BY133*VLOOKUP('Données projet'!$B$12,Paramètres!$A$1:$I$89,3,0)*VLOOKUP('Données projet'!$B$12,Paramètres!$A$1:$I$89,5,0)</f>
        <v>5.4978954722173515E-14</v>
      </c>
      <c r="CA133" s="14">
        <f t="shared" ref="CA133:CA153" si="147">EXP(-1.0587+0.8836*LN(BZ133)+0.284)</f>
        <v>8.8550225887742724E-13</v>
      </c>
      <c r="CB133" s="22">
        <f t="shared" si="118"/>
        <v>1.6380047803526383E-12</v>
      </c>
      <c r="CC133" s="60">
        <f t="shared" si="119"/>
        <v>293.33333333333496</v>
      </c>
      <c r="CD133" s="60">
        <f ca="1">AVERAGE(OFFSET($CC$3,0,0,'Données projet'!$E$12+1,1))-AVERAGE(OFFSET($H$3,0,0,'Données projet'!$E$12+1,1))</f>
        <v>255.59755832175625</v>
      </c>
      <c r="CE133" s="60">
        <f t="shared" ref="CE133:CE196" si="148">$CE$3</f>
        <v>154.0840647586964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5.6843418860808015E-14</v>
      </c>
      <c r="CU133" s="18">
        <f>CT133*VLOOKUP('Données projet'!$B$13,Paramètres!$A$1:$I$89,3,0)*VLOOKUP('Données projet'!$B$13,Paramètres!$A$1:$I$89,5,0)</f>
        <v>6.1186256061773749E-14</v>
      </c>
      <c r="CV133" s="14">
        <f t="shared" ref="CV133:CV153" si="149">EXP(-1.0587+0.8836*LN(CU133)+0.284)</f>
        <v>9.7328366192051127E-13</v>
      </c>
      <c r="CW133" s="22">
        <f t="shared" si="121"/>
        <v>1.8017017738191463E-12</v>
      </c>
      <c r="CX133" s="60">
        <f t="shared" si="122"/>
        <v>293.33333333333513</v>
      </c>
      <c r="CY133" s="60">
        <f ca="1">AVERAGE(OFFSET($CX$3,0,0,'Données projet'!$E$13+1,1))-AVERAGE(OFFSET($H$3,0,0,'Données projet'!$E$13+1,1))</f>
        <v>280.20599015000306</v>
      </c>
      <c r="CZ133" s="60">
        <f t="shared" ref="CZ133:CZ196" si="150">$CZ$3</f>
        <v>166.97658184507787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-5.6843418860808015E-14</v>
      </c>
      <c r="DP133" s="18">
        <f>DO133*VLOOKUP('Données projet'!$B$14,Paramètres!$A$1:$I$89,3,0)*VLOOKUP('Données projet'!$B$14,Paramètres!$A$1:$I$89,5,0)</f>
        <v>-3.813056537183002E-14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0" t="e">
        <f t="shared" si="125"/>
        <v>#NUM!</v>
      </c>
      <c r="DT133" s="60">
        <f ca="1">AVERAGE(OFFSET($DS$3,0,0,'Données projet'!$E$14+1,1))-AVERAGE(OFFSET($H$3,0,0,'Données projet'!$E$14+1,1))</f>
        <v>291.18686311753402</v>
      </c>
      <c r="DU133" s="60">
        <f t="shared" ref="DU133:DU196" si="152">$DU$3</f>
        <v>215.44422413249839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-1.9895196601282805E-13</v>
      </c>
      <c r="EK133" s="18">
        <f>EJ133*VLOOKUP('Données projet'!$B$15,Paramètres!$A$1:$I$89,3,0)*VLOOKUP('Données projet'!$B$15,Paramètres!$A$1:$I$89,5,0)</f>
        <v>-1.6138983482960614E-13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0" t="e">
        <f t="shared" si="128"/>
        <v>#NUM!</v>
      </c>
      <c r="EO133" s="60">
        <f ca="1">AVERAGE(OFFSET($EN$3,0,0,'Données projet'!$E$15+1,1))-AVERAGE(OFFSET($H$3,0,0,'Données projet'!$E$15+1,1))</f>
        <v>236.22643401787644</v>
      </c>
      <c r="EP133" s="60">
        <f t="shared" ref="EP133:EP196" si="154">$EP$3</f>
        <v>188.80444043778022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8">
        <f t="shared" si="110"/>
        <v>256.66666666666669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0" t="e">
        <f t="shared" si="109"/>
        <v>#NUM!</v>
      </c>
      <c r="S134" s="60">
        <f ca="1">AVERAGE(OFFSET($R$3,0,0,'Données projet'!$E$9+1,1))-AVERAGE(OFFSET($H$3,0,0,'Données projet'!$E$9+1,1))</f>
        <v>144.55635559713392</v>
      </c>
      <c r="T134" s="60">
        <f t="shared" si="142"/>
        <v>349.14692715126904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8.2457654706526498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1.3832299891085961E-16</v>
      </c>
      <c r="AC134" s="24">
        <f t="shared" si="111"/>
        <v>8.2457654706526498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271.69999999999936</v>
      </c>
      <c r="AJ134" s="14">
        <f>AI134*VLOOKUP('Données projet'!$B$10,Paramètres!$A$1:$I$89,3,0)*VLOOKUP('Données projet'!$B$10,Paramètres!$A$1:$I$89,5,0)</f>
        <v>245.8341599999994</v>
      </c>
      <c r="AK134" s="14">
        <f t="shared" si="143"/>
        <v>59.693018383856675</v>
      </c>
      <c r="AL134" s="22">
        <f t="shared" si="112"/>
        <v>532.12650235188266</v>
      </c>
      <c r="AM134" s="60">
        <f t="shared" si="113"/>
        <v>825.45983568521592</v>
      </c>
      <c r="AN134" s="60">
        <f ca="1">AVERAGE(OFFSET($AM$3,0,0,'Données projet'!$E$10+1,1))-AVERAGE(OFFSET($H$3,0,0,'Données projet'!$E$10+1,1))</f>
        <v>428.8489304403459</v>
      </c>
      <c r="AO134" s="60">
        <f t="shared" si="144"/>
        <v>247.01165577562966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2.7</v>
      </c>
      <c r="BD134" s="13">
        <f>IF('Données projet'!$A$88&gt;35,BD133+BC134-BL133,IF(A134&lt;'Données projet'!$A$88,$BA$205^A134,IF(A134='Données projet'!$A$88,'Données projet'!$B$88,BD133+BC134-BL133)))</f>
        <v>271.69999999999936</v>
      </c>
      <c r="BE134" s="14">
        <f>BD134*VLOOKUP('Données projet'!$B$11,Paramètres!$A$1:$I$89,3,0)*VLOOKUP('Données projet'!$B$11,Paramètres!$A$1:$I$89,5,0)</f>
        <v>275.50379999999939</v>
      </c>
      <c r="BF134" s="14">
        <f t="shared" si="145"/>
        <v>66.015939215007748</v>
      </c>
      <c r="BG134" s="22">
        <f t="shared" si="115"/>
        <v>594.81354579947072</v>
      </c>
      <c r="BH134" s="60">
        <f t="shared" si="116"/>
        <v>888.14687913280409</v>
      </c>
      <c r="BI134" s="60">
        <f ca="1">AVERAGE(OFFSET($BH$3,0,0,'Données projet'!$E$11+1,1))-AVERAGE(OFFSET($H$3,0,0,'Données projet'!$E$11+1,1))</f>
        <v>475.47920969424894</v>
      </c>
      <c r="BJ134" s="60">
        <f t="shared" si="146"/>
        <v>271.73544012419364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5.6843418860808015E-14</v>
      </c>
      <c r="BZ134" s="14">
        <f>BY134*VLOOKUP('Données projet'!$B$12,Paramètres!$A$1:$I$89,3,0)*VLOOKUP('Données projet'!$B$12,Paramètres!$A$1:$I$89,5,0)</f>
        <v>5.4978954722173515E-14</v>
      </c>
      <c r="CA134" s="14">
        <f t="shared" si="147"/>
        <v>8.8550225887742724E-13</v>
      </c>
      <c r="CB134" s="22">
        <f t="shared" si="118"/>
        <v>1.6380047803526383E-12</v>
      </c>
      <c r="CC134" s="60">
        <f t="shared" si="119"/>
        <v>293.33333333333496</v>
      </c>
      <c r="CD134" s="60">
        <f ca="1">AVERAGE(OFFSET($CC$3,0,0,'Données projet'!$E$12+1,1))-AVERAGE(OFFSET($H$3,0,0,'Données projet'!$E$12+1,1))</f>
        <v>255.59755832175625</v>
      </c>
      <c r="CE134" s="60">
        <f t="shared" si="148"/>
        <v>154.0840647586964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5.6843418860808015E-14</v>
      </c>
      <c r="CU134" s="18">
        <f>CT134*VLOOKUP('Données projet'!$B$13,Paramètres!$A$1:$I$89,3,0)*VLOOKUP('Données projet'!$B$13,Paramètres!$A$1:$I$89,5,0)</f>
        <v>6.1186256061773749E-14</v>
      </c>
      <c r="CV134" s="14">
        <f t="shared" si="149"/>
        <v>9.7328366192051127E-13</v>
      </c>
      <c r="CW134" s="22">
        <f t="shared" si="121"/>
        <v>1.8017017738191463E-12</v>
      </c>
      <c r="CX134" s="60">
        <f t="shared" si="122"/>
        <v>293.33333333333513</v>
      </c>
      <c r="CY134" s="60">
        <f ca="1">AVERAGE(OFFSET($CX$3,0,0,'Données projet'!$E$13+1,1))-AVERAGE(OFFSET($H$3,0,0,'Données projet'!$E$13+1,1))</f>
        <v>280.20599015000306</v>
      </c>
      <c r="CZ134" s="60">
        <f t="shared" si="150"/>
        <v>166.97658184507787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-5.6843418860808015E-14</v>
      </c>
      <c r="DP134" s="18">
        <f>DO134*VLOOKUP('Données projet'!$B$14,Paramètres!$A$1:$I$89,3,0)*VLOOKUP('Données projet'!$B$14,Paramètres!$A$1:$I$89,5,0)</f>
        <v>-3.813056537183002E-14</v>
      </c>
      <c r="DQ134" s="14" t="e">
        <f t="shared" si="151"/>
        <v>#NUM!</v>
      </c>
      <c r="DR134" s="22" t="e">
        <f t="shared" si="124"/>
        <v>#NUM!</v>
      </c>
      <c r="DS134" s="60" t="e">
        <f t="shared" si="125"/>
        <v>#NUM!</v>
      </c>
      <c r="DT134" s="60">
        <f ca="1">AVERAGE(OFFSET($DS$3,0,0,'Données projet'!$E$14+1,1))-AVERAGE(OFFSET($H$3,0,0,'Données projet'!$E$14+1,1))</f>
        <v>291.18686311753402</v>
      </c>
      <c r="DU134" s="60">
        <f t="shared" si="152"/>
        <v>215.44422413249839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-1.9895196601282805E-13</v>
      </c>
      <c r="EK134" s="18">
        <f>EJ134*VLOOKUP('Données projet'!$B$15,Paramètres!$A$1:$I$89,3,0)*VLOOKUP('Données projet'!$B$15,Paramètres!$A$1:$I$89,5,0)</f>
        <v>-1.6138983482960614E-13</v>
      </c>
      <c r="EL134" s="14" t="e">
        <f t="shared" si="153"/>
        <v>#NUM!</v>
      </c>
      <c r="EM134" s="22" t="e">
        <f t="shared" si="127"/>
        <v>#NUM!</v>
      </c>
      <c r="EN134" s="60" t="e">
        <f t="shared" si="128"/>
        <v>#NUM!</v>
      </c>
      <c r="EO134" s="60">
        <f ca="1">AVERAGE(OFFSET($EN$3,0,0,'Données projet'!$E$15+1,1))-AVERAGE(OFFSET($H$3,0,0,'Données projet'!$E$15+1,1))</f>
        <v>236.22643401787644</v>
      </c>
      <c r="EP134" s="60">
        <f t="shared" si="154"/>
        <v>188.80444043778022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8">
        <f t="shared" si="110"/>
        <v>256.66666666666669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0" t="e">
        <f t="shared" si="109"/>
        <v>#NUM!</v>
      </c>
      <c r="S135" s="60">
        <f ca="1">AVERAGE(OFFSET($R$3,0,0,'Données projet'!$E$9+1,1))-AVERAGE(OFFSET($H$3,0,0,'Données projet'!$E$9+1,1))</f>
        <v>144.55635559713392</v>
      </c>
      <c r="T135" s="60">
        <f t="shared" si="142"/>
        <v>349.14692715126904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8.0840710391934749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9.7809130523928259E-17</v>
      </c>
      <c r="AC135" s="24">
        <f t="shared" si="111"/>
        <v>8.0840710391934749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274.39999999999935</v>
      </c>
      <c r="AJ135" s="14">
        <f>AI135*VLOOKUP('Données projet'!$B$10,Paramètres!$A$1:$I$89,3,0)*VLOOKUP('Données projet'!$B$10,Paramètres!$A$1:$I$89,5,0)</f>
        <v>248.2771199999994</v>
      </c>
      <c r="AK135" s="14">
        <f t="shared" si="143"/>
        <v>60.216863677580257</v>
      </c>
      <c r="AL135" s="22">
        <f t="shared" si="112"/>
        <v>537.29368823845118</v>
      </c>
      <c r="AM135" s="60">
        <f t="shared" si="113"/>
        <v>830.62702157178455</v>
      </c>
      <c r="AN135" s="60">
        <f ca="1">AVERAGE(OFFSET($AM$3,0,0,'Données projet'!$E$10+1,1))-AVERAGE(OFFSET($H$3,0,0,'Données projet'!$E$10+1,1))</f>
        <v>428.8489304403459</v>
      </c>
      <c r="AO135" s="60">
        <f t="shared" si="144"/>
        <v>247.01165577562966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2.7</v>
      </c>
      <c r="BD135" s="13">
        <f>IF('Données projet'!$A$88&gt;35,BD134+BC135-BL134,IF(A135&lt;'Données projet'!$A$88,$BA$205^A135,IF(A135='Données projet'!$A$88,'Données projet'!$B$88,BD134+BC135-BL134)))</f>
        <v>274.39999999999935</v>
      </c>
      <c r="BE135" s="14">
        <f>BD135*VLOOKUP('Données projet'!$B$11,Paramètres!$A$1:$I$89,3,0)*VLOOKUP('Données projet'!$B$11,Paramètres!$A$1:$I$89,5,0)</f>
        <v>278.24159999999938</v>
      </c>
      <c r="BF135" s="14">
        <f t="shared" si="145"/>
        <v>66.595272276139625</v>
      </c>
      <c r="BG135" s="22">
        <f t="shared" si="115"/>
        <v>600.59088588094198</v>
      </c>
      <c r="BH135" s="60">
        <f t="shared" si="116"/>
        <v>893.92421921427535</v>
      </c>
      <c r="BI135" s="60">
        <f ca="1">AVERAGE(OFFSET($BH$3,0,0,'Données projet'!$E$11+1,1))-AVERAGE(OFFSET($H$3,0,0,'Données projet'!$E$11+1,1))</f>
        <v>475.47920969424894</v>
      </c>
      <c r="BJ135" s="60">
        <f t="shared" si="146"/>
        <v>271.73544012419364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5.6843418860808015E-14</v>
      </c>
      <c r="BZ135" s="14">
        <f>BY135*VLOOKUP('Données projet'!$B$12,Paramètres!$A$1:$I$89,3,0)*VLOOKUP('Données projet'!$B$12,Paramètres!$A$1:$I$89,5,0)</f>
        <v>5.4978954722173515E-14</v>
      </c>
      <c r="CA135" s="14">
        <f t="shared" si="147"/>
        <v>8.8550225887742724E-13</v>
      </c>
      <c r="CB135" s="22">
        <f t="shared" si="118"/>
        <v>1.6380047803526383E-12</v>
      </c>
      <c r="CC135" s="60">
        <f t="shared" si="119"/>
        <v>293.33333333333496</v>
      </c>
      <c r="CD135" s="60">
        <f ca="1">AVERAGE(OFFSET($CC$3,0,0,'Données projet'!$E$12+1,1))-AVERAGE(OFFSET($H$3,0,0,'Données projet'!$E$12+1,1))</f>
        <v>255.59755832175625</v>
      </c>
      <c r="CE135" s="60">
        <f t="shared" si="148"/>
        <v>154.0840647586964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5.6843418860808015E-14</v>
      </c>
      <c r="CU135" s="18">
        <f>CT135*VLOOKUP('Données projet'!$B$13,Paramètres!$A$1:$I$89,3,0)*VLOOKUP('Données projet'!$B$13,Paramètres!$A$1:$I$89,5,0)</f>
        <v>6.1186256061773749E-14</v>
      </c>
      <c r="CV135" s="14">
        <f t="shared" si="149"/>
        <v>9.7328366192051127E-13</v>
      </c>
      <c r="CW135" s="22">
        <f t="shared" si="121"/>
        <v>1.8017017738191463E-12</v>
      </c>
      <c r="CX135" s="60">
        <f t="shared" si="122"/>
        <v>293.33333333333513</v>
      </c>
      <c r="CY135" s="60">
        <f ca="1">AVERAGE(OFFSET($CX$3,0,0,'Données projet'!$E$13+1,1))-AVERAGE(OFFSET($H$3,0,0,'Données projet'!$E$13+1,1))</f>
        <v>280.20599015000306</v>
      </c>
      <c r="CZ135" s="60">
        <f t="shared" si="150"/>
        <v>166.97658184507787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-5.6843418860808015E-14</v>
      </c>
      <c r="DP135" s="18">
        <f>DO135*VLOOKUP('Données projet'!$B$14,Paramètres!$A$1:$I$89,3,0)*VLOOKUP('Données projet'!$B$14,Paramètres!$A$1:$I$89,5,0)</f>
        <v>-3.813056537183002E-14</v>
      </c>
      <c r="DQ135" s="14" t="e">
        <f t="shared" si="151"/>
        <v>#NUM!</v>
      </c>
      <c r="DR135" s="22" t="e">
        <f t="shared" si="124"/>
        <v>#NUM!</v>
      </c>
      <c r="DS135" s="60" t="e">
        <f t="shared" si="125"/>
        <v>#NUM!</v>
      </c>
      <c r="DT135" s="60">
        <f ca="1">AVERAGE(OFFSET($DS$3,0,0,'Données projet'!$E$14+1,1))-AVERAGE(OFFSET($H$3,0,0,'Données projet'!$E$14+1,1))</f>
        <v>291.18686311753402</v>
      </c>
      <c r="DU135" s="60">
        <f t="shared" si="152"/>
        <v>215.44422413249839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-1.9895196601282805E-13</v>
      </c>
      <c r="EK135" s="18">
        <f>EJ135*VLOOKUP('Données projet'!$B$15,Paramètres!$A$1:$I$89,3,0)*VLOOKUP('Données projet'!$B$15,Paramètres!$A$1:$I$89,5,0)</f>
        <v>-1.6138983482960614E-13</v>
      </c>
      <c r="EL135" s="14" t="e">
        <f t="shared" si="153"/>
        <v>#NUM!</v>
      </c>
      <c r="EM135" s="22" t="e">
        <f t="shared" si="127"/>
        <v>#NUM!</v>
      </c>
      <c r="EN135" s="60" t="e">
        <f t="shared" si="128"/>
        <v>#NUM!</v>
      </c>
      <c r="EO135" s="60">
        <f ca="1">AVERAGE(OFFSET($EN$3,0,0,'Données projet'!$E$15+1,1))-AVERAGE(OFFSET($H$3,0,0,'Données projet'!$E$15+1,1))</f>
        <v>236.22643401787644</v>
      </c>
      <c r="EP135" s="60">
        <f t="shared" si="154"/>
        <v>188.80444043778022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8">
        <f t="shared" si="110"/>
        <v>256.66666666666669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0" t="e">
        <f t="shared" si="109"/>
        <v>#NUM!</v>
      </c>
      <c r="S136" s="60">
        <f ca="1">AVERAGE(OFFSET($R$3,0,0,'Données projet'!$E$9+1,1))-AVERAGE(OFFSET($H$3,0,0,'Données projet'!$E$9+1,1))</f>
        <v>144.55635559713392</v>
      </c>
      <c r="T136" s="60">
        <f t="shared" si="142"/>
        <v>349.14692715126904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7.9255473369113494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6.9161499455429805E-17</v>
      </c>
      <c r="AC136" s="24">
        <f t="shared" si="111"/>
        <v>7.9255473369113494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277.09999999999934</v>
      </c>
      <c r="AJ136" s="14">
        <f>AI136*VLOOKUP('Données projet'!$B$10,Paramètres!$A$1:$I$89,3,0)*VLOOKUP('Données projet'!$B$10,Paramètres!$A$1:$I$89,5,0)</f>
        <v>250.72007999999943</v>
      </c>
      <c r="AK136" s="14">
        <f t="shared" si="143"/>
        <v>60.740109326032709</v>
      </c>
      <c r="AL136" s="22">
        <f t="shared" si="112"/>
        <v>542.45982974283925</v>
      </c>
      <c r="AM136" s="60">
        <f t="shared" si="113"/>
        <v>835.7931630761725</v>
      </c>
      <c r="AN136" s="60">
        <f ca="1">AVERAGE(OFFSET($AM$3,0,0,'Données projet'!$E$10+1,1))-AVERAGE(OFFSET($H$3,0,0,'Données projet'!$E$10+1,1))</f>
        <v>428.8489304403459</v>
      </c>
      <c r="AO136" s="60">
        <f t="shared" si="144"/>
        <v>247.01165577562966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2.7</v>
      </c>
      <c r="BD136" s="13">
        <f>IF('Données projet'!$A$88&gt;35,BD135+BC136-BL135,IF(A136&lt;'Données projet'!$A$88,$BA$205^A136,IF(A136='Données projet'!$A$88,'Données projet'!$B$88,BD135+BC136-BL135)))</f>
        <v>277.09999999999934</v>
      </c>
      <c r="BE136" s="14">
        <f>BD136*VLOOKUP('Données projet'!$B$11,Paramètres!$A$1:$I$89,3,0)*VLOOKUP('Données projet'!$B$11,Paramètres!$A$1:$I$89,5,0)</f>
        <v>280.97939999999937</v>
      </c>
      <c r="BF136" s="14">
        <f t="shared" si="145"/>
        <v>67.173942175199301</v>
      </c>
      <c r="BG136" s="22">
        <f t="shared" si="115"/>
        <v>606.36707095513759</v>
      </c>
      <c r="BH136" s="60">
        <f t="shared" si="116"/>
        <v>899.70040428847096</v>
      </c>
      <c r="BI136" s="60">
        <f ca="1">AVERAGE(OFFSET($BH$3,0,0,'Données projet'!$E$11+1,1))-AVERAGE(OFFSET($H$3,0,0,'Données projet'!$E$11+1,1))</f>
        <v>475.47920969424894</v>
      </c>
      <c r="BJ136" s="60">
        <f t="shared" si="146"/>
        <v>271.73544012419364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5.6843418860808015E-14</v>
      </c>
      <c r="BZ136" s="14">
        <f>BY136*VLOOKUP('Données projet'!$B$12,Paramètres!$A$1:$I$89,3,0)*VLOOKUP('Données projet'!$B$12,Paramètres!$A$1:$I$89,5,0)</f>
        <v>5.4978954722173515E-14</v>
      </c>
      <c r="CA136" s="14">
        <f t="shared" si="147"/>
        <v>8.8550225887742724E-13</v>
      </c>
      <c r="CB136" s="22">
        <f t="shared" si="118"/>
        <v>1.6380047803526383E-12</v>
      </c>
      <c r="CC136" s="60">
        <f t="shared" si="119"/>
        <v>293.33333333333496</v>
      </c>
      <c r="CD136" s="60">
        <f ca="1">AVERAGE(OFFSET($CC$3,0,0,'Données projet'!$E$12+1,1))-AVERAGE(OFFSET($H$3,0,0,'Données projet'!$E$12+1,1))</f>
        <v>255.59755832175625</v>
      </c>
      <c r="CE136" s="60">
        <f t="shared" si="148"/>
        <v>154.0840647586964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5.6843418860808015E-14</v>
      </c>
      <c r="CU136" s="18">
        <f>CT136*VLOOKUP('Données projet'!$B$13,Paramètres!$A$1:$I$89,3,0)*VLOOKUP('Données projet'!$B$13,Paramètres!$A$1:$I$89,5,0)</f>
        <v>6.1186256061773749E-14</v>
      </c>
      <c r="CV136" s="14">
        <f t="shared" si="149"/>
        <v>9.7328366192051127E-13</v>
      </c>
      <c r="CW136" s="22">
        <f t="shared" si="121"/>
        <v>1.8017017738191463E-12</v>
      </c>
      <c r="CX136" s="60">
        <f t="shared" si="122"/>
        <v>293.33333333333513</v>
      </c>
      <c r="CY136" s="60">
        <f ca="1">AVERAGE(OFFSET($CX$3,0,0,'Données projet'!$E$13+1,1))-AVERAGE(OFFSET($H$3,0,0,'Données projet'!$E$13+1,1))</f>
        <v>280.20599015000306</v>
      </c>
      <c r="CZ136" s="60">
        <f t="shared" si="150"/>
        <v>166.97658184507787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-5.6843418860808015E-14</v>
      </c>
      <c r="DP136" s="18">
        <f>DO136*VLOOKUP('Données projet'!$B$14,Paramètres!$A$1:$I$89,3,0)*VLOOKUP('Données projet'!$B$14,Paramètres!$A$1:$I$89,5,0)</f>
        <v>-3.813056537183002E-14</v>
      </c>
      <c r="DQ136" s="14" t="e">
        <f t="shared" si="151"/>
        <v>#NUM!</v>
      </c>
      <c r="DR136" s="22" t="e">
        <f t="shared" si="124"/>
        <v>#NUM!</v>
      </c>
      <c r="DS136" s="60" t="e">
        <f t="shared" si="125"/>
        <v>#NUM!</v>
      </c>
      <c r="DT136" s="60">
        <f ca="1">AVERAGE(OFFSET($DS$3,0,0,'Données projet'!$E$14+1,1))-AVERAGE(OFFSET($H$3,0,0,'Données projet'!$E$14+1,1))</f>
        <v>291.18686311753402</v>
      </c>
      <c r="DU136" s="60">
        <f t="shared" si="152"/>
        <v>215.44422413249839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-1.9895196601282805E-13</v>
      </c>
      <c r="EK136" s="18">
        <f>EJ136*VLOOKUP('Données projet'!$B$15,Paramètres!$A$1:$I$89,3,0)*VLOOKUP('Données projet'!$B$15,Paramètres!$A$1:$I$89,5,0)</f>
        <v>-1.6138983482960614E-13</v>
      </c>
      <c r="EL136" s="14" t="e">
        <f t="shared" si="153"/>
        <v>#NUM!</v>
      </c>
      <c r="EM136" s="22" t="e">
        <f t="shared" si="127"/>
        <v>#NUM!</v>
      </c>
      <c r="EN136" s="60" t="e">
        <f t="shared" si="128"/>
        <v>#NUM!</v>
      </c>
      <c r="EO136" s="60">
        <f ca="1">AVERAGE(OFFSET($EN$3,0,0,'Données projet'!$E$15+1,1))-AVERAGE(OFFSET($H$3,0,0,'Données projet'!$E$15+1,1))</f>
        <v>236.22643401787644</v>
      </c>
      <c r="EP136" s="60">
        <f t="shared" si="154"/>
        <v>188.80444043778022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8">
        <f t="shared" si="110"/>
        <v>256.66666666666669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0" t="e">
        <f t="shared" si="109"/>
        <v>#NUM!</v>
      </c>
      <c r="S137" s="60">
        <f ca="1">AVERAGE(OFFSET($R$3,0,0,'Données projet'!$E$9+1,1))-AVERAGE(OFFSET($H$3,0,0,'Données projet'!$E$9+1,1))</f>
        <v>144.55635559713392</v>
      </c>
      <c r="T137" s="60">
        <f t="shared" si="142"/>
        <v>349.14692715126904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7.7701321877410647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4.8904565261964129E-17</v>
      </c>
      <c r="AC137" s="24">
        <f t="shared" si="111"/>
        <v>7.7701321877410647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279.79999999999933</v>
      </c>
      <c r="AJ137" s="14">
        <f>AI137*VLOOKUP('Données projet'!$B$10,Paramètres!$A$1:$I$89,3,0)*VLOOKUP('Données projet'!$B$10,Paramètres!$A$1:$I$89,5,0)</f>
        <v>253.16303999999937</v>
      </c>
      <c r="AK137" s="14">
        <f t="shared" si="143"/>
        <v>61.262761848634923</v>
      </c>
      <c r="AL137" s="22">
        <f t="shared" si="112"/>
        <v>547.62493821970475</v>
      </c>
      <c r="AM137" s="60">
        <f t="shared" si="113"/>
        <v>840.958271553038</v>
      </c>
      <c r="AN137" s="60">
        <f ca="1">AVERAGE(OFFSET($AM$3,0,0,'Données projet'!$E$10+1,1))-AVERAGE(OFFSET($H$3,0,0,'Données projet'!$E$10+1,1))</f>
        <v>428.8489304403459</v>
      </c>
      <c r="AO137" s="60">
        <f t="shared" si="144"/>
        <v>247.01165577562966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2.7</v>
      </c>
      <c r="BD137" s="13">
        <f>IF('Données projet'!$A$88&gt;35,BD136+BC137-BL136,IF(A137&lt;'Données projet'!$A$88,$BA$205^A137,IF(A137='Données projet'!$A$88,'Données projet'!$B$88,BD136+BC137-BL136)))</f>
        <v>279.79999999999933</v>
      </c>
      <c r="BE137" s="14">
        <f>BD137*VLOOKUP('Données projet'!$B$11,Paramètres!$A$1:$I$89,3,0)*VLOOKUP('Données projet'!$B$11,Paramètres!$A$1:$I$89,5,0)</f>
        <v>283.71719999999937</v>
      </c>
      <c r="BF137" s="14">
        <f t="shared" si="145"/>
        <v>67.751956122170526</v>
      </c>
      <c r="BG137" s="22">
        <f t="shared" si="115"/>
        <v>612.14211357944589</v>
      </c>
      <c r="BH137" s="60">
        <f t="shared" si="116"/>
        <v>905.47544691277926</v>
      </c>
      <c r="BI137" s="60">
        <f ca="1">AVERAGE(OFFSET($BH$3,0,0,'Données projet'!$E$11+1,1))-AVERAGE(OFFSET($H$3,0,0,'Données projet'!$E$11+1,1))</f>
        <v>475.47920969424894</v>
      </c>
      <c r="BJ137" s="60">
        <f t="shared" si="146"/>
        <v>271.73544012419364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5.6843418860808015E-14</v>
      </c>
      <c r="BZ137" s="14">
        <f>BY137*VLOOKUP('Données projet'!$B$12,Paramètres!$A$1:$I$89,3,0)*VLOOKUP('Données projet'!$B$12,Paramètres!$A$1:$I$89,5,0)</f>
        <v>5.4978954722173515E-14</v>
      </c>
      <c r="CA137" s="14">
        <f t="shared" si="147"/>
        <v>8.8550225887742724E-13</v>
      </c>
      <c r="CB137" s="22">
        <f t="shared" si="118"/>
        <v>1.6380047803526383E-12</v>
      </c>
      <c r="CC137" s="60">
        <f t="shared" si="119"/>
        <v>293.33333333333496</v>
      </c>
      <c r="CD137" s="60">
        <f ca="1">AVERAGE(OFFSET($CC$3,0,0,'Données projet'!$E$12+1,1))-AVERAGE(OFFSET($H$3,0,0,'Données projet'!$E$12+1,1))</f>
        <v>255.59755832175625</v>
      </c>
      <c r="CE137" s="60">
        <f t="shared" si="148"/>
        <v>154.0840647586964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5.6843418860808015E-14</v>
      </c>
      <c r="CU137" s="18">
        <f>CT137*VLOOKUP('Données projet'!$B$13,Paramètres!$A$1:$I$89,3,0)*VLOOKUP('Données projet'!$B$13,Paramètres!$A$1:$I$89,5,0)</f>
        <v>6.1186256061773749E-14</v>
      </c>
      <c r="CV137" s="14">
        <f t="shared" si="149"/>
        <v>9.7328366192051127E-13</v>
      </c>
      <c r="CW137" s="22">
        <f t="shared" si="121"/>
        <v>1.8017017738191463E-12</v>
      </c>
      <c r="CX137" s="60">
        <f t="shared" si="122"/>
        <v>293.33333333333513</v>
      </c>
      <c r="CY137" s="60">
        <f ca="1">AVERAGE(OFFSET($CX$3,0,0,'Données projet'!$E$13+1,1))-AVERAGE(OFFSET($H$3,0,0,'Données projet'!$E$13+1,1))</f>
        <v>280.20599015000306</v>
      </c>
      <c r="CZ137" s="60">
        <f t="shared" si="150"/>
        <v>166.97658184507787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-5.6843418860808015E-14</v>
      </c>
      <c r="DP137" s="18">
        <f>DO137*VLOOKUP('Données projet'!$B$14,Paramètres!$A$1:$I$89,3,0)*VLOOKUP('Données projet'!$B$14,Paramètres!$A$1:$I$89,5,0)</f>
        <v>-3.813056537183002E-14</v>
      </c>
      <c r="DQ137" s="14" t="e">
        <f t="shared" si="151"/>
        <v>#NUM!</v>
      </c>
      <c r="DR137" s="22" t="e">
        <f t="shared" si="124"/>
        <v>#NUM!</v>
      </c>
      <c r="DS137" s="60" t="e">
        <f t="shared" si="125"/>
        <v>#NUM!</v>
      </c>
      <c r="DT137" s="60">
        <f ca="1">AVERAGE(OFFSET($DS$3,0,0,'Données projet'!$E$14+1,1))-AVERAGE(OFFSET($H$3,0,0,'Données projet'!$E$14+1,1))</f>
        <v>291.18686311753402</v>
      </c>
      <c r="DU137" s="60">
        <f t="shared" si="152"/>
        <v>215.44422413249839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-1.9895196601282805E-13</v>
      </c>
      <c r="EK137" s="18">
        <f>EJ137*VLOOKUP('Données projet'!$B$15,Paramètres!$A$1:$I$89,3,0)*VLOOKUP('Données projet'!$B$15,Paramètres!$A$1:$I$89,5,0)</f>
        <v>-1.6138983482960614E-13</v>
      </c>
      <c r="EL137" s="14" t="e">
        <f t="shared" si="153"/>
        <v>#NUM!</v>
      </c>
      <c r="EM137" s="22" t="e">
        <f t="shared" si="127"/>
        <v>#NUM!</v>
      </c>
      <c r="EN137" s="60" t="e">
        <f t="shared" si="128"/>
        <v>#NUM!</v>
      </c>
      <c r="EO137" s="60">
        <f ca="1">AVERAGE(OFFSET($EN$3,0,0,'Données projet'!$E$15+1,1))-AVERAGE(OFFSET($H$3,0,0,'Données projet'!$E$15+1,1))</f>
        <v>236.22643401787644</v>
      </c>
      <c r="EP137" s="60">
        <f t="shared" si="154"/>
        <v>188.80444043778022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8">
        <f t="shared" si="110"/>
        <v>256.66666666666669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0" t="e">
        <f t="shared" si="109"/>
        <v>#NUM!</v>
      </c>
      <c r="S138" s="60">
        <f ca="1">AVERAGE(OFFSET($R$3,0,0,'Données projet'!$E$9+1,1))-AVERAGE(OFFSET($H$3,0,0,'Données projet'!$E$9+1,1))</f>
        <v>144.55635559713392</v>
      </c>
      <c r="T138" s="60">
        <f t="shared" si="142"/>
        <v>349.14692715126904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7.6177646348521284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3.4580749727714902E-17</v>
      </c>
      <c r="AC138" s="24">
        <f t="shared" si="111"/>
        <v>7.6177646348521284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282.49999999999932</v>
      </c>
      <c r="AJ138" s="14">
        <f>AI138*VLOOKUP('Données projet'!$B$10,Paramètres!$A$1:$I$89,3,0)*VLOOKUP('Données projet'!$B$10,Paramètres!$A$1:$I$89,5,0)</f>
        <v>255.60599999999937</v>
      </c>
      <c r="AK138" s="14">
        <f t="shared" si="143"/>
        <v>61.784827631732192</v>
      </c>
      <c r="AL138" s="22">
        <f t="shared" si="112"/>
        <v>552.78902479193243</v>
      </c>
      <c r="AM138" s="60">
        <f t="shared" si="113"/>
        <v>846.12235812526569</v>
      </c>
      <c r="AN138" s="60">
        <f ca="1">AVERAGE(OFFSET($AM$3,0,0,'Données projet'!$E$10+1,1))-AVERAGE(OFFSET($H$3,0,0,'Données projet'!$E$10+1,1))</f>
        <v>428.8489304403459</v>
      </c>
      <c r="AO138" s="60">
        <f t="shared" si="144"/>
        <v>247.01165577562966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2.7</v>
      </c>
      <c r="BD138" s="13">
        <f>IF('Données projet'!$A$88&gt;35,BD137+BC138-BL137,IF(A138&lt;'Données projet'!$A$88,$BA$205^A138,IF(A138='Données projet'!$A$88,'Données projet'!$B$88,BD137+BC138-BL137)))</f>
        <v>282.49999999999932</v>
      </c>
      <c r="BE138" s="14">
        <f>BD138*VLOOKUP('Données projet'!$B$11,Paramètres!$A$1:$I$89,3,0)*VLOOKUP('Données projet'!$B$11,Paramètres!$A$1:$I$89,5,0)</f>
        <v>286.45499999999936</v>
      </c>
      <c r="BF138" s="14">
        <f t="shared" si="145"/>
        <v>68.329321179865531</v>
      </c>
      <c r="BG138" s="22">
        <f t="shared" si="115"/>
        <v>617.91602605493142</v>
      </c>
      <c r="BH138" s="60">
        <f t="shared" si="116"/>
        <v>911.24935938826479</v>
      </c>
      <c r="BI138" s="60">
        <f ca="1">AVERAGE(OFFSET($BH$3,0,0,'Données projet'!$E$11+1,1))-AVERAGE(OFFSET($H$3,0,0,'Données projet'!$E$11+1,1))</f>
        <v>475.47920969424894</v>
      </c>
      <c r="BJ138" s="60">
        <f t="shared" si="146"/>
        <v>271.73544012419364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5.6843418860808015E-14</v>
      </c>
      <c r="BZ138" s="14">
        <f>BY138*VLOOKUP('Données projet'!$B$12,Paramètres!$A$1:$I$89,3,0)*VLOOKUP('Données projet'!$B$12,Paramètres!$A$1:$I$89,5,0)</f>
        <v>5.4978954722173515E-14</v>
      </c>
      <c r="CA138" s="14">
        <f t="shared" si="147"/>
        <v>8.8550225887742724E-13</v>
      </c>
      <c r="CB138" s="22">
        <f t="shared" si="118"/>
        <v>1.6380047803526383E-12</v>
      </c>
      <c r="CC138" s="60">
        <f t="shared" si="119"/>
        <v>293.33333333333496</v>
      </c>
      <c r="CD138" s="60">
        <f ca="1">AVERAGE(OFFSET($CC$3,0,0,'Données projet'!$E$12+1,1))-AVERAGE(OFFSET($H$3,0,0,'Données projet'!$E$12+1,1))</f>
        <v>255.59755832175625</v>
      </c>
      <c r="CE138" s="60">
        <f t="shared" si="148"/>
        <v>154.0840647586964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5.6843418860808015E-14</v>
      </c>
      <c r="CU138" s="18">
        <f>CT138*VLOOKUP('Données projet'!$B$13,Paramètres!$A$1:$I$89,3,0)*VLOOKUP('Données projet'!$B$13,Paramètres!$A$1:$I$89,5,0)</f>
        <v>6.1186256061773749E-14</v>
      </c>
      <c r="CV138" s="14">
        <f t="shared" si="149"/>
        <v>9.7328366192051127E-13</v>
      </c>
      <c r="CW138" s="22">
        <f t="shared" si="121"/>
        <v>1.8017017738191463E-12</v>
      </c>
      <c r="CX138" s="60">
        <f t="shared" si="122"/>
        <v>293.33333333333513</v>
      </c>
      <c r="CY138" s="60">
        <f ca="1">AVERAGE(OFFSET($CX$3,0,0,'Données projet'!$E$13+1,1))-AVERAGE(OFFSET($H$3,0,0,'Données projet'!$E$13+1,1))</f>
        <v>280.20599015000306</v>
      </c>
      <c r="CZ138" s="60">
        <f t="shared" si="150"/>
        <v>166.97658184507787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-5.6843418860808015E-14</v>
      </c>
      <c r="DP138" s="18">
        <f>DO138*VLOOKUP('Données projet'!$B$14,Paramètres!$A$1:$I$89,3,0)*VLOOKUP('Données projet'!$B$14,Paramètres!$A$1:$I$89,5,0)</f>
        <v>-3.813056537183002E-14</v>
      </c>
      <c r="DQ138" s="14" t="e">
        <f t="shared" si="151"/>
        <v>#NUM!</v>
      </c>
      <c r="DR138" s="22" t="e">
        <f t="shared" si="124"/>
        <v>#NUM!</v>
      </c>
      <c r="DS138" s="60" t="e">
        <f t="shared" si="125"/>
        <v>#NUM!</v>
      </c>
      <c r="DT138" s="60">
        <f ca="1">AVERAGE(OFFSET($DS$3,0,0,'Données projet'!$E$14+1,1))-AVERAGE(OFFSET($H$3,0,0,'Données projet'!$E$14+1,1))</f>
        <v>291.18686311753402</v>
      </c>
      <c r="DU138" s="60">
        <f t="shared" si="152"/>
        <v>215.44422413249839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-1.9895196601282805E-13</v>
      </c>
      <c r="EK138" s="18">
        <f>EJ138*VLOOKUP('Données projet'!$B$15,Paramètres!$A$1:$I$89,3,0)*VLOOKUP('Données projet'!$B$15,Paramètres!$A$1:$I$89,5,0)</f>
        <v>-1.6138983482960614E-13</v>
      </c>
      <c r="EL138" s="14" t="e">
        <f t="shared" si="153"/>
        <v>#NUM!</v>
      </c>
      <c r="EM138" s="22" t="e">
        <f t="shared" si="127"/>
        <v>#NUM!</v>
      </c>
      <c r="EN138" s="60" t="e">
        <f t="shared" si="128"/>
        <v>#NUM!</v>
      </c>
      <c r="EO138" s="60">
        <f ca="1">AVERAGE(OFFSET($EN$3,0,0,'Données projet'!$E$15+1,1))-AVERAGE(OFFSET($H$3,0,0,'Données projet'!$E$15+1,1))</f>
        <v>236.22643401787644</v>
      </c>
      <c r="EP138" s="60">
        <f t="shared" si="154"/>
        <v>188.80444043778022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8">
        <f t="shared" si="110"/>
        <v>256.66666666666669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0" t="e">
        <f t="shared" si="109"/>
        <v>#NUM!</v>
      </c>
      <c r="S139" s="60">
        <f ca="1">AVERAGE(OFFSET($R$3,0,0,'Données projet'!$E$9+1,1))-AVERAGE(OFFSET($H$3,0,0,'Données projet'!$E$9+1,1))</f>
        <v>144.55635559713392</v>
      </c>
      <c r="T139" s="60">
        <f t="shared" si="142"/>
        <v>349.14692715126904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7.4683849167403134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2.4452282630982065E-17</v>
      </c>
      <c r="AC139" s="24">
        <f t="shared" si="111"/>
        <v>7.4683849167403134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285.19999999999931</v>
      </c>
      <c r="AJ139" s="14">
        <f>AI139*VLOOKUP('Données projet'!$B$10,Paramètres!$A$1:$I$89,3,0)*VLOOKUP('Données projet'!$B$10,Paramètres!$A$1:$I$89,5,0)</f>
        <v>258.0489599999994</v>
      </c>
      <c r="AK139" s="14">
        <f t="shared" si="143"/>
        <v>62.306312932555649</v>
      </c>
      <c r="AL139" s="22">
        <f t="shared" si="112"/>
        <v>557.95210035753337</v>
      </c>
      <c r="AM139" s="60">
        <f t="shared" si="113"/>
        <v>851.28543369086674</v>
      </c>
      <c r="AN139" s="60">
        <f ca="1">AVERAGE(OFFSET($AM$3,0,0,'Données projet'!$E$10+1,1))-AVERAGE(OFFSET($H$3,0,0,'Données projet'!$E$10+1,1))</f>
        <v>428.8489304403459</v>
      </c>
      <c r="AO139" s="60">
        <f t="shared" si="144"/>
        <v>247.01165577562966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2.7</v>
      </c>
      <c r="BD139" s="13">
        <f>IF('Données projet'!$A$88&gt;35,BD138+BC139-BL138,IF(A139&lt;'Données projet'!$A$88,$BA$205^A139,IF(A139='Données projet'!$A$88,'Données projet'!$B$88,BD138+BC139-BL138)))</f>
        <v>285.19999999999931</v>
      </c>
      <c r="BE139" s="14">
        <f>BD139*VLOOKUP('Données projet'!$B$11,Paramètres!$A$1:$I$89,3,0)*VLOOKUP('Données projet'!$B$11,Paramètres!$A$1:$I$89,5,0)</f>
        <v>289.19279999999935</v>
      </c>
      <c r="BF139" s="14">
        <f t="shared" si="145"/>
        <v>68.906044268306161</v>
      </c>
      <c r="BG139" s="22">
        <f t="shared" si="115"/>
        <v>623.68882043396547</v>
      </c>
      <c r="BH139" s="60">
        <f t="shared" si="116"/>
        <v>917.02215376729873</v>
      </c>
      <c r="BI139" s="60">
        <f ca="1">AVERAGE(OFFSET($BH$3,0,0,'Données projet'!$E$11+1,1))-AVERAGE(OFFSET($H$3,0,0,'Données projet'!$E$11+1,1))</f>
        <v>475.47920969424894</v>
      </c>
      <c r="BJ139" s="60">
        <f t="shared" si="146"/>
        <v>271.73544012419364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5.6843418860808015E-14</v>
      </c>
      <c r="BZ139" s="14">
        <f>BY139*VLOOKUP('Données projet'!$B$12,Paramètres!$A$1:$I$89,3,0)*VLOOKUP('Données projet'!$B$12,Paramètres!$A$1:$I$89,5,0)</f>
        <v>5.4978954722173515E-14</v>
      </c>
      <c r="CA139" s="14">
        <f t="shared" si="147"/>
        <v>8.8550225887742724E-13</v>
      </c>
      <c r="CB139" s="22">
        <f t="shared" si="118"/>
        <v>1.6380047803526383E-12</v>
      </c>
      <c r="CC139" s="60">
        <f t="shared" si="119"/>
        <v>293.33333333333496</v>
      </c>
      <c r="CD139" s="60">
        <f ca="1">AVERAGE(OFFSET($CC$3,0,0,'Données projet'!$E$12+1,1))-AVERAGE(OFFSET($H$3,0,0,'Données projet'!$E$12+1,1))</f>
        <v>255.59755832175625</v>
      </c>
      <c r="CE139" s="60">
        <f t="shared" si="148"/>
        <v>154.0840647586964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5.6843418860808015E-14</v>
      </c>
      <c r="CU139" s="18">
        <f>CT139*VLOOKUP('Données projet'!$B$13,Paramètres!$A$1:$I$89,3,0)*VLOOKUP('Données projet'!$B$13,Paramètres!$A$1:$I$89,5,0)</f>
        <v>6.1186256061773749E-14</v>
      </c>
      <c r="CV139" s="14">
        <f t="shared" si="149"/>
        <v>9.7328366192051127E-13</v>
      </c>
      <c r="CW139" s="22">
        <f t="shared" si="121"/>
        <v>1.8017017738191463E-12</v>
      </c>
      <c r="CX139" s="60">
        <f t="shared" si="122"/>
        <v>293.33333333333513</v>
      </c>
      <c r="CY139" s="60">
        <f ca="1">AVERAGE(OFFSET($CX$3,0,0,'Données projet'!$E$13+1,1))-AVERAGE(OFFSET($H$3,0,0,'Données projet'!$E$13+1,1))</f>
        <v>280.20599015000306</v>
      </c>
      <c r="CZ139" s="60">
        <f t="shared" si="150"/>
        <v>166.97658184507787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-5.6843418860808015E-14</v>
      </c>
      <c r="DP139" s="18">
        <f>DO139*VLOOKUP('Données projet'!$B$14,Paramètres!$A$1:$I$89,3,0)*VLOOKUP('Données projet'!$B$14,Paramètres!$A$1:$I$89,5,0)</f>
        <v>-3.813056537183002E-14</v>
      </c>
      <c r="DQ139" s="14" t="e">
        <f t="shared" si="151"/>
        <v>#NUM!</v>
      </c>
      <c r="DR139" s="22" t="e">
        <f t="shared" si="124"/>
        <v>#NUM!</v>
      </c>
      <c r="DS139" s="60" t="e">
        <f t="shared" si="125"/>
        <v>#NUM!</v>
      </c>
      <c r="DT139" s="60">
        <f ca="1">AVERAGE(OFFSET($DS$3,0,0,'Données projet'!$E$14+1,1))-AVERAGE(OFFSET($H$3,0,0,'Données projet'!$E$14+1,1))</f>
        <v>291.18686311753402</v>
      </c>
      <c r="DU139" s="60">
        <f t="shared" si="152"/>
        <v>215.44422413249839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-1.9895196601282805E-13</v>
      </c>
      <c r="EK139" s="18">
        <f>EJ139*VLOOKUP('Données projet'!$B$15,Paramètres!$A$1:$I$89,3,0)*VLOOKUP('Données projet'!$B$15,Paramètres!$A$1:$I$89,5,0)</f>
        <v>-1.6138983482960614E-13</v>
      </c>
      <c r="EL139" s="14" t="e">
        <f t="shared" si="153"/>
        <v>#NUM!</v>
      </c>
      <c r="EM139" s="22" t="e">
        <f t="shared" si="127"/>
        <v>#NUM!</v>
      </c>
      <c r="EN139" s="60" t="e">
        <f t="shared" si="128"/>
        <v>#NUM!</v>
      </c>
      <c r="EO139" s="60">
        <f ca="1">AVERAGE(OFFSET($EN$3,0,0,'Données projet'!$E$15+1,1))-AVERAGE(OFFSET($H$3,0,0,'Données projet'!$E$15+1,1))</f>
        <v>236.22643401787644</v>
      </c>
      <c r="EP139" s="60">
        <f t="shared" si="154"/>
        <v>188.80444043778022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8">
        <f t="shared" si="110"/>
        <v>256.66666666666669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0" t="e">
        <f t="shared" si="109"/>
        <v>#NUM!</v>
      </c>
      <c r="S140" s="60">
        <f ca="1">AVERAGE(OFFSET($R$3,0,0,'Données projet'!$E$9+1,1))-AVERAGE(OFFSET($H$3,0,0,'Données projet'!$E$9+1,1))</f>
        <v>144.55635559713392</v>
      </c>
      <c r="T140" s="60">
        <f t="shared" si="142"/>
        <v>349.14692715126904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7.3219344437880398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1.7290374863857451E-17</v>
      </c>
      <c r="AC140" s="24">
        <f t="shared" si="111"/>
        <v>7.3219344437880398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287.8999999999993</v>
      </c>
      <c r="AJ140" s="14">
        <f>AI140*VLOOKUP('Données projet'!$B$10,Paramètres!$A$1:$I$89,3,0)*VLOOKUP('Données projet'!$B$10,Paramètres!$A$1:$I$89,5,0)</f>
        <v>260.49191999999937</v>
      </c>
      <c r="AK140" s="14">
        <f t="shared" si="143"/>
        <v>62.827223883029681</v>
      </c>
      <c r="AL140" s="22">
        <f t="shared" si="112"/>
        <v>563.11417559627546</v>
      </c>
      <c r="AM140" s="60">
        <f t="shared" si="113"/>
        <v>856.44750892960883</v>
      </c>
      <c r="AN140" s="60">
        <f ca="1">AVERAGE(OFFSET($AM$3,0,0,'Données projet'!$E$10+1,1))-AVERAGE(OFFSET($H$3,0,0,'Données projet'!$E$10+1,1))</f>
        <v>428.8489304403459</v>
      </c>
      <c r="AO140" s="60">
        <f t="shared" si="144"/>
        <v>247.01165577562966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2.7</v>
      </c>
      <c r="BD140" s="13">
        <f>IF('Données projet'!$A$88&gt;35,BD139+BC140-BL139,IF(A140&lt;'Données projet'!$A$88,$BA$205^A140,IF(A140='Données projet'!$A$88,'Données projet'!$B$88,BD139+BC140-BL139)))</f>
        <v>287.8999999999993</v>
      </c>
      <c r="BE140" s="14">
        <f>BD140*VLOOKUP('Données projet'!$B$11,Paramètres!$A$1:$I$89,3,0)*VLOOKUP('Données projet'!$B$11,Paramètres!$A$1:$I$89,5,0)</f>
        <v>291.93059999999929</v>
      </c>
      <c r="BF140" s="14">
        <f t="shared" si="145"/>
        <v>69.482132168934584</v>
      </c>
      <c r="BG140" s="22">
        <f t="shared" si="115"/>
        <v>629.4605085275598</v>
      </c>
      <c r="BH140" s="60">
        <f t="shared" si="116"/>
        <v>922.79384186089305</v>
      </c>
      <c r="BI140" s="60">
        <f ca="1">AVERAGE(OFFSET($BH$3,0,0,'Données projet'!$E$11+1,1))-AVERAGE(OFFSET($H$3,0,0,'Données projet'!$E$11+1,1))</f>
        <v>475.47920969424894</v>
      </c>
      <c r="BJ140" s="60">
        <f t="shared" si="146"/>
        <v>271.73544012419364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5.6843418860808015E-14</v>
      </c>
      <c r="BZ140" s="14">
        <f>BY140*VLOOKUP('Données projet'!$B$12,Paramètres!$A$1:$I$89,3,0)*VLOOKUP('Données projet'!$B$12,Paramètres!$A$1:$I$89,5,0)</f>
        <v>5.4978954722173515E-14</v>
      </c>
      <c r="CA140" s="14">
        <f t="shared" si="147"/>
        <v>8.8550225887742724E-13</v>
      </c>
      <c r="CB140" s="22">
        <f t="shared" si="118"/>
        <v>1.6380047803526383E-12</v>
      </c>
      <c r="CC140" s="60">
        <f t="shared" si="119"/>
        <v>293.33333333333496</v>
      </c>
      <c r="CD140" s="60">
        <f ca="1">AVERAGE(OFFSET($CC$3,0,0,'Données projet'!$E$12+1,1))-AVERAGE(OFFSET($H$3,0,0,'Données projet'!$E$12+1,1))</f>
        <v>255.59755832175625</v>
      </c>
      <c r="CE140" s="60">
        <f t="shared" si="148"/>
        <v>154.0840647586964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5.6843418860808015E-14</v>
      </c>
      <c r="CU140" s="18">
        <f>CT140*VLOOKUP('Données projet'!$B$13,Paramètres!$A$1:$I$89,3,0)*VLOOKUP('Données projet'!$B$13,Paramètres!$A$1:$I$89,5,0)</f>
        <v>6.1186256061773749E-14</v>
      </c>
      <c r="CV140" s="14">
        <f t="shared" si="149"/>
        <v>9.7328366192051127E-13</v>
      </c>
      <c r="CW140" s="22">
        <f t="shared" si="121"/>
        <v>1.8017017738191463E-12</v>
      </c>
      <c r="CX140" s="60">
        <f t="shared" si="122"/>
        <v>293.33333333333513</v>
      </c>
      <c r="CY140" s="60">
        <f ca="1">AVERAGE(OFFSET($CX$3,0,0,'Données projet'!$E$13+1,1))-AVERAGE(OFFSET($H$3,0,0,'Données projet'!$E$13+1,1))</f>
        <v>280.20599015000306</v>
      </c>
      <c r="CZ140" s="60">
        <f t="shared" si="150"/>
        <v>166.97658184507787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-5.6843418860808015E-14</v>
      </c>
      <c r="DP140" s="18">
        <f>DO140*VLOOKUP('Données projet'!$B$14,Paramètres!$A$1:$I$89,3,0)*VLOOKUP('Données projet'!$B$14,Paramètres!$A$1:$I$89,5,0)</f>
        <v>-3.813056537183002E-14</v>
      </c>
      <c r="DQ140" s="14" t="e">
        <f t="shared" si="151"/>
        <v>#NUM!</v>
      </c>
      <c r="DR140" s="22" t="e">
        <f t="shared" si="124"/>
        <v>#NUM!</v>
      </c>
      <c r="DS140" s="60" t="e">
        <f t="shared" si="125"/>
        <v>#NUM!</v>
      </c>
      <c r="DT140" s="60">
        <f ca="1">AVERAGE(OFFSET($DS$3,0,0,'Données projet'!$E$14+1,1))-AVERAGE(OFFSET($H$3,0,0,'Données projet'!$E$14+1,1))</f>
        <v>291.18686311753402</v>
      </c>
      <c r="DU140" s="60">
        <f t="shared" si="152"/>
        <v>215.44422413249839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-1.9895196601282805E-13</v>
      </c>
      <c r="EK140" s="18">
        <f>EJ140*VLOOKUP('Données projet'!$B$15,Paramètres!$A$1:$I$89,3,0)*VLOOKUP('Données projet'!$B$15,Paramètres!$A$1:$I$89,5,0)</f>
        <v>-1.6138983482960614E-13</v>
      </c>
      <c r="EL140" s="14" t="e">
        <f t="shared" si="153"/>
        <v>#NUM!</v>
      </c>
      <c r="EM140" s="22" t="e">
        <f t="shared" si="127"/>
        <v>#NUM!</v>
      </c>
      <c r="EN140" s="60" t="e">
        <f t="shared" si="128"/>
        <v>#NUM!</v>
      </c>
      <c r="EO140" s="60">
        <f ca="1">AVERAGE(OFFSET($EN$3,0,0,'Données projet'!$E$15+1,1))-AVERAGE(OFFSET($H$3,0,0,'Données projet'!$E$15+1,1))</f>
        <v>236.22643401787644</v>
      </c>
      <c r="EP140" s="60">
        <f t="shared" si="154"/>
        <v>188.80444043778022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8">
        <f t="shared" si="110"/>
        <v>256.66666666666669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0" t="e">
        <f t="shared" si="109"/>
        <v>#NUM!</v>
      </c>
      <c r="S141" s="60">
        <f ca="1">AVERAGE(OFFSET($R$3,0,0,'Données projet'!$E$9+1,1))-AVERAGE(OFFSET($H$3,0,0,'Données projet'!$E$9+1,1))</f>
        <v>144.55635559713392</v>
      </c>
      <c r="T141" s="60">
        <f t="shared" si="142"/>
        <v>349.14692715126904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7.1783557752843921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1.2226141315491032E-17</v>
      </c>
      <c r="AC141" s="24">
        <f t="shared" si="111"/>
        <v>7.1783557752843921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290.59999999999928</v>
      </c>
      <c r="AJ141" s="14">
        <f>AI141*VLOOKUP('Données projet'!$B$10,Paramètres!$A$1:$I$89,3,0)*VLOOKUP('Données projet'!$B$10,Paramètres!$A$1:$I$89,5,0)</f>
        <v>262.93487999999934</v>
      </c>
      <c r="AK141" s="14">
        <f t="shared" si="143"/>
        <v>63.347566493432652</v>
      </c>
      <c r="AL141" s="22">
        <f t="shared" si="112"/>
        <v>568.27526097606062</v>
      </c>
      <c r="AM141" s="60">
        <f t="shared" si="113"/>
        <v>861.60859430939399</v>
      </c>
      <c r="AN141" s="60">
        <f ca="1">AVERAGE(OFFSET($AM$3,0,0,'Données projet'!$E$10+1,1))-AVERAGE(OFFSET($H$3,0,0,'Données projet'!$E$10+1,1))</f>
        <v>428.8489304403459</v>
      </c>
      <c r="AO141" s="60">
        <f t="shared" si="144"/>
        <v>247.01165577562966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2.7</v>
      </c>
      <c r="BD141" s="13">
        <f>IF('Données projet'!$A$88&gt;35,BD140+BC141-BL140,IF(A141&lt;'Données projet'!$A$88,$BA$205^A141,IF(A141='Données projet'!$A$88,'Données projet'!$B$88,BD140+BC141-BL140)))</f>
        <v>290.59999999999928</v>
      </c>
      <c r="BE141" s="14">
        <f>BD141*VLOOKUP('Données projet'!$B$11,Paramètres!$A$1:$I$89,3,0)*VLOOKUP('Données projet'!$B$11,Paramètres!$A$1:$I$89,5,0)</f>
        <v>294.66839999999928</v>
      </c>
      <c r="BF141" s="14">
        <f t="shared" si="145"/>
        <v>70.057591528661433</v>
      </c>
      <c r="BG141" s="22">
        <f t="shared" si="115"/>
        <v>635.23110191241733</v>
      </c>
      <c r="BH141" s="60">
        <f t="shared" si="116"/>
        <v>928.5644352457507</v>
      </c>
      <c r="BI141" s="60">
        <f ca="1">AVERAGE(OFFSET($BH$3,0,0,'Données projet'!$E$11+1,1))-AVERAGE(OFFSET($H$3,0,0,'Données projet'!$E$11+1,1))</f>
        <v>475.47920969424894</v>
      </c>
      <c r="BJ141" s="60">
        <f t="shared" si="146"/>
        <v>271.73544012419364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5.6843418860808015E-14</v>
      </c>
      <c r="BZ141" s="14">
        <f>BY141*VLOOKUP('Données projet'!$B$12,Paramètres!$A$1:$I$89,3,0)*VLOOKUP('Données projet'!$B$12,Paramètres!$A$1:$I$89,5,0)</f>
        <v>5.4978954722173515E-14</v>
      </c>
      <c r="CA141" s="14">
        <f t="shared" si="147"/>
        <v>8.8550225887742724E-13</v>
      </c>
      <c r="CB141" s="22">
        <f t="shared" si="118"/>
        <v>1.6380047803526383E-12</v>
      </c>
      <c r="CC141" s="60">
        <f t="shared" si="119"/>
        <v>293.33333333333496</v>
      </c>
      <c r="CD141" s="60">
        <f ca="1">AVERAGE(OFFSET($CC$3,0,0,'Données projet'!$E$12+1,1))-AVERAGE(OFFSET($H$3,0,0,'Données projet'!$E$12+1,1))</f>
        <v>255.59755832175625</v>
      </c>
      <c r="CE141" s="60">
        <f t="shared" si="148"/>
        <v>154.0840647586964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5.6843418860808015E-14</v>
      </c>
      <c r="CU141" s="18">
        <f>CT141*VLOOKUP('Données projet'!$B$13,Paramètres!$A$1:$I$89,3,0)*VLOOKUP('Données projet'!$B$13,Paramètres!$A$1:$I$89,5,0)</f>
        <v>6.1186256061773749E-14</v>
      </c>
      <c r="CV141" s="14">
        <f t="shared" si="149"/>
        <v>9.7328366192051127E-13</v>
      </c>
      <c r="CW141" s="22">
        <f t="shared" si="121"/>
        <v>1.8017017738191463E-12</v>
      </c>
      <c r="CX141" s="60">
        <f t="shared" si="122"/>
        <v>293.33333333333513</v>
      </c>
      <c r="CY141" s="60">
        <f ca="1">AVERAGE(OFFSET($CX$3,0,0,'Données projet'!$E$13+1,1))-AVERAGE(OFFSET($H$3,0,0,'Données projet'!$E$13+1,1))</f>
        <v>280.20599015000306</v>
      </c>
      <c r="CZ141" s="60">
        <f t="shared" si="150"/>
        <v>166.97658184507787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-5.6843418860808015E-14</v>
      </c>
      <c r="DP141" s="18">
        <f>DO141*VLOOKUP('Données projet'!$B$14,Paramètres!$A$1:$I$89,3,0)*VLOOKUP('Données projet'!$B$14,Paramètres!$A$1:$I$89,5,0)</f>
        <v>-3.813056537183002E-14</v>
      </c>
      <c r="DQ141" s="14" t="e">
        <f t="shared" si="151"/>
        <v>#NUM!</v>
      </c>
      <c r="DR141" s="22" t="e">
        <f t="shared" si="124"/>
        <v>#NUM!</v>
      </c>
      <c r="DS141" s="60" t="e">
        <f t="shared" si="125"/>
        <v>#NUM!</v>
      </c>
      <c r="DT141" s="60">
        <f ca="1">AVERAGE(OFFSET($DS$3,0,0,'Données projet'!$E$14+1,1))-AVERAGE(OFFSET($H$3,0,0,'Données projet'!$E$14+1,1))</f>
        <v>291.18686311753402</v>
      </c>
      <c r="DU141" s="60">
        <f t="shared" si="152"/>
        <v>215.44422413249839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-1.9895196601282805E-13</v>
      </c>
      <c r="EK141" s="18">
        <f>EJ141*VLOOKUP('Données projet'!$B$15,Paramètres!$A$1:$I$89,3,0)*VLOOKUP('Données projet'!$B$15,Paramètres!$A$1:$I$89,5,0)</f>
        <v>-1.6138983482960614E-13</v>
      </c>
      <c r="EL141" s="14" t="e">
        <f t="shared" si="153"/>
        <v>#NUM!</v>
      </c>
      <c r="EM141" s="22" t="e">
        <f t="shared" si="127"/>
        <v>#NUM!</v>
      </c>
      <c r="EN141" s="60" t="e">
        <f t="shared" si="128"/>
        <v>#NUM!</v>
      </c>
      <c r="EO141" s="60">
        <f ca="1">AVERAGE(OFFSET($EN$3,0,0,'Données projet'!$E$15+1,1))-AVERAGE(OFFSET($H$3,0,0,'Données projet'!$E$15+1,1))</f>
        <v>236.22643401787644</v>
      </c>
      <c r="EP141" s="60">
        <f t="shared" si="154"/>
        <v>188.80444043778022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8">
        <f t="shared" si="110"/>
        <v>256.66666666666669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0" t="e">
        <f t="shared" si="109"/>
        <v>#NUM!</v>
      </c>
      <c r="S142" s="60">
        <f ca="1">AVERAGE(OFFSET($R$3,0,0,'Données projet'!$E$9+1,1))-AVERAGE(OFFSET($H$3,0,0,'Données projet'!$E$9+1,1))</f>
        <v>144.55635559713392</v>
      </c>
      <c r="T142" s="60">
        <f t="shared" si="142"/>
        <v>349.14692715126904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7.0375925968957604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8.6451874319287256E-18</v>
      </c>
      <c r="AC142" s="24">
        <f t="shared" si="111"/>
        <v>7.0375925968957604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293.29999999999927</v>
      </c>
      <c r="AJ142" s="14">
        <f>AI142*VLOOKUP('Données projet'!$B$10,Paramètres!$A$1:$I$89,3,0)*VLOOKUP('Données projet'!$B$10,Paramètres!$A$1:$I$89,5,0)</f>
        <v>265.37783999999937</v>
      </c>
      <c r="AK142" s="14">
        <f t="shared" si="143"/>
        <v>63.867346655917089</v>
      </c>
      <c r="AL142" s="22">
        <f t="shared" si="112"/>
        <v>573.43536675905443</v>
      </c>
      <c r="AM142" s="60">
        <f t="shared" si="113"/>
        <v>866.76870009238769</v>
      </c>
      <c r="AN142" s="60">
        <f ca="1">AVERAGE(OFFSET($AM$3,0,0,'Données projet'!$E$10+1,1))-AVERAGE(OFFSET($H$3,0,0,'Données projet'!$E$10+1,1))</f>
        <v>428.8489304403459</v>
      </c>
      <c r="AO142" s="60">
        <f t="shared" si="144"/>
        <v>247.01165577562966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2.7</v>
      </c>
      <c r="BD142" s="13">
        <f>IF('Données projet'!$A$88&gt;35,BD141+BC142-BL141,IF(A142&lt;'Données projet'!$A$88,$BA$205^A142,IF(A142='Données projet'!$A$88,'Données projet'!$B$88,BD141+BC142-BL141)))</f>
        <v>293.29999999999927</v>
      </c>
      <c r="BE142" s="14">
        <f>BD142*VLOOKUP('Données projet'!$B$11,Paramètres!$A$1:$I$89,3,0)*VLOOKUP('Données projet'!$B$11,Paramètres!$A$1:$I$89,5,0)</f>
        <v>297.40619999999927</v>
      </c>
      <c r="BF142" s="14">
        <f t="shared" si="145"/>
        <v>70.632428863759543</v>
      </c>
      <c r="BG142" s="22">
        <f t="shared" si="115"/>
        <v>641.0006119377133</v>
      </c>
      <c r="BH142" s="60">
        <f t="shared" si="116"/>
        <v>934.33394527104656</v>
      </c>
      <c r="BI142" s="60">
        <f ca="1">AVERAGE(OFFSET($BH$3,0,0,'Données projet'!$E$11+1,1))-AVERAGE(OFFSET($H$3,0,0,'Données projet'!$E$11+1,1))</f>
        <v>475.47920969424894</v>
      </c>
      <c r="BJ142" s="60">
        <f t="shared" si="146"/>
        <v>271.73544012419364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5.6843418860808015E-14</v>
      </c>
      <c r="BZ142" s="14">
        <f>BY142*VLOOKUP('Données projet'!$B$12,Paramètres!$A$1:$I$89,3,0)*VLOOKUP('Données projet'!$B$12,Paramètres!$A$1:$I$89,5,0)</f>
        <v>5.4978954722173515E-14</v>
      </c>
      <c r="CA142" s="14">
        <f t="shared" si="147"/>
        <v>8.8550225887742724E-13</v>
      </c>
      <c r="CB142" s="22">
        <f t="shared" si="118"/>
        <v>1.6380047803526383E-12</v>
      </c>
      <c r="CC142" s="60">
        <f t="shared" si="119"/>
        <v>293.33333333333496</v>
      </c>
      <c r="CD142" s="60">
        <f ca="1">AVERAGE(OFFSET($CC$3,0,0,'Données projet'!$E$12+1,1))-AVERAGE(OFFSET($H$3,0,0,'Données projet'!$E$12+1,1))</f>
        <v>255.59755832175625</v>
      </c>
      <c r="CE142" s="60">
        <f t="shared" si="148"/>
        <v>154.0840647586964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5.6843418860808015E-14</v>
      </c>
      <c r="CU142" s="18">
        <f>CT142*VLOOKUP('Données projet'!$B$13,Paramètres!$A$1:$I$89,3,0)*VLOOKUP('Données projet'!$B$13,Paramètres!$A$1:$I$89,5,0)</f>
        <v>6.1186256061773749E-14</v>
      </c>
      <c r="CV142" s="14">
        <f t="shared" si="149"/>
        <v>9.7328366192051127E-13</v>
      </c>
      <c r="CW142" s="22">
        <f t="shared" si="121"/>
        <v>1.8017017738191463E-12</v>
      </c>
      <c r="CX142" s="60">
        <f t="shared" si="122"/>
        <v>293.33333333333513</v>
      </c>
      <c r="CY142" s="60">
        <f ca="1">AVERAGE(OFFSET($CX$3,0,0,'Données projet'!$E$13+1,1))-AVERAGE(OFFSET($H$3,0,0,'Données projet'!$E$13+1,1))</f>
        <v>280.20599015000306</v>
      </c>
      <c r="CZ142" s="60">
        <f t="shared" si="150"/>
        <v>166.97658184507787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-5.6843418860808015E-14</v>
      </c>
      <c r="DP142" s="18">
        <f>DO142*VLOOKUP('Données projet'!$B$14,Paramètres!$A$1:$I$89,3,0)*VLOOKUP('Données projet'!$B$14,Paramètres!$A$1:$I$89,5,0)</f>
        <v>-3.813056537183002E-14</v>
      </c>
      <c r="DQ142" s="14" t="e">
        <f t="shared" si="151"/>
        <v>#NUM!</v>
      </c>
      <c r="DR142" s="22" t="e">
        <f t="shared" si="124"/>
        <v>#NUM!</v>
      </c>
      <c r="DS142" s="60" t="e">
        <f t="shared" si="125"/>
        <v>#NUM!</v>
      </c>
      <c r="DT142" s="60">
        <f ca="1">AVERAGE(OFFSET($DS$3,0,0,'Données projet'!$E$14+1,1))-AVERAGE(OFFSET($H$3,0,0,'Données projet'!$E$14+1,1))</f>
        <v>291.18686311753402</v>
      </c>
      <c r="DU142" s="60">
        <f t="shared" si="152"/>
        <v>215.44422413249839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-1.9895196601282805E-13</v>
      </c>
      <c r="EK142" s="18">
        <f>EJ142*VLOOKUP('Données projet'!$B$15,Paramètres!$A$1:$I$89,3,0)*VLOOKUP('Données projet'!$B$15,Paramètres!$A$1:$I$89,5,0)</f>
        <v>-1.6138983482960614E-13</v>
      </c>
      <c r="EL142" s="14" t="e">
        <f t="shared" si="153"/>
        <v>#NUM!</v>
      </c>
      <c r="EM142" s="22" t="e">
        <f t="shared" si="127"/>
        <v>#NUM!</v>
      </c>
      <c r="EN142" s="60" t="e">
        <f t="shared" si="128"/>
        <v>#NUM!</v>
      </c>
      <c r="EO142" s="60">
        <f ca="1">AVERAGE(OFFSET($EN$3,0,0,'Données projet'!$E$15+1,1))-AVERAGE(OFFSET($H$3,0,0,'Données projet'!$E$15+1,1))</f>
        <v>236.22643401787644</v>
      </c>
      <c r="EP142" s="60">
        <f t="shared" si="154"/>
        <v>188.80444043778022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8">
        <f t="shared" si="110"/>
        <v>256.66666666666669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0" t="e">
        <f t="shared" si="109"/>
        <v>#NUM!</v>
      </c>
      <c r="S143" s="60">
        <f ca="1">AVERAGE(OFFSET($R$3,0,0,'Données projet'!$E$9+1,1))-AVERAGE(OFFSET($H$3,0,0,'Données projet'!$E$9+1,1))</f>
        <v>144.55635559713392</v>
      </c>
      <c r="T143" s="60">
        <f t="shared" si="142"/>
        <v>349.14692715126904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6.8995896985782688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6.1130706577455162E-18</v>
      </c>
      <c r="AC143" s="24">
        <f t="shared" si="111"/>
        <v>6.8995896985782688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295.99999999999926</v>
      </c>
      <c r="AJ143" s="14">
        <f>AI143*VLOOKUP('Données projet'!$B$10,Paramètres!$A$1:$I$89,3,0)*VLOOKUP('Données projet'!$B$10,Paramètres!$A$1:$I$89,5,0)</f>
        <v>267.82079999999934</v>
      </c>
      <c r="AK143" s="14">
        <f t="shared" si="143"/>
        <v>64.386570147897245</v>
      </c>
      <c r="AL143" s="22">
        <f t="shared" si="112"/>
        <v>578.59450300758647</v>
      </c>
      <c r="AM143" s="60">
        <f t="shared" si="113"/>
        <v>871.92783634091984</v>
      </c>
      <c r="AN143" s="60">
        <f ca="1">AVERAGE(OFFSET($AM$3,0,0,'Données projet'!$E$10+1,1))-AVERAGE(OFFSET($H$3,0,0,'Données projet'!$E$10+1,1))</f>
        <v>428.8489304403459</v>
      </c>
      <c r="AO143" s="60">
        <f t="shared" si="144"/>
        <v>247.01165577562966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296</v>
      </c>
      <c r="BB143" s="13">
        <f>VLOOKUP(A143,'Données projet'!$A$87:$I$107,9,0)</f>
        <v>2.7</v>
      </c>
      <c r="BC143" s="13">
        <f t="array" ref="BC143">INDEX(BB:BB,MIN(IF(ISNUMBER(BB143:BB339),ROW(BB143:BB339),"")))</f>
        <v>2.7</v>
      </c>
      <c r="BD143" s="13">
        <f>IF('Données projet'!$A$88&gt;35,BD142+BC143-BL142,IF(A143&lt;'Données projet'!$A$88,$BA$205^A143,IF(A143='Données projet'!$A$88,'Données projet'!$B$88,BD142+BC143-BL142)))</f>
        <v>295.99999999999926</v>
      </c>
      <c r="BE143" s="14">
        <f>BD143*VLOOKUP('Données projet'!$B$11,Paramètres!$A$1:$I$89,3,0)*VLOOKUP('Données projet'!$B$11,Paramètres!$A$1:$I$89,5,0)</f>
        <v>300.14399999999927</v>
      </c>
      <c r="BF143" s="14">
        <f t="shared" si="145"/>
        <v>71.206650563609728</v>
      </c>
      <c r="BG143" s="22">
        <f t="shared" si="115"/>
        <v>646.76904973161891</v>
      </c>
      <c r="BH143" s="60">
        <f t="shared" si="116"/>
        <v>940.10238306495216</v>
      </c>
      <c r="BI143" s="60">
        <f ca="1">AVERAGE(OFFSET($BH$3,0,0,'Données projet'!$E$11+1,1))-AVERAGE(OFFSET($H$3,0,0,'Données projet'!$E$11+1,1))</f>
        <v>475.47920969424894</v>
      </c>
      <c r="BJ143" s="60">
        <f t="shared" si="146"/>
        <v>271.73544012419364</v>
      </c>
      <c r="BK143" s="16">
        <f>IF(ISNA(VLOOKUP(A143,'Données projet'!$A$87:$I$107,3,0)),0,VLOOKUP(A143,'Données projet'!$A$87:$I$107,3,0))</f>
        <v>12</v>
      </c>
      <c r="BL143" s="16">
        <f>IF(ISNA(VLOOKUP(A143,'Données projet'!$A$87:$I$107,4,0)),0,VLOOKUP(A143,'Données projet'!$A$87:$I$107,4,0))</f>
        <v>27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5.6843418860808015E-14</v>
      </c>
      <c r="BZ143" s="14">
        <f>BY143*VLOOKUP('Données projet'!$B$12,Paramètres!$A$1:$I$89,3,0)*VLOOKUP('Données projet'!$B$12,Paramètres!$A$1:$I$89,5,0)</f>
        <v>5.4978954722173515E-14</v>
      </c>
      <c r="CA143" s="14">
        <f t="shared" si="147"/>
        <v>8.8550225887742724E-13</v>
      </c>
      <c r="CB143" s="22">
        <f t="shared" si="118"/>
        <v>1.6380047803526383E-12</v>
      </c>
      <c r="CC143" s="60">
        <f t="shared" si="119"/>
        <v>293.33333333333496</v>
      </c>
      <c r="CD143" s="60">
        <f ca="1">AVERAGE(OFFSET($CC$3,0,0,'Données projet'!$E$12+1,1))-AVERAGE(OFFSET($H$3,0,0,'Données projet'!$E$12+1,1))</f>
        <v>255.59755832175625</v>
      </c>
      <c r="CE143" s="60">
        <f t="shared" si="148"/>
        <v>154.0840647586964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5.6843418860808015E-14</v>
      </c>
      <c r="CU143" s="18">
        <f>CT143*VLOOKUP('Données projet'!$B$13,Paramètres!$A$1:$I$89,3,0)*VLOOKUP('Données projet'!$B$13,Paramètres!$A$1:$I$89,5,0)</f>
        <v>6.1186256061773749E-14</v>
      </c>
      <c r="CV143" s="14">
        <f t="shared" si="149"/>
        <v>9.7328366192051127E-13</v>
      </c>
      <c r="CW143" s="22">
        <f t="shared" si="121"/>
        <v>1.8017017738191463E-12</v>
      </c>
      <c r="CX143" s="60">
        <f t="shared" si="122"/>
        <v>293.33333333333513</v>
      </c>
      <c r="CY143" s="60">
        <f ca="1">AVERAGE(OFFSET($CX$3,0,0,'Données projet'!$E$13+1,1))-AVERAGE(OFFSET($H$3,0,0,'Données projet'!$E$13+1,1))</f>
        <v>280.20599015000306</v>
      </c>
      <c r="CZ143" s="60">
        <f t="shared" si="150"/>
        <v>166.97658184507787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-5.6843418860808015E-14</v>
      </c>
      <c r="DP143" s="18">
        <f>DO143*VLOOKUP('Données projet'!$B$14,Paramètres!$A$1:$I$89,3,0)*VLOOKUP('Données projet'!$B$14,Paramètres!$A$1:$I$89,5,0)</f>
        <v>-3.813056537183002E-14</v>
      </c>
      <c r="DQ143" s="14" t="e">
        <f t="shared" si="151"/>
        <v>#NUM!</v>
      </c>
      <c r="DR143" s="22" t="e">
        <f t="shared" si="124"/>
        <v>#NUM!</v>
      </c>
      <c r="DS143" s="60" t="e">
        <f t="shared" si="125"/>
        <v>#NUM!</v>
      </c>
      <c r="DT143" s="60">
        <f ca="1">AVERAGE(OFFSET($DS$3,0,0,'Données projet'!$E$14+1,1))-AVERAGE(OFFSET($H$3,0,0,'Données projet'!$E$14+1,1))</f>
        <v>291.18686311753402</v>
      </c>
      <c r="DU143" s="60">
        <f t="shared" si="152"/>
        <v>215.44422413249839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-1.9895196601282805E-13</v>
      </c>
      <c r="EK143" s="18">
        <f>EJ143*VLOOKUP('Données projet'!$B$15,Paramètres!$A$1:$I$89,3,0)*VLOOKUP('Données projet'!$B$15,Paramètres!$A$1:$I$89,5,0)</f>
        <v>-1.6138983482960614E-13</v>
      </c>
      <c r="EL143" s="14" t="e">
        <f t="shared" si="153"/>
        <v>#NUM!</v>
      </c>
      <c r="EM143" s="22" t="e">
        <f t="shared" si="127"/>
        <v>#NUM!</v>
      </c>
      <c r="EN143" s="60" t="e">
        <f t="shared" si="128"/>
        <v>#NUM!</v>
      </c>
      <c r="EO143" s="60">
        <f ca="1">AVERAGE(OFFSET($EN$3,0,0,'Données projet'!$E$15+1,1))-AVERAGE(OFFSET($H$3,0,0,'Données projet'!$E$15+1,1))</f>
        <v>236.22643401787644</v>
      </c>
      <c r="EP143" s="60">
        <f t="shared" si="154"/>
        <v>188.80444043778022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8">
        <f t="shared" si="110"/>
        <v>256.66666666666669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0" t="e">
        <f t="shared" si="109"/>
        <v>#NUM!</v>
      </c>
      <c r="S144" s="60">
        <f ca="1">AVERAGE(OFFSET($R$3,0,0,'Données projet'!$E$9+1,1))-AVERAGE(OFFSET($H$3,0,0,'Données projet'!$E$9+1,1))</f>
        <v>144.55635559713392</v>
      </c>
      <c r="T144" s="60">
        <f t="shared" si="142"/>
        <v>349.14692715126904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6.7642929529233262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4.3225937159643628E-18</v>
      </c>
      <c r="AC144" s="24">
        <f t="shared" si="111"/>
        <v>6.7642929529233262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271.39999999999924</v>
      </c>
      <c r="AJ144" s="14">
        <f>AI144*VLOOKUP('Données projet'!$B$10,Paramètres!$A$1:$I$89,3,0)*VLOOKUP('Données projet'!$B$10,Paramètres!$A$1:$I$89,5,0)</f>
        <v>245.5627199999993</v>
      </c>
      <c r="AK144" s="14">
        <f t="shared" si="143"/>
        <v>59.634776048276741</v>
      </c>
      <c r="AL144" s="22">
        <f t="shared" si="112"/>
        <v>531.55230561741405</v>
      </c>
      <c r="AM144" s="60">
        <f t="shared" si="113"/>
        <v>824.88563895074731</v>
      </c>
      <c r="AN144" s="60">
        <f ca="1">AVERAGE(OFFSET($AM$3,0,0,'Données projet'!$E$10+1,1))-AVERAGE(OFFSET($H$3,0,0,'Données projet'!$E$10+1,1))</f>
        <v>428.8489304403459</v>
      </c>
      <c r="AO144" s="60">
        <f t="shared" si="144"/>
        <v>247.01165577562966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2.4</v>
      </c>
      <c r="BD144" s="13">
        <f>IF('Données projet'!$A$88&gt;35,BD143+BC144-BL143,IF(A144&lt;'Données projet'!$A$88,$BA$205^A144,IF(A144='Données projet'!$A$88,'Données projet'!$B$88,BD143+BC144-BL143)))</f>
        <v>271.39999999999924</v>
      </c>
      <c r="BE144" s="14">
        <f>BD144*VLOOKUP('Données projet'!$B$11,Paramètres!$A$1:$I$89,3,0)*VLOOKUP('Données projet'!$B$11,Paramètres!$A$1:$I$89,5,0)</f>
        <v>275.19959999999924</v>
      </c>
      <c r="BF144" s="14">
        <f t="shared" si="145"/>
        <v>65.951527620662489</v>
      </c>
      <c r="BG144" s="22">
        <f t="shared" si="115"/>
        <v>594.17154727265245</v>
      </c>
      <c r="BH144" s="60">
        <f t="shared" si="116"/>
        <v>887.50488060598582</v>
      </c>
      <c r="BI144" s="60">
        <f ca="1">AVERAGE(OFFSET($BH$3,0,0,'Données projet'!$E$11+1,1))-AVERAGE(OFFSET($H$3,0,0,'Données projet'!$E$11+1,1))</f>
        <v>475.47920969424894</v>
      </c>
      <c r="BJ144" s="60">
        <f t="shared" si="146"/>
        <v>271.73544012419364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5.6843418860808015E-14</v>
      </c>
      <c r="BZ144" s="14">
        <f>BY144*VLOOKUP('Données projet'!$B$12,Paramètres!$A$1:$I$89,3,0)*VLOOKUP('Données projet'!$B$12,Paramètres!$A$1:$I$89,5,0)</f>
        <v>5.4978954722173515E-14</v>
      </c>
      <c r="CA144" s="14">
        <f t="shared" si="147"/>
        <v>8.8550225887742724E-13</v>
      </c>
      <c r="CB144" s="22">
        <f t="shared" si="118"/>
        <v>1.6380047803526383E-12</v>
      </c>
      <c r="CC144" s="60">
        <f t="shared" si="119"/>
        <v>293.33333333333496</v>
      </c>
      <c r="CD144" s="60">
        <f ca="1">AVERAGE(OFFSET($CC$3,0,0,'Données projet'!$E$12+1,1))-AVERAGE(OFFSET($H$3,0,0,'Données projet'!$E$12+1,1))</f>
        <v>255.59755832175625</v>
      </c>
      <c r="CE144" s="60">
        <f t="shared" si="148"/>
        <v>154.0840647586964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5.6843418860808015E-14</v>
      </c>
      <c r="CU144" s="18">
        <f>CT144*VLOOKUP('Données projet'!$B$13,Paramètres!$A$1:$I$89,3,0)*VLOOKUP('Données projet'!$B$13,Paramètres!$A$1:$I$89,5,0)</f>
        <v>6.1186256061773749E-14</v>
      </c>
      <c r="CV144" s="14">
        <f t="shared" si="149"/>
        <v>9.7328366192051127E-13</v>
      </c>
      <c r="CW144" s="22">
        <f t="shared" si="121"/>
        <v>1.8017017738191463E-12</v>
      </c>
      <c r="CX144" s="60">
        <f t="shared" si="122"/>
        <v>293.33333333333513</v>
      </c>
      <c r="CY144" s="60">
        <f ca="1">AVERAGE(OFFSET($CX$3,0,0,'Données projet'!$E$13+1,1))-AVERAGE(OFFSET($H$3,0,0,'Données projet'!$E$13+1,1))</f>
        <v>280.20599015000306</v>
      </c>
      <c r="CZ144" s="60">
        <f t="shared" si="150"/>
        <v>166.97658184507787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-5.6843418860808015E-14</v>
      </c>
      <c r="DP144" s="18">
        <f>DO144*VLOOKUP('Données projet'!$B$14,Paramètres!$A$1:$I$89,3,0)*VLOOKUP('Données projet'!$B$14,Paramètres!$A$1:$I$89,5,0)</f>
        <v>-3.813056537183002E-14</v>
      </c>
      <c r="DQ144" s="14" t="e">
        <f t="shared" si="151"/>
        <v>#NUM!</v>
      </c>
      <c r="DR144" s="22" t="e">
        <f t="shared" si="124"/>
        <v>#NUM!</v>
      </c>
      <c r="DS144" s="60" t="e">
        <f t="shared" si="125"/>
        <v>#NUM!</v>
      </c>
      <c r="DT144" s="60">
        <f ca="1">AVERAGE(OFFSET($DS$3,0,0,'Données projet'!$E$14+1,1))-AVERAGE(OFFSET($H$3,0,0,'Données projet'!$E$14+1,1))</f>
        <v>291.18686311753402</v>
      </c>
      <c r="DU144" s="60">
        <f t="shared" si="152"/>
        <v>215.44422413249839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-1.9895196601282805E-13</v>
      </c>
      <c r="EK144" s="18">
        <f>EJ144*VLOOKUP('Données projet'!$B$15,Paramètres!$A$1:$I$89,3,0)*VLOOKUP('Données projet'!$B$15,Paramètres!$A$1:$I$89,5,0)</f>
        <v>-1.6138983482960614E-13</v>
      </c>
      <c r="EL144" s="14" t="e">
        <f t="shared" si="153"/>
        <v>#NUM!</v>
      </c>
      <c r="EM144" s="22" t="e">
        <f t="shared" si="127"/>
        <v>#NUM!</v>
      </c>
      <c r="EN144" s="60" t="e">
        <f t="shared" si="128"/>
        <v>#NUM!</v>
      </c>
      <c r="EO144" s="60">
        <f ca="1">AVERAGE(OFFSET($EN$3,0,0,'Données projet'!$E$15+1,1))-AVERAGE(OFFSET($H$3,0,0,'Données projet'!$E$15+1,1))</f>
        <v>236.22643401787644</v>
      </c>
      <c r="EP144" s="60">
        <f t="shared" si="154"/>
        <v>188.80444043778022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8">
        <f t="shared" si="110"/>
        <v>256.66666666666669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0" t="e">
        <f t="shared" si="109"/>
        <v>#NUM!</v>
      </c>
      <c r="S145" s="60">
        <f ca="1">AVERAGE(OFFSET($R$3,0,0,'Données projet'!$E$9+1,1))-AVERAGE(OFFSET($H$3,0,0,'Données projet'!$E$9+1,1))</f>
        <v>144.55635559713392</v>
      </c>
      <c r="T145" s="60">
        <f t="shared" si="142"/>
        <v>349.14692715126904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6.6316492939278113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3.0565353288727581E-18</v>
      </c>
      <c r="AC145" s="24">
        <f t="shared" si="111"/>
        <v>6.6316492939278113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273.79999999999922</v>
      </c>
      <c r="AJ145" s="14">
        <f>AI145*VLOOKUP('Données projet'!$B$10,Paramètres!$A$1:$I$89,3,0)*VLOOKUP('Données projet'!$B$10,Paramètres!$A$1:$I$89,5,0)</f>
        <v>247.73423999999929</v>
      </c>
      <c r="AK145" s="14">
        <f t="shared" si="143"/>
        <v>60.100505665694953</v>
      </c>
      <c r="AL145" s="22">
        <f t="shared" si="112"/>
        <v>536.14551536775082</v>
      </c>
      <c r="AM145" s="60">
        <f t="shared" si="113"/>
        <v>829.47884870108419</v>
      </c>
      <c r="AN145" s="60">
        <f ca="1">AVERAGE(OFFSET($AM$3,0,0,'Données projet'!$E$10+1,1))-AVERAGE(OFFSET($H$3,0,0,'Données projet'!$E$10+1,1))</f>
        <v>428.8489304403459</v>
      </c>
      <c r="AO145" s="60">
        <f t="shared" si="144"/>
        <v>247.01165577562966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2.4</v>
      </c>
      <c r="BD145" s="13">
        <f>IF('Données projet'!$A$88&gt;35,BD144+BC145-BL144,IF(A145&lt;'Données projet'!$A$88,$BA$205^A145,IF(A145='Données projet'!$A$88,'Données projet'!$B$88,BD144+BC145-BL144)))</f>
        <v>273.79999999999922</v>
      </c>
      <c r="BE145" s="14">
        <f>BD145*VLOOKUP('Données projet'!$B$11,Paramètres!$A$1:$I$89,3,0)*VLOOKUP('Données projet'!$B$11,Paramètres!$A$1:$I$89,5,0)</f>
        <v>277.63319999999919</v>
      </c>
      <c r="BF145" s="14">
        <f t="shared" si="145"/>
        <v>66.466589162975524</v>
      </c>
      <c r="BG145" s="22">
        <f t="shared" si="115"/>
        <v>599.30713279218094</v>
      </c>
      <c r="BH145" s="60">
        <f t="shared" si="116"/>
        <v>892.64046612551419</v>
      </c>
      <c r="BI145" s="60">
        <f ca="1">AVERAGE(OFFSET($BH$3,0,0,'Données projet'!$E$11+1,1))-AVERAGE(OFFSET($H$3,0,0,'Données projet'!$E$11+1,1))</f>
        <v>475.47920969424894</v>
      </c>
      <c r="BJ145" s="60">
        <f t="shared" si="146"/>
        <v>271.73544012419364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5.6843418860808015E-14</v>
      </c>
      <c r="BZ145" s="14">
        <f>BY145*VLOOKUP('Données projet'!$B$12,Paramètres!$A$1:$I$89,3,0)*VLOOKUP('Données projet'!$B$12,Paramètres!$A$1:$I$89,5,0)</f>
        <v>5.4978954722173515E-14</v>
      </c>
      <c r="CA145" s="14">
        <f t="shared" si="147"/>
        <v>8.8550225887742724E-13</v>
      </c>
      <c r="CB145" s="22">
        <f t="shared" si="118"/>
        <v>1.6380047803526383E-12</v>
      </c>
      <c r="CC145" s="60">
        <f t="shared" si="119"/>
        <v>293.33333333333496</v>
      </c>
      <c r="CD145" s="60">
        <f ca="1">AVERAGE(OFFSET($CC$3,0,0,'Données projet'!$E$12+1,1))-AVERAGE(OFFSET($H$3,0,0,'Données projet'!$E$12+1,1))</f>
        <v>255.59755832175625</v>
      </c>
      <c r="CE145" s="60">
        <f t="shared" si="148"/>
        <v>154.0840647586964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5.6843418860808015E-14</v>
      </c>
      <c r="CU145" s="18">
        <f>CT145*VLOOKUP('Données projet'!$B$13,Paramètres!$A$1:$I$89,3,0)*VLOOKUP('Données projet'!$B$13,Paramètres!$A$1:$I$89,5,0)</f>
        <v>6.1186256061773749E-14</v>
      </c>
      <c r="CV145" s="14">
        <f t="shared" si="149"/>
        <v>9.7328366192051127E-13</v>
      </c>
      <c r="CW145" s="22">
        <f t="shared" si="121"/>
        <v>1.8017017738191463E-12</v>
      </c>
      <c r="CX145" s="60">
        <f t="shared" si="122"/>
        <v>293.33333333333513</v>
      </c>
      <c r="CY145" s="60">
        <f ca="1">AVERAGE(OFFSET($CX$3,0,0,'Données projet'!$E$13+1,1))-AVERAGE(OFFSET($H$3,0,0,'Données projet'!$E$13+1,1))</f>
        <v>280.20599015000306</v>
      </c>
      <c r="CZ145" s="60">
        <f t="shared" si="150"/>
        <v>166.97658184507787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-5.6843418860808015E-14</v>
      </c>
      <c r="DP145" s="18">
        <f>DO145*VLOOKUP('Données projet'!$B$14,Paramètres!$A$1:$I$89,3,0)*VLOOKUP('Données projet'!$B$14,Paramètres!$A$1:$I$89,5,0)</f>
        <v>-3.813056537183002E-14</v>
      </c>
      <c r="DQ145" s="14" t="e">
        <f t="shared" si="151"/>
        <v>#NUM!</v>
      </c>
      <c r="DR145" s="22" t="e">
        <f t="shared" si="124"/>
        <v>#NUM!</v>
      </c>
      <c r="DS145" s="60" t="e">
        <f t="shared" si="125"/>
        <v>#NUM!</v>
      </c>
      <c r="DT145" s="60">
        <f ca="1">AVERAGE(OFFSET($DS$3,0,0,'Données projet'!$E$14+1,1))-AVERAGE(OFFSET($H$3,0,0,'Données projet'!$E$14+1,1))</f>
        <v>291.18686311753402</v>
      </c>
      <c r="DU145" s="60">
        <f t="shared" si="152"/>
        <v>215.44422413249839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-1.9895196601282805E-13</v>
      </c>
      <c r="EK145" s="18">
        <f>EJ145*VLOOKUP('Données projet'!$B$15,Paramètres!$A$1:$I$89,3,0)*VLOOKUP('Données projet'!$B$15,Paramètres!$A$1:$I$89,5,0)</f>
        <v>-1.6138983482960614E-13</v>
      </c>
      <c r="EL145" s="14" t="e">
        <f t="shared" si="153"/>
        <v>#NUM!</v>
      </c>
      <c r="EM145" s="22" t="e">
        <f t="shared" si="127"/>
        <v>#NUM!</v>
      </c>
      <c r="EN145" s="60" t="e">
        <f t="shared" si="128"/>
        <v>#NUM!</v>
      </c>
      <c r="EO145" s="60">
        <f ca="1">AVERAGE(OFFSET($EN$3,0,0,'Données projet'!$E$15+1,1))-AVERAGE(OFFSET($H$3,0,0,'Données projet'!$E$15+1,1))</f>
        <v>236.22643401787644</v>
      </c>
      <c r="EP145" s="60">
        <f t="shared" si="154"/>
        <v>188.80444043778022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8">
        <f t="shared" si="110"/>
        <v>256.66666666666669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0" t="e">
        <f t="shared" si="109"/>
        <v>#NUM!</v>
      </c>
      <c r="S146" s="60">
        <f ca="1">AVERAGE(OFFSET($R$3,0,0,'Données projet'!$E$9+1,1))-AVERAGE(OFFSET($H$3,0,0,'Données projet'!$E$9+1,1))</f>
        <v>144.55635559713392</v>
      </c>
      <c r="T146" s="60">
        <f t="shared" si="142"/>
        <v>349.14692715126904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6.5016066961805548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2.1612968579821814E-18</v>
      </c>
      <c r="AC146" s="24">
        <f t="shared" si="111"/>
        <v>6.5016066961805548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276.19999999999919</v>
      </c>
      <c r="AJ146" s="14">
        <f>AI146*VLOOKUP('Données projet'!$B$10,Paramètres!$A$1:$I$89,3,0)*VLOOKUP('Données projet'!$B$10,Paramètres!$A$1:$I$89,5,0)</f>
        <v>249.90575999999925</v>
      </c>
      <c r="AK146" s="14">
        <f t="shared" si="143"/>
        <v>60.565760331923727</v>
      </c>
      <c r="AL146" s="22">
        <f t="shared" si="112"/>
        <v>540.73789791143247</v>
      </c>
      <c r="AM146" s="60">
        <f t="shared" si="113"/>
        <v>834.07123124476584</v>
      </c>
      <c r="AN146" s="60">
        <f ca="1">AVERAGE(OFFSET($AM$3,0,0,'Données projet'!$E$10+1,1))-AVERAGE(OFFSET($H$3,0,0,'Données projet'!$E$10+1,1))</f>
        <v>428.8489304403459</v>
      </c>
      <c r="AO146" s="60">
        <f t="shared" si="144"/>
        <v>247.01165577562966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2.4</v>
      </c>
      <c r="BD146" s="13">
        <f>IF('Données projet'!$A$88&gt;35,BD145+BC146-BL145,IF(A146&lt;'Données projet'!$A$88,$BA$205^A146,IF(A146='Données projet'!$A$88,'Données projet'!$B$88,BD145+BC146-BL145)))</f>
        <v>276.19999999999919</v>
      </c>
      <c r="BE146" s="14">
        <f>BD146*VLOOKUP('Données projet'!$B$11,Paramètres!$A$1:$I$89,3,0)*VLOOKUP('Données projet'!$B$11,Paramètres!$A$1:$I$89,5,0)</f>
        <v>280.0667999999992</v>
      </c>
      <c r="BF146" s="14">
        <f t="shared" si="145"/>
        <v>66.981125445388756</v>
      </c>
      <c r="BG146" s="22">
        <f t="shared" si="115"/>
        <v>604.44180348405064</v>
      </c>
      <c r="BH146" s="60">
        <f t="shared" si="116"/>
        <v>897.77513681738401</v>
      </c>
      <c r="BI146" s="60">
        <f ca="1">AVERAGE(OFFSET($BH$3,0,0,'Données projet'!$E$11+1,1))-AVERAGE(OFFSET($H$3,0,0,'Données projet'!$E$11+1,1))</f>
        <v>475.47920969424894</v>
      </c>
      <c r="BJ146" s="60">
        <f t="shared" si="146"/>
        <v>271.73544012419364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5.6843418860808015E-14</v>
      </c>
      <c r="BZ146" s="14">
        <f>BY146*VLOOKUP('Données projet'!$B$12,Paramètres!$A$1:$I$89,3,0)*VLOOKUP('Données projet'!$B$12,Paramètres!$A$1:$I$89,5,0)</f>
        <v>5.4978954722173515E-14</v>
      </c>
      <c r="CA146" s="14">
        <f t="shared" si="147"/>
        <v>8.8550225887742724E-13</v>
      </c>
      <c r="CB146" s="22">
        <f t="shared" si="118"/>
        <v>1.6380047803526383E-12</v>
      </c>
      <c r="CC146" s="60">
        <f t="shared" si="119"/>
        <v>293.33333333333496</v>
      </c>
      <c r="CD146" s="60">
        <f ca="1">AVERAGE(OFFSET($CC$3,0,0,'Données projet'!$E$12+1,1))-AVERAGE(OFFSET($H$3,0,0,'Données projet'!$E$12+1,1))</f>
        <v>255.59755832175625</v>
      </c>
      <c r="CE146" s="60">
        <f t="shared" si="148"/>
        <v>154.0840647586964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5.6843418860808015E-14</v>
      </c>
      <c r="CU146" s="18">
        <f>CT146*VLOOKUP('Données projet'!$B$13,Paramètres!$A$1:$I$89,3,0)*VLOOKUP('Données projet'!$B$13,Paramètres!$A$1:$I$89,5,0)</f>
        <v>6.1186256061773749E-14</v>
      </c>
      <c r="CV146" s="14">
        <f t="shared" si="149"/>
        <v>9.7328366192051127E-13</v>
      </c>
      <c r="CW146" s="22">
        <f t="shared" si="121"/>
        <v>1.8017017738191463E-12</v>
      </c>
      <c r="CX146" s="60">
        <f t="shared" si="122"/>
        <v>293.33333333333513</v>
      </c>
      <c r="CY146" s="60">
        <f ca="1">AVERAGE(OFFSET($CX$3,0,0,'Données projet'!$E$13+1,1))-AVERAGE(OFFSET($H$3,0,0,'Données projet'!$E$13+1,1))</f>
        <v>280.20599015000306</v>
      </c>
      <c r="CZ146" s="60">
        <f t="shared" si="150"/>
        <v>166.97658184507787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-5.6843418860808015E-14</v>
      </c>
      <c r="DP146" s="18">
        <f>DO146*VLOOKUP('Données projet'!$B$14,Paramètres!$A$1:$I$89,3,0)*VLOOKUP('Données projet'!$B$14,Paramètres!$A$1:$I$89,5,0)</f>
        <v>-3.813056537183002E-14</v>
      </c>
      <c r="DQ146" s="14" t="e">
        <f t="shared" si="151"/>
        <v>#NUM!</v>
      </c>
      <c r="DR146" s="22" t="e">
        <f t="shared" si="124"/>
        <v>#NUM!</v>
      </c>
      <c r="DS146" s="60" t="e">
        <f t="shared" si="125"/>
        <v>#NUM!</v>
      </c>
      <c r="DT146" s="60">
        <f ca="1">AVERAGE(OFFSET($DS$3,0,0,'Données projet'!$E$14+1,1))-AVERAGE(OFFSET($H$3,0,0,'Données projet'!$E$14+1,1))</f>
        <v>291.18686311753402</v>
      </c>
      <c r="DU146" s="60">
        <f t="shared" si="152"/>
        <v>215.44422413249839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-1.9895196601282805E-13</v>
      </c>
      <c r="EK146" s="18">
        <f>EJ146*VLOOKUP('Données projet'!$B$15,Paramètres!$A$1:$I$89,3,0)*VLOOKUP('Données projet'!$B$15,Paramètres!$A$1:$I$89,5,0)</f>
        <v>-1.6138983482960614E-13</v>
      </c>
      <c r="EL146" s="14" t="e">
        <f t="shared" si="153"/>
        <v>#NUM!</v>
      </c>
      <c r="EM146" s="22" t="e">
        <f t="shared" si="127"/>
        <v>#NUM!</v>
      </c>
      <c r="EN146" s="60" t="e">
        <f t="shared" si="128"/>
        <v>#NUM!</v>
      </c>
      <c r="EO146" s="60">
        <f ca="1">AVERAGE(OFFSET($EN$3,0,0,'Données projet'!$E$15+1,1))-AVERAGE(OFFSET($H$3,0,0,'Données projet'!$E$15+1,1))</f>
        <v>236.22643401787644</v>
      </c>
      <c r="EP146" s="60">
        <f t="shared" si="154"/>
        <v>188.80444043778022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8">
        <f t="shared" si="110"/>
        <v>256.66666666666669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0" t="e">
        <f t="shared" si="109"/>
        <v>#NUM!</v>
      </c>
      <c r="S147" s="60">
        <f ca="1">AVERAGE(OFFSET($R$3,0,0,'Données projet'!$E$9+1,1))-AVERAGE(OFFSET($H$3,0,0,'Données projet'!$E$9+1,1))</f>
        <v>144.55635559713392</v>
      </c>
      <c r="T147" s="60">
        <f t="shared" si="142"/>
        <v>349.14692715126904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6.3741141544569695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1.528267664436379E-18</v>
      </c>
      <c r="AC147" s="24">
        <f t="shared" si="111"/>
        <v>6.3741141544569695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278.59999999999917</v>
      </c>
      <c r="AJ147" s="14">
        <f>AI147*VLOOKUP('Données projet'!$B$10,Paramètres!$A$1:$I$89,3,0)*VLOOKUP('Données projet'!$B$10,Paramètres!$A$1:$I$89,5,0)</f>
        <v>252.07727999999923</v>
      </c>
      <c r="AK147" s="14">
        <f t="shared" si="143"/>
        <v>61.030544652154823</v>
      </c>
      <c r="AL147" s="22">
        <f t="shared" si="112"/>
        <v>545.32946126916829</v>
      </c>
      <c r="AM147" s="60">
        <f t="shared" si="113"/>
        <v>838.66279460250166</v>
      </c>
      <c r="AN147" s="60">
        <f ca="1">AVERAGE(OFFSET($AM$3,0,0,'Données projet'!$E$10+1,1))-AVERAGE(OFFSET($H$3,0,0,'Données projet'!$E$10+1,1))</f>
        <v>428.8489304403459</v>
      </c>
      <c r="AO147" s="60">
        <f t="shared" si="144"/>
        <v>247.01165577562966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2.4</v>
      </c>
      <c r="BD147" s="13">
        <f>IF('Données projet'!$A$88&gt;35,BD146+BC147-BL146,IF(A147&lt;'Données projet'!$A$88,$BA$205^A147,IF(A147='Données projet'!$A$88,'Données projet'!$B$88,BD146+BC147-BL146)))</f>
        <v>278.59999999999917</v>
      </c>
      <c r="BE147" s="14">
        <f>BD147*VLOOKUP('Données projet'!$B$11,Paramètres!$A$1:$I$89,3,0)*VLOOKUP('Données projet'!$B$11,Paramètres!$A$1:$I$89,5,0)</f>
        <v>282.50039999999916</v>
      </c>
      <c r="BF147" s="14">
        <f t="shared" si="145"/>
        <v>67.495141560894254</v>
      </c>
      <c r="BG147" s="22">
        <f t="shared" si="115"/>
        <v>609.57556821855599</v>
      </c>
      <c r="BH147" s="60">
        <f t="shared" si="116"/>
        <v>902.90890155188936</v>
      </c>
      <c r="BI147" s="60">
        <f ca="1">AVERAGE(OFFSET($BH$3,0,0,'Données projet'!$E$11+1,1))-AVERAGE(OFFSET($H$3,0,0,'Données projet'!$E$11+1,1))</f>
        <v>475.47920969424894</v>
      </c>
      <c r="BJ147" s="60">
        <f t="shared" si="146"/>
        <v>271.73544012419364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5.6843418860808015E-14</v>
      </c>
      <c r="BZ147" s="14">
        <f>BY147*VLOOKUP('Données projet'!$B$12,Paramètres!$A$1:$I$89,3,0)*VLOOKUP('Données projet'!$B$12,Paramètres!$A$1:$I$89,5,0)</f>
        <v>5.4978954722173515E-14</v>
      </c>
      <c r="CA147" s="14">
        <f t="shared" si="147"/>
        <v>8.8550225887742724E-13</v>
      </c>
      <c r="CB147" s="22">
        <f t="shared" si="118"/>
        <v>1.6380047803526383E-12</v>
      </c>
      <c r="CC147" s="60">
        <f t="shared" si="119"/>
        <v>293.33333333333496</v>
      </c>
      <c r="CD147" s="60">
        <f ca="1">AVERAGE(OFFSET($CC$3,0,0,'Données projet'!$E$12+1,1))-AVERAGE(OFFSET($H$3,0,0,'Données projet'!$E$12+1,1))</f>
        <v>255.59755832175625</v>
      </c>
      <c r="CE147" s="60">
        <f t="shared" si="148"/>
        <v>154.0840647586964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5.6843418860808015E-14</v>
      </c>
      <c r="CU147" s="18">
        <f>CT147*VLOOKUP('Données projet'!$B$13,Paramètres!$A$1:$I$89,3,0)*VLOOKUP('Données projet'!$B$13,Paramètres!$A$1:$I$89,5,0)</f>
        <v>6.1186256061773749E-14</v>
      </c>
      <c r="CV147" s="14">
        <f t="shared" si="149"/>
        <v>9.7328366192051127E-13</v>
      </c>
      <c r="CW147" s="22">
        <f t="shared" si="121"/>
        <v>1.8017017738191463E-12</v>
      </c>
      <c r="CX147" s="60">
        <f t="shared" si="122"/>
        <v>293.33333333333513</v>
      </c>
      <c r="CY147" s="60">
        <f ca="1">AVERAGE(OFFSET($CX$3,0,0,'Données projet'!$E$13+1,1))-AVERAGE(OFFSET($H$3,0,0,'Données projet'!$E$13+1,1))</f>
        <v>280.20599015000306</v>
      </c>
      <c r="CZ147" s="60">
        <f t="shared" si="150"/>
        <v>166.97658184507787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-5.6843418860808015E-14</v>
      </c>
      <c r="DP147" s="18">
        <f>DO147*VLOOKUP('Données projet'!$B$14,Paramètres!$A$1:$I$89,3,0)*VLOOKUP('Données projet'!$B$14,Paramètres!$A$1:$I$89,5,0)</f>
        <v>-3.813056537183002E-14</v>
      </c>
      <c r="DQ147" s="14" t="e">
        <f t="shared" si="151"/>
        <v>#NUM!</v>
      </c>
      <c r="DR147" s="22" t="e">
        <f t="shared" si="124"/>
        <v>#NUM!</v>
      </c>
      <c r="DS147" s="60" t="e">
        <f t="shared" si="125"/>
        <v>#NUM!</v>
      </c>
      <c r="DT147" s="60">
        <f ca="1">AVERAGE(OFFSET($DS$3,0,0,'Données projet'!$E$14+1,1))-AVERAGE(OFFSET($H$3,0,0,'Données projet'!$E$14+1,1))</f>
        <v>291.18686311753402</v>
      </c>
      <c r="DU147" s="60">
        <f t="shared" si="152"/>
        <v>215.44422413249839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-1.9895196601282805E-13</v>
      </c>
      <c r="EK147" s="18">
        <f>EJ147*VLOOKUP('Données projet'!$B$15,Paramètres!$A$1:$I$89,3,0)*VLOOKUP('Données projet'!$B$15,Paramètres!$A$1:$I$89,5,0)</f>
        <v>-1.6138983482960614E-13</v>
      </c>
      <c r="EL147" s="14" t="e">
        <f t="shared" si="153"/>
        <v>#NUM!</v>
      </c>
      <c r="EM147" s="22" t="e">
        <f t="shared" si="127"/>
        <v>#NUM!</v>
      </c>
      <c r="EN147" s="60" t="e">
        <f t="shared" si="128"/>
        <v>#NUM!</v>
      </c>
      <c r="EO147" s="60">
        <f ca="1">AVERAGE(OFFSET($EN$3,0,0,'Données projet'!$E$15+1,1))-AVERAGE(OFFSET($H$3,0,0,'Données projet'!$E$15+1,1))</f>
        <v>236.22643401787644</v>
      </c>
      <c r="EP147" s="60">
        <f t="shared" si="154"/>
        <v>188.80444043778022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8">
        <f t="shared" si="110"/>
        <v>256.66666666666669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0" t="e">
        <f t="shared" si="109"/>
        <v>#NUM!</v>
      </c>
      <c r="S148" s="60">
        <f ca="1">AVERAGE(OFFSET($R$3,0,0,'Données projet'!$E$9+1,1))-AVERAGE(OFFSET($H$3,0,0,'Données projet'!$E$9+1,1))</f>
        <v>144.55635559713392</v>
      </c>
      <c r="T148" s="60">
        <f t="shared" si="142"/>
        <v>349.14692715126904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6.2491216637138116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1.0806484289910907E-18</v>
      </c>
      <c r="AC148" s="24">
        <f t="shared" si="111"/>
        <v>6.2491216637138116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280.99999999999915</v>
      </c>
      <c r="AJ148" s="14">
        <f>AI148*VLOOKUP('Données projet'!$B$10,Paramètres!$A$1:$I$89,3,0)*VLOOKUP('Données projet'!$B$10,Paramètres!$A$1:$I$89,5,0)</f>
        <v>254.24879999999925</v>
      </c>
      <c r="AK148" s="14">
        <f t="shared" si="143"/>
        <v>61.494863147658698</v>
      </c>
      <c r="AL148" s="22">
        <f t="shared" si="112"/>
        <v>549.92021331550427</v>
      </c>
      <c r="AM148" s="60">
        <f t="shared" si="113"/>
        <v>843.25354664883753</v>
      </c>
      <c r="AN148" s="60">
        <f ca="1">AVERAGE(OFFSET($AM$3,0,0,'Données projet'!$E$10+1,1))-AVERAGE(OFFSET($H$3,0,0,'Données projet'!$E$10+1,1))</f>
        <v>428.8489304403459</v>
      </c>
      <c r="AO148" s="60">
        <f t="shared" si="144"/>
        <v>247.01165577562966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2.4</v>
      </c>
      <c r="BD148" s="13">
        <f>IF('Données projet'!$A$88&gt;35,BD147+BC148-BL147,IF(A148&lt;'Données projet'!$A$88,$BA$205^A148,IF(A148='Données projet'!$A$88,'Données projet'!$B$88,BD147+BC148-BL147)))</f>
        <v>280.99999999999915</v>
      </c>
      <c r="BE148" s="14">
        <f>BD148*VLOOKUP('Données projet'!$B$11,Paramètres!$A$1:$I$89,3,0)*VLOOKUP('Données projet'!$B$11,Paramètres!$A$1:$I$89,5,0)</f>
        <v>284.93399999999917</v>
      </c>
      <c r="BF148" s="14">
        <f t="shared" si="145"/>
        <v>68.008642509673109</v>
      </c>
      <c r="BG148" s="22">
        <f t="shared" si="115"/>
        <v>614.7084357043459</v>
      </c>
      <c r="BH148" s="60">
        <f t="shared" si="116"/>
        <v>908.04176903767916</v>
      </c>
      <c r="BI148" s="60">
        <f ca="1">AVERAGE(OFFSET($BH$3,0,0,'Données projet'!$E$11+1,1))-AVERAGE(OFFSET($H$3,0,0,'Données projet'!$E$11+1,1))</f>
        <v>475.47920969424894</v>
      </c>
      <c r="BJ148" s="60">
        <f t="shared" si="146"/>
        <v>271.73544012419364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5.6843418860808015E-14</v>
      </c>
      <c r="BZ148" s="14">
        <f>BY148*VLOOKUP('Données projet'!$B$12,Paramètres!$A$1:$I$89,3,0)*VLOOKUP('Données projet'!$B$12,Paramètres!$A$1:$I$89,5,0)</f>
        <v>5.4978954722173515E-14</v>
      </c>
      <c r="CA148" s="14">
        <f t="shared" si="147"/>
        <v>8.8550225887742724E-13</v>
      </c>
      <c r="CB148" s="22">
        <f t="shared" si="118"/>
        <v>1.6380047803526383E-12</v>
      </c>
      <c r="CC148" s="60">
        <f t="shared" si="119"/>
        <v>293.33333333333496</v>
      </c>
      <c r="CD148" s="60">
        <f ca="1">AVERAGE(OFFSET($CC$3,0,0,'Données projet'!$E$12+1,1))-AVERAGE(OFFSET($H$3,0,0,'Données projet'!$E$12+1,1))</f>
        <v>255.59755832175625</v>
      </c>
      <c r="CE148" s="60">
        <f t="shared" si="148"/>
        <v>154.0840647586964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5.6843418860808015E-14</v>
      </c>
      <c r="CU148" s="18">
        <f>CT148*VLOOKUP('Données projet'!$B$13,Paramètres!$A$1:$I$89,3,0)*VLOOKUP('Données projet'!$B$13,Paramètres!$A$1:$I$89,5,0)</f>
        <v>6.1186256061773749E-14</v>
      </c>
      <c r="CV148" s="14">
        <f t="shared" si="149"/>
        <v>9.7328366192051127E-13</v>
      </c>
      <c r="CW148" s="22">
        <f t="shared" si="121"/>
        <v>1.8017017738191463E-12</v>
      </c>
      <c r="CX148" s="60">
        <f t="shared" si="122"/>
        <v>293.33333333333513</v>
      </c>
      <c r="CY148" s="60">
        <f ca="1">AVERAGE(OFFSET($CX$3,0,0,'Données projet'!$E$13+1,1))-AVERAGE(OFFSET($H$3,0,0,'Données projet'!$E$13+1,1))</f>
        <v>280.20599015000306</v>
      </c>
      <c r="CZ148" s="60">
        <f t="shared" si="150"/>
        <v>166.97658184507787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-5.6843418860808015E-14</v>
      </c>
      <c r="DP148" s="18">
        <f>DO148*VLOOKUP('Données projet'!$B$14,Paramètres!$A$1:$I$89,3,0)*VLOOKUP('Données projet'!$B$14,Paramètres!$A$1:$I$89,5,0)</f>
        <v>-3.813056537183002E-14</v>
      </c>
      <c r="DQ148" s="14" t="e">
        <f t="shared" si="151"/>
        <v>#NUM!</v>
      </c>
      <c r="DR148" s="22" t="e">
        <f t="shared" si="124"/>
        <v>#NUM!</v>
      </c>
      <c r="DS148" s="60" t="e">
        <f t="shared" si="125"/>
        <v>#NUM!</v>
      </c>
      <c r="DT148" s="60">
        <f ca="1">AVERAGE(OFFSET($DS$3,0,0,'Données projet'!$E$14+1,1))-AVERAGE(OFFSET($H$3,0,0,'Données projet'!$E$14+1,1))</f>
        <v>291.18686311753402</v>
      </c>
      <c r="DU148" s="60">
        <f t="shared" si="152"/>
        <v>215.44422413249839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-1.9895196601282805E-13</v>
      </c>
      <c r="EK148" s="18">
        <f>EJ148*VLOOKUP('Données projet'!$B$15,Paramètres!$A$1:$I$89,3,0)*VLOOKUP('Données projet'!$B$15,Paramètres!$A$1:$I$89,5,0)</f>
        <v>-1.6138983482960614E-13</v>
      </c>
      <c r="EL148" s="14" t="e">
        <f t="shared" si="153"/>
        <v>#NUM!</v>
      </c>
      <c r="EM148" s="22" t="e">
        <f t="shared" si="127"/>
        <v>#NUM!</v>
      </c>
      <c r="EN148" s="60" t="e">
        <f t="shared" si="128"/>
        <v>#NUM!</v>
      </c>
      <c r="EO148" s="60">
        <f ca="1">AVERAGE(OFFSET($EN$3,0,0,'Données projet'!$E$15+1,1))-AVERAGE(OFFSET($H$3,0,0,'Données projet'!$E$15+1,1))</f>
        <v>236.22643401787644</v>
      </c>
      <c r="EP148" s="60">
        <f t="shared" si="154"/>
        <v>188.80444043778022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8">
        <f t="shared" si="110"/>
        <v>256.66666666666669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0" t="e">
        <f t="shared" si="109"/>
        <v>#NUM!</v>
      </c>
      <c r="S149" s="60">
        <f ca="1">AVERAGE(OFFSET($R$3,0,0,'Données projet'!$E$9+1,1))-AVERAGE(OFFSET($H$3,0,0,'Données projet'!$E$9+1,1))</f>
        <v>144.55635559713392</v>
      </c>
      <c r="T149" s="60">
        <f t="shared" si="142"/>
        <v>349.14692715126904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6.1265801994762352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7.6413383221818952E-19</v>
      </c>
      <c r="AC149" s="24">
        <f t="shared" si="111"/>
        <v>6.1265801994762352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283.39999999999912</v>
      </c>
      <c r="AJ149" s="14">
        <f>AI149*VLOOKUP('Données projet'!$B$10,Paramètres!$A$1:$I$89,3,0)*VLOOKUP('Données projet'!$B$10,Paramètres!$A$1:$I$89,5,0)</f>
        <v>256.42031999999921</v>
      </c>
      <c r="AK149" s="14">
        <f t="shared" si="143"/>
        <v>61.958720258016747</v>
      </c>
      <c r="AL149" s="22">
        <f t="shared" si="112"/>
        <v>554.51016178271107</v>
      </c>
      <c r="AM149" s="60">
        <f t="shared" si="113"/>
        <v>847.84349511604432</v>
      </c>
      <c r="AN149" s="60">
        <f ca="1">AVERAGE(OFFSET($AM$3,0,0,'Données projet'!$E$10+1,1))-AVERAGE(OFFSET($H$3,0,0,'Données projet'!$E$10+1,1))</f>
        <v>428.8489304403459</v>
      </c>
      <c r="AO149" s="60">
        <f t="shared" si="144"/>
        <v>247.01165577562966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2.4</v>
      </c>
      <c r="BD149" s="13">
        <f>IF('Données projet'!$A$88&gt;35,BD148+BC149-BL148,IF(A149&lt;'Données projet'!$A$88,$BA$205^A149,IF(A149='Données projet'!$A$88,'Données projet'!$B$88,BD148+BC149-BL148)))</f>
        <v>283.39999999999912</v>
      </c>
      <c r="BE149" s="14">
        <f>BD149*VLOOKUP('Données projet'!$B$11,Paramètres!$A$1:$I$89,3,0)*VLOOKUP('Données projet'!$B$11,Paramètres!$A$1:$I$89,5,0)</f>
        <v>287.36759999999913</v>
      </c>
      <c r="BF149" s="14">
        <f t="shared" si="145"/>
        <v>68.521633201564995</v>
      </c>
      <c r="BG149" s="22">
        <f t="shared" si="115"/>
        <v>619.84041449272411</v>
      </c>
      <c r="BH149" s="60">
        <f t="shared" si="116"/>
        <v>913.17374782605748</v>
      </c>
      <c r="BI149" s="60">
        <f ca="1">AVERAGE(OFFSET($BH$3,0,0,'Données projet'!$E$11+1,1))-AVERAGE(OFFSET($H$3,0,0,'Données projet'!$E$11+1,1))</f>
        <v>475.47920969424894</v>
      </c>
      <c r="BJ149" s="60">
        <f t="shared" si="146"/>
        <v>271.73544012419364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5.6843418860808015E-14</v>
      </c>
      <c r="BZ149" s="14">
        <f>BY149*VLOOKUP('Données projet'!$B$12,Paramètres!$A$1:$I$89,3,0)*VLOOKUP('Données projet'!$B$12,Paramètres!$A$1:$I$89,5,0)</f>
        <v>5.4978954722173515E-14</v>
      </c>
      <c r="CA149" s="14">
        <f t="shared" si="147"/>
        <v>8.8550225887742724E-13</v>
      </c>
      <c r="CB149" s="22">
        <f t="shared" si="118"/>
        <v>1.6380047803526383E-12</v>
      </c>
      <c r="CC149" s="60">
        <f t="shared" si="119"/>
        <v>293.33333333333496</v>
      </c>
      <c r="CD149" s="60">
        <f ca="1">AVERAGE(OFFSET($CC$3,0,0,'Données projet'!$E$12+1,1))-AVERAGE(OFFSET($H$3,0,0,'Données projet'!$E$12+1,1))</f>
        <v>255.59755832175625</v>
      </c>
      <c r="CE149" s="60">
        <f t="shared" si="148"/>
        <v>154.0840647586964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5.6843418860808015E-14</v>
      </c>
      <c r="CU149" s="18">
        <f>CT149*VLOOKUP('Données projet'!$B$13,Paramètres!$A$1:$I$89,3,0)*VLOOKUP('Données projet'!$B$13,Paramètres!$A$1:$I$89,5,0)</f>
        <v>6.1186256061773749E-14</v>
      </c>
      <c r="CV149" s="14">
        <f t="shared" si="149"/>
        <v>9.7328366192051127E-13</v>
      </c>
      <c r="CW149" s="22">
        <f t="shared" si="121"/>
        <v>1.8017017738191463E-12</v>
      </c>
      <c r="CX149" s="60">
        <f t="shared" si="122"/>
        <v>293.33333333333513</v>
      </c>
      <c r="CY149" s="60">
        <f ca="1">AVERAGE(OFFSET($CX$3,0,0,'Données projet'!$E$13+1,1))-AVERAGE(OFFSET($H$3,0,0,'Données projet'!$E$13+1,1))</f>
        <v>280.20599015000306</v>
      </c>
      <c r="CZ149" s="60">
        <f t="shared" si="150"/>
        <v>166.97658184507787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-5.6843418860808015E-14</v>
      </c>
      <c r="DP149" s="18">
        <f>DO149*VLOOKUP('Données projet'!$B$14,Paramètres!$A$1:$I$89,3,0)*VLOOKUP('Données projet'!$B$14,Paramètres!$A$1:$I$89,5,0)</f>
        <v>-3.813056537183002E-14</v>
      </c>
      <c r="DQ149" s="14" t="e">
        <f t="shared" si="151"/>
        <v>#NUM!</v>
      </c>
      <c r="DR149" s="22" t="e">
        <f t="shared" si="124"/>
        <v>#NUM!</v>
      </c>
      <c r="DS149" s="60" t="e">
        <f t="shared" si="125"/>
        <v>#NUM!</v>
      </c>
      <c r="DT149" s="60">
        <f ca="1">AVERAGE(OFFSET($DS$3,0,0,'Données projet'!$E$14+1,1))-AVERAGE(OFFSET($H$3,0,0,'Données projet'!$E$14+1,1))</f>
        <v>291.18686311753402</v>
      </c>
      <c r="DU149" s="60">
        <f t="shared" si="152"/>
        <v>215.44422413249839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-1.9895196601282805E-13</v>
      </c>
      <c r="EK149" s="18">
        <f>EJ149*VLOOKUP('Données projet'!$B$15,Paramètres!$A$1:$I$89,3,0)*VLOOKUP('Données projet'!$B$15,Paramètres!$A$1:$I$89,5,0)</f>
        <v>-1.6138983482960614E-13</v>
      </c>
      <c r="EL149" s="14" t="e">
        <f t="shared" si="153"/>
        <v>#NUM!</v>
      </c>
      <c r="EM149" s="22" t="e">
        <f t="shared" si="127"/>
        <v>#NUM!</v>
      </c>
      <c r="EN149" s="60" t="e">
        <f t="shared" si="128"/>
        <v>#NUM!</v>
      </c>
      <c r="EO149" s="60">
        <f ca="1">AVERAGE(OFFSET($EN$3,0,0,'Données projet'!$E$15+1,1))-AVERAGE(OFFSET($H$3,0,0,'Données projet'!$E$15+1,1))</f>
        <v>236.22643401787644</v>
      </c>
      <c r="EP149" s="60">
        <f t="shared" si="154"/>
        <v>188.80444043778022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8">
        <f t="shared" si="110"/>
        <v>256.66666666666669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0" t="e">
        <f t="shared" si="109"/>
        <v>#NUM!</v>
      </c>
      <c r="S150" s="60">
        <f ca="1">AVERAGE(OFFSET($R$3,0,0,'Données projet'!$E$9+1,1))-AVERAGE(OFFSET($H$3,0,0,'Données projet'!$E$9+1,1))</f>
        <v>144.55635559713392</v>
      </c>
      <c r="T150" s="60">
        <f t="shared" si="142"/>
        <v>349.14692715126904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6.0064416986094455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5.4032421449554535E-19</v>
      </c>
      <c r="AC150" s="24">
        <f t="shared" si="111"/>
        <v>6.0064416986094455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285.7999999999991</v>
      </c>
      <c r="AJ150" s="14">
        <f>AI150*VLOOKUP('Données projet'!$B$10,Paramètres!$A$1:$I$89,3,0)*VLOOKUP('Données projet'!$B$10,Paramètres!$A$1:$I$89,5,0)</f>
        <v>258.59183999999919</v>
      </c>
      <c r="AK150" s="14">
        <f t="shared" si="143"/>
        <v>62.422120343276475</v>
      </c>
      <c r="AL150" s="22">
        <f t="shared" si="112"/>
        <v>559.09931426453841</v>
      </c>
      <c r="AM150" s="60">
        <f t="shared" si="113"/>
        <v>852.43264759787166</v>
      </c>
      <c r="AN150" s="60">
        <f ca="1">AVERAGE(OFFSET($AM$3,0,0,'Données projet'!$E$10+1,1))-AVERAGE(OFFSET($H$3,0,0,'Données projet'!$E$10+1,1))</f>
        <v>428.8489304403459</v>
      </c>
      <c r="AO150" s="60">
        <f t="shared" si="144"/>
        <v>247.01165577562966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2.4</v>
      </c>
      <c r="BD150" s="13">
        <f>IF('Données projet'!$A$88&gt;35,BD149+BC150-BL149,IF(A150&lt;'Données projet'!$A$88,$BA$205^A150,IF(A150='Données projet'!$A$88,'Données projet'!$B$88,BD149+BC150-BL149)))</f>
        <v>285.7999999999991</v>
      </c>
      <c r="BE150" s="14">
        <f>BD150*VLOOKUP('Données projet'!$B$11,Paramètres!$A$1:$I$89,3,0)*VLOOKUP('Données projet'!$B$11,Paramètres!$A$1:$I$89,5,0)</f>
        <v>289.80119999999908</v>
      </c>
      <c r="BF150" s="14">
        <f t="shared" si="145"/>
        <v>69.034118458450664</v>
      </c>
      <c r="BG150" s="22">
        <f t="shared" si="115"/>
        <v>624.97151298179995</v>
      </c>
      <c r="BH150" s="60">
        <f t="shared" si="116"/>
        <v>918.30484631513332</v>
      </c>
      <c r="BI150" s="60">
        <f ca="1">AVERAGE(OFFSET($BH$3,0,0,'Données projet'!$E$11+1,1))-AVERAGE(OFFSET($H$3,0,0,'Données projet'!$E$11+1,1))</f>
        <v>475.47920969424894</v>
      </c>
      <c r="BJ150" s="60">
        <f t="shared" si="146"/>
        <v>271.73544012419364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5.6843418860808015E-14</v>
      </c>
      <c r="BZ150" s="14">
        <f>BY150*VLOOKUP('Données projet'!$B$12,Paramètres!$A$1:$I$89,3,0)*VLOOKUP('Données projet'!$B$12,Paramètres!$A$1:$I$89,5,0)</f>
        <v>5.4978954722173515E-14</v>
      </c>
      <c r="CA150" s="14">
        <f t="shared" si="147"/>
        <v>8.8550225887742724E-13</v>
      </c>
      <c r="CB150" s="22">
        <f t="shared" si="118"/>
        <v>1.6380047803526383E-12</v>
      </c>
      <c r="CC150" s="60">
        <f t="shared" si="119"/>
        <v>293.33333333333496</v>
      </c>
      <c r="CD150" s="60">
        <f ca="1">AVERAGE(OFFSET($CC$3,0,0,'Données projet'!$E$12+1,1))-AVERAGE(OFFSET($H$3,0,0,'Données projet'!$E$12+1,1))</f>
        <v>255.59755832175625</v>
      </c>
      <c r="CE150" s="60">
        <f t="shared" si="148"/>
        <v>154.0840647586964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5.6843418860808015E-14</v>
      </c>
      <c r="CU150" s="18">
        <f>CT150*VLOOKUP('Données projet'!$B$13,Paramètres!$A$1:$I$89,3,0)*VLOOKUP('Données projet'!$B$13,Paramètres!$A$1:$I$89,5,0)</f>
        <v>6.1186256061773749E-14</v>
      </c>
      <c r="CV150" s="14">
        <f t="shared" si="149"/>
        <v>9.7328366192051127E-13</v>
      </c>
      <c r="CW150" s="22">
        <f t="shared" si="121"/>
        <v>1.8017017738191463E-12</v>
      </c>
      <c r="CX150" s="60">
        <f t="shared" si="122"/>
        <v>293.33333333333513</v>
      </c>
      <c r="CY150" s="60">
        <f ca="1">AVERAGE(OFFSET($CX$3,0,0,'Données projet'!$E$13+1,1))-AVERAGE(OFFSET($H$3,0,0,'Données projet'!$E$13+1,1))</f>
        <v>280.20599015000306</v>
      </c>
      <c r="CZ150" s="60">
        <f t="shared" si="150"/>
        <v>166.97658184507787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-5.6843418860808015E-14</v>
      </c>
      <c r="DP150" s="18">
        <f>DO150*VLOOKUP('Données projet'!$B$14,Paramètres!$A$1:$I$89,3,0)*VLOOKUP('Données projet'!$B$14,Paramètres!$A$1:$I$89,5,0)</f>
        <v>-3.813056537183002E-14</v>
      </c>
      <c r="DQ150" s="14" t="e">
        <f t="shared" si="151"/>
        <v>#NUM!</v>
      </c>
      <c r="DR150" s="22" t="e">
        <f t="shared" si="124"/>
        <v>#NUM!</v>
      </c>
      <c r="DS150" s="60" t="e">
        <f t="shared" si="125"/>
        <v>#NUM!</v>
      </c>
      <c r="DT150" s="60">
        <f ca="1">AVERAGE(OFFSET($DS$3,0,0,'Données projet'!$E$14+1,1))-AVERAGE(OFFSET($H$3,0,0,'Données projet'!$E$14+1,1))</f>
        <v>291.18686311753402</v>
      </c>
      <c r="DU150" s="60">
        <f t="shared" si="152"/>
        <v>215.44422413249839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-1.9895196601282805E-13</v>
      </c>
      <c r="EK150" s="18">
        <f>EJ150*VLOOKUP('Données projet'!$B$15,Paramètres!$A$1:$I$89,3,0)*VLOOKUP('Données projet'!$B$15,Paramètres!$A$1:$I$89,5,0)</f>
        <v>-1.6138983482960614E-13</v>
      </c>
      <c r="EL150" s="14" t="e">
        <f t="shared" si="153"/>
        <v>#NUM!</v>
      </c>
      <c r="EM150" s="22" t="e">
        <f t="shared" si="127"/>
        <v>#NUM!</v>
      </c>
      <c r="EN150" s="60" t="e">
        <f t="shared" si="128"/>
        <v>#NUM!</v>
      </c>
      <c r="EO150" s="60">
        <f ca="1">AVERAGE(OFFSET($EN$3,0,0,'Données projet'!$E$15+1,1))-AVERAGE(OFFSET($H$3,0,0,'Données projet'!$E$15+1,1))</f>
        <v>236.22643401787644</v>
      </c>
      <c r="EP150" s="60">
        <f t="shared" si="154"/>
        <v>188.80444043778022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8">
        <f t="shared" si="110"/>
        <v>256.66666666666669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0" t="e">
        <f t="shared" si="109"/>
        <v>#NUM!</v>
      </c>
      <c r="S151" s="60">
        <f ca="1">AVERAGE(OFFSET($R$3,0,0,'Données projet'!$E$9+1,1))-AVERAGE(OFFSET($H$3,0,0,'Données projet'!$E$9+1,1))</f>
        <v>144.55635559713392</v>
      </c>
      <c r="T151" s="60">
        <f t="shared" si="142"/>
        <v>349.14692715126904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5.8886590404674033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3.8206691610909476E-19</v>
      </c>
      <c r="AC151" s="24">
        <f t="shared" si="111"/>
        <v>5.8886590404674033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288.19999999999908</v>
      </c>
      <c r="AJ151" s="14">
        <f>AI151*VLOOKUP('Données projet'!$B$10,Paramètres!$A$1:$I$89,3,0)*VLOOKUP('Données projet'!$B$10,Paramètres!$A$1:$I$89,5,0)</f>
        <v>260.76335999999918</v>
      </c>
      <c r="AK151" s="14">
        <f t="shared" si="143"/>
        <v>62.885067686031789</v>
      </c>
      <c r="AL151" s="22">
        <f t="shared" si="112"/>
        <v>563.68767821983727</v>
      </c>
      <c r="AM151" s="60">
        <f t="shared" si="113"/>
        <v>857.02101155317064</v>
      </c>
      <c r="AN151" s="60">
        <f ca="1">AVERAGE(OFFSET($AM$3,0,0,'Données projet'!$E$10+1,1))-AVERAGE(OFFSET($H$3,0,0,'Données projet'!$E$10+1,1))</f>
        <v>428.8489304403459</v>
      </c>
      <c r="AO151" s="60">
        <f t="shared" si="144"/>
        <v>247.01165577562966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2.4</v>
      </c>
      <c r="BD151" s="13">
        <f>IF('Données projet'!$A$88&gt;35,BD150+BC151-BL150,IF(A151&lt;'Données projet'!$A$88,$BA$205^A151,IF(A151='Données projet'!$A$88,'Données projet'!$B$88,BD150+BC151-BL150)))</f>
        <v>288.19999999999908</v>
      </c>
      <c r="BE151" s="14">
        <f>BD151*VLOOKUP('Données projet'!$B$11,Paramètres!$A$1:$I$89,3,0)*VLOOKUP('Données projet'!$B$11,Paramètres!$A$1:$I$89,5,0)</f>
        <v>292.2347999999991</v>
      </c>
      <c r="BF151" s="14">
        <f t="shared" si="145"/>
        <v>69.546103016553573</v>
      </c>
      <c r="BG151" s="22">
        <f t="shared" si="115"/>
        <v>630.10173942049585</v>
      </c>
      <c r="BH151" s="60">
        <f t="shared" si="116"/>
        <v>923.43507275382922</v>
      </c>
      <c r="BI151" s="60">
        <f ca="1">AVERAGE(OFFSET($BH$3,0,0,'Données projet'!$E$11+1,1))-AVERAGE(OFFSET($H$3,0,0,'Données projet'!$E$11+1,1))</f>
        <v>475.47920969424894</v>
      </c>
      <c r="BJ151" s="60">
        <f t="shared" si="146"/>
        <v>271.73544012419364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5.6843418860808015E-14</v>
      </c>
      <c r="BZ151" s="14">
        <f>BY151*VLOOKUP('Données projet'!$B$12,Paramètres!$A$1:$I$89,3,0)*VLOOKUP('Données projet'!$B$12,Paramètres!$A$1:$I$89,5,0)</f>
        <v>5.4978954722173515E-14</v>
      </c>
      <c r="CA151" s="14">
        <f t="shared" si="147"/>
        <v>8.8550225887742724E-13</v>
      </c>
      <c r="CB151" s="22">
        <f t="shared" si="118"/>
        <v>1.6380047803526383E-12</v>
      </c>
      <c r="CC151" s="60">
        <f t="shared" si="119"/>
        <v>293.33333333333496</v>
      </c>
      <c r="CD151" s="60">
        <f ca="1">AVERAGE(OFFSET($CC$3,0,0,'Données projet'!$E$12+1,1))-AVERAGE(OFFSET($H$3,0,0,'Données projet'!$E$12+1,1))</f>
        <v>255.59755832175625</v>
      </c>
      <c r="CE151" s="60">
        <f t="shared" si="148"/>
        <v>154.0840647586964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5.6843418860808015E-14</v>
      </c>
      <c r="CU151" s="18">
        <f>CT151*VLOOKUP('Données projet'!$B$13,Paramètres!$A$1:$I$89,3,0)*VLOOKUP('Données projet'!$B$13,Paramètres!$A$1:$I$89,5,0)</f>
        <v>6.1186256061773749E-14</v>
      </c>
      <c r="CV151" s="14">
        <f t="shared" si="149"/>
        <v>9.7328366192051127E-13</v>
      </c>
      <c r="CW151" s="22">
        <f t="shared" si="121"/>
        <v>1.8017017738191463E-12</v>
      </c>
      <c r="CX151" s="60">
        <f t="shared" si="122"/>
        <v>293.33333333333513</v>
      </c>
      <c r="CY151" s="60">
        <f ca="1">AVERAGE(OFFSET($CX$3,0,0,'Données projet'!$E$13+1,1))-AVERAGE(OFFSET($H$3,0,0,'Données projet'!$E$13+1,1))</f>
        <v>280.20599015000306</v>
      </c>
      <c r="CZ151" s="60">
        <f t="shared" si="150"/>
        <v>166.97658184507787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-5.6843418860808015E-14</v>
      </c>
      <c r="DP151" s="18">
        <f>DO151*VLOOKUP('Données projet'!$B$14,Paramètres!$A$1:$I$89,3,0)*VLOOKUP('Données projet'!$B$14,Paramètres!$A$1:$I$89,5,0)</f>
        <v>-3.813056537183002E-14</v>
      </c>
      <c r="DQ151" s="14" t="e">
        <f t="shared" si="151"/>
        <v>#NUM!</v>
      </c>
      <c r="DR151" s="22" t="e">
        <f t="shared" si="124"/>
        <v>#NUM!</v>
      </c>
      <c r="DS151" s="60" t="e">
        <f t="shared" si="125"/>
        <v>#NUM!</v>
      </c>
      <c r="DT151" s="60">
        <f ca="1">AVERAGE(OFFSET($DS$3,0,0,'Données projet'!$E$14+1,1))-AVERAGE(OFFSET($H$3,0,0,'Données projet'!$E$14+1,1))</f>
        <v>291.18686311753402</v>
      </c>
      <c r="DU151" s="60">
        <f t="shared" si="152"/>
        <v>215.44422413249839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-1.9895196601282805E-13</v>
      </c>
      <c r="EK151" s="18">
        <f>EJ151*VLOOKUP('Données projet'!$B$15,Paramètres!$A$1:$I$89,3,0)*VLOOKUP('Données projet'!$B$15,Paramètres!$A$1:$I$89,5,0)</f>
        <v>-1.6138983482960614E-13</v>
      </c>
      <c r="EL151" s="14" t="e">
        <f t="shared" si="153"/>
        <v>#NUM!</v>
      </c>
      <c r="EM151" s="22" t="e">
        <f t="shared" si="127"/>
        <v>#NUM!</v>
      </c>
      <c r="EN151" s="60" t="e">
        <f t="shared" si="128"/>
        <v>#NUM!</v>
      </c>
      <c r="EO151" s="60">
        <f ca="1">AVERAGE(OFFSET($EN$3,0,0,'Données projet'!$E$15+1,1))-AVERAGE(OFFSET($H$3,0,0,'Données projet'!$E$15+1,1))</f>
        <v>236.22643401787644</v>
      </c>
      <c r="EP151" s="60">
        <f t="shared" si="154"/>
        <v>188.80444043778022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8">
        <f t="shared" si="110"/>
        <v>256.66666666666669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0" t="e">
        <f t="shared" si="109"/>
        <v>#NUM!</v>
      </c>
      <c r="S152" s="60">
        <f ca="1">AVERAGE(OFFSET($R$3,0,0,'Données projet'!$E$9+1,1))-AVERAGE(OFFSET($H$3,0,0,'Données projet'!$E$9+1,1))</f>
        <v>144.55635559713392</v>
      </c>
      <c r="T152" s="60">
        <f t="shared" si="142"/>
        <v>349.14692715126904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5.7731860284111987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2.7016210724777268E-19</v>
      </c>
      <c r="AC152" s="24">
        <f t="shared" si="111"/>
        <v>5.7731860284111987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290.59999999999906</v>
      </c>
      <c r="AJ152" s="14">
        <f>AI152*VLOOKUP('Données projet'!$B$10,Paramètres!$A$1:$I$89,3,0)*VLOOKUP('Données projet'!$B$10,Paramètres!$A$1:$I$89,5,0)</f>
        <v>262.93487999999911</v>
      </c>
      <c r="AK152" s="14">
        <f t="shared" si="143"/>
        <v>63.347566493432595</v>
      </c>
      <c r="AL152" s="22">
        <f t="shared" si="112"/>
        <v>568.27526097606028</v>
      </c>
      <c r="AM152" s="60">
        <f t="shared" si="113"/>
        <v>861.60859430939354</v>
      </c>
      <c r="AN152" s="60">
        <f ca="1">AVERAGE(OFFSET($AM$3,0,0,'Données projet'!$E$10+1,1))-AVERAGE(OFFSET($H$3,0,0,'Données projet'!$E$10+1,1))</f>
        <v>428.8489304403459</v>
      </c>
      <c r="AO152" s="60">
        <f t="shared" si="144"/>
        <v>247.01165577562966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2.4</v>
      </c>
      <c r="BD152" s="13">
        <f>IF('Données projet'!$A$88&gt;35,BD151+BC152-BL151,IF(A152&lt;'Données projet'!$A$88,$BA$205^A152,IF(A152='Données projet'!$A$88,'Données projet'!$B$88,BD151+BC152-BL151)))</f>
        <v>290.59999999999906</v>
      </c>
      <c r="BE152" s="14">
        <f>BD152*VLOOKUP('Données projet'!$B$11,Paramètres!$A$1:$I$89,3,0)*VLOOKUP('Données projet'!$B$11,Paramètres!$A$1:$I$89,5,0)</f>
        <v>294.66839999999905</v>
      </c>
      <c r="BF152" s="14">
        <f t="shared" si="145"/>
        <v>70.057591528661362</v>
      </c>
      <c r="BG152" s="22">
        <f t="shared" si="115"/>
        <v>635.23110191241688</v>
      </c>
      <c r="BH152" s="60">
        <f t="shared" si="116"/>
        <v>928.56443524575025</v>
      </c>
      <c r="BI152" s="60">
        <f ca="1">AVERAGE(OFFSET($BH$3,0,0,'Données projet'!$E$11+1,1))-AVERAGE(OFFSET($H$3,0,0,'Données projet'!$E$11+1,1))</f>
        <v>475.47920969424894</v>
      </c>
      <c r="BJ152" s="60">
        <f t="shared" si="146"/>
        <v>271.73544012419364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5.6843418860808015E-14</v>
      </c>
      <c r="BZ152" s="14">
        <f>BY152*VLOOKUP('Données projet'!$B$12,Paramètres!$A$1:$I$89,3,0)*VLOOKUP('Données projet'!$B$12,Paramètres!$A$1:$I$89,5,0)</f>
        <v>5.4978954722173515E-14</v>
      </c>
      <c r="CA152" s="14">
        <f t="shared" si="147"/>
        <v>8.8550225887742724E-13</v>
      </c>
      <c r="CB152" s="22">
        <f t="shared" si="118"/>
        <v>1.6380047803526383E-12</v>
      </c>
      <c r="CC152" s="60">
        <f t="shared" si="119"/>
        <v>293.33333333333496</v>
      </c>
      <c r="CD152" s="60">
        <f ca="1">AVERAGE(OFFSET($CC$3,0,0,'Données projet'!$E$12+1,1))-AVERAGE(OFFSET($H$3,0,0,'Données projet'!$E$12+1,1))</f>
        <v>255.59755832175625</v>
      </c>
      <c r="CE152" s="60">
        <f t="shared" si="148"/>
        <v>154.0840647586964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5.6843418860808015E-14</v>
      </c>
      <c r="CU152" s="18">
        <f>CT152*VLOOKUP('Données projet'!$B$13,Paramètres!$A$1:$I$89,3,0)*VLOOKUP('Données projet'!$B$13,Paramètres!$A$1:$I$89,5,0)</f>
        <v>6.1186256061773749E-14</v>
      </c>
      <c r="CV152" s="14">
        <f t="shared" si="149"/>
        <v>9.7328366192051127E-13</v>
      </c>
      <c r="CW152" s="22">
        <f t="shared" si="121"/>
        <v>1.8017017738191463E-12</v>
      </c>
      <c r="CX152" s="60">
        <f t="shared" si="122"/>
        <v>293.33333333333513</v>
      </c>
      <c r="CY152" s="60">
        <f ca="1">AVERAGE(OFFSET($CX$3,0,0,'Données projet'!$E$13+1,1))-AVERAGE(OFFSET($H$3,0,0,'Données projet'!$E$13+1,1))</f>
        <v>280.20599015000306</v>
      </c>
      <c r="CZ152" s="60">
        <f t="shared" si="150"/>
        <v>166.97658184507787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-5.6843418860808015E-14</v>
      </c>
      <c r="DP152" s="18">
        <f>DO152*VLOOKUP('Données projet'!$B$14,Paramètres!$A$1:$I$89,3,0)*VLOOKUP('Données projet'!$B$14,Paramètres!$A$1:$I$89,5,0)</f>
        <v>-3.813056537183002E-14</v>
      </c>
      <c r="DQ152" s="14" t="e">
        <f t="shared" si="151"/>
        <v>#NUM!</v>
      </c>
      <c r="DR152" s="22" t="e">
        <f t="shared" si="124"/>
        <v>#NUM!</v>
      </c>
      <c r="DS152" s="60" t="e">
        <f t="shared" si="125"/>
        <v>#NUM!</v>
      </c>
      <c r="DT152" s="60">
        <f ca="1">AVERAGE(OFFSET($DS$3,0,0,'Données projet'!$E$14+1,1))-AVERAGE(OFFSET($H$3,0,0,'Données projet'!$E$14+1,1))</f>
        <v>291.18686311753402</v>
      </c>
      <c r="DU152" s="60">
        <f t="shared" si="152"/>
        <v>215.44422413249839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-1.9895196601282805E-13</v>
      </c>
      <c r="EK152" s="18">
        <f>EJ152*VLOOKUP('Données projet'!$B$15,Paramètres!$A$1:$I$89,3,0)*VLOOKUP('Données projet'!$B$15,Paramètres!$A$1:$I$89,5,0)</f>
        <v>-1.6138983482960614E-13</v>
      </c>
      <c r="EL152" s="14" t="e">
        <f t="shared" si="153"/>
        <v>#NUM!</v>
      </c>
      <c r="EM152" s="22" t="e">
        <f t="shared" si="127"/>
        <v>#NUM!</v>
      </c>
      <c r="EN152" s="60" t="e">
        <f t="shared" si="128"/>
        <v>#NUM!</v>
      </c>
      <c r="EO152" s="60">
        <f ca="1">AVERAGE(OFFSET($EN$3,0,0,'Données projet'!$E$15+1,1))-AVERAGE(OFFSET($H$3,0,0,'Données projet'!$E$15+1,1))</f>
        <v>236.22643401787644</v>
      </c>
      <c r="EP152" s="60">
        <f t="shared" si="154"/>
        <v>188.80444043778022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8">
        <f t="shared" si="110"/>
        <v>256.66666666666669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0" t="e">
        <f t="shared" si="109"/>
        <v>#NUM!</v>
      </c>
      <c r="S153" s="60">
        <f ca="1">AVERAGE(OFFSET($R$3,0,0,'Données projet'!$E$9+1,1))-AVERAGE(OFFSET($H$3,0,0,'Données projet'!$E$9+1,1))</f>
        <v>144.55635559713392</v>
      </c>
      <c r="T153" s="60">
        <f t="shared" si="142"/>
        <v>349.14692715126904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5.6599773716898332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1.9103345805454738E-19</v>
      </c>
      <c r="AC153" s="24">
        <f t="shared" si="111"/>
        <v>5.6599773716898332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292.99999999999903</v>
      </c>
      <c r="AJ153" s="14">
        <f>AI153*VLOOKUP('Données projet'!$B$10,Paramètres!$A$1:$I$89,3,0)*VLOOKUP('Données projet'!$B$10,Paramètres!$A$1:$I$89,5,0)</f>
        <v>265.1063999999991</v>
      </c>
      <c r="AK153" s="14">
        <f t="shared" si="143"/>
        <v>63.809620899125136</v>
      </c>
      <c r="AL153" s="22">
        <f t="shared" si="112"/>
        <v>572.86206973264132</v>
      </c>
      <c r="AM153" s="60">
        <f t="shared" si="113"/>
        <v>866.19540306597469</v>
      </c>
      <c r="AN153" s="60">
        <f ca="1">AVERAGE(OFFSET($AM$3,0,0,'Données projet'!$E$10+1,1))-AVERAGE(OFFSET($H$3,0,0,'Données projet'!$E$10+1,1))</f>
        <v>428.8489304403459</v>
      </c>
      <c r="AO153" s="60">
        <f t="shared" si="144"/>
        <v>247.01165577562966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293</v>
      </c>
      <c r="BB153" s="13">
        <f>VLOOKUP(A153,'Données projet'!$A$87:$I$107,9,0)</f>
        <v>2.4</v>
      </c>
      <c r="BC153" s="13">
        <f t="array" ref="BC153">INDEX(BB:BB,MIN(IF(ISNUMBER(BB153:BB349),ROW(BB153:BB349),"")))</f>
        <v>2.4</v>
      </c>
      <c r="BD153" s="13">
        <f>IF('Données projet'!$A$88&gt;35,BD152+BC153-BL152,IF(A153&lt;'Données projet'!$A$88,$BA$205^A153,IF(A153='Données projet'!$A$88,'Données projet'!$B$88,BD152+BC153-BL152)))</f>
        <v>292.99999999999903</v>
      </c>
      <c r="BE153" s="14">
        <f>BD153*VLOOKUP('Données projet'!$B$11,Paramètres!$A$1:$I$89,3,0)*VLOOKUP('Données projet'!$B$11,Paramètres!$A$1:$I$89,5,0)</f>
        <v>297.10199999999907</v>
      </c>
      <c r="BF153" s="14">
        <f t="shared" si="145"/>
        <v>70.568588566272624</v>
      </c>
      <c r="BG153" s="22">
        <f t="shared" si="115"/>
        <v>640.3596084195899</v>
      </c>
      <c r="BH153" s="60">
        <f t="shared" si="116"/>
        <v>933.69294175292316</v>
      </c>
      <c r="BI153" s="60">
        <f ca="1">AVERAGE(OFFSET($BH$3,0,0,'Données projet'!$E$11+1,1))-AVERAGE(OFFSET($H$3,0,0,'Données projet'!$E$11+1,1))</f>
        <v>475.47920969424894</v>
      </c>
      <c r="BJ153" s="60">
        <f t="shared" si="146"/>
        <v>271.73544012419364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293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5.6843418860808015E-14</v>
      </c>
      <c r="BZ153" s="14">
        <f>BY153*VLOOKUP('Données projet'!$B$12,Paramètres!$A$1:$I$89,3,0)*VLOOKUP('Données projet'!$B$12,Paramètres!$A$1:$I$89,5,0)</f>
        <v>5.4978954722173515E-14</v>
      </c>
      <c r="CA153" s="14">
        <f t="shared" si="147"/>
        <v>8.8550225887742724E-13</v>
      </c>
      <c r="CB153" s="22">
        <f t="shared" si="118"/>
        <v>1.6380047803526383E-12</v>
      </c>
      <c r="CC153" s="60">
        <f t="shared" si="119"/>
        <v>293.33333333333496</v>
      </c>
      <c r="CD153" s="60">
        <f ca="1">AVERAGE(OFFSET($CC$3,0,0,'Données projet'!$E$12+1,1))-AVERAGE(OFFSET($H$3,0,0,'Données projet'!$E$12+1,1))</f>
        <v>255.59755832175625</v>
      </c>
      <c r="CE153" s="60">
        <f t="shared" si="148"/>
        <v>154.0840647586964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5.6843418860808015E-14</v>
      </c>
      <c r="CU153" s="18">
        <f>CT153*VLOOKUP('Données projet'!$B$13,Paramètres!$A$1:$I$89,3,0)*VLOOKUP('Données projet'!$B$13,Paramètres!$A$1:$I$89,5,0)</f>
        <v>6.1186256061773749E-14</v>
      </c>
      <c r="CV153" s="14">
        <f t="shared" si="149"/>
        <v>9.7328366192051127E-13</v>
      </c>
      <c r="CW153" s="22">
        <f t="shared" si="121"/>
        <v>1.8017017738191463E-12</v>
      </c>
      <c r="CX153" s="60">
        <f t="shared" si="122"/>
        <v>293.33333333333513</v>
      </c>
      <c r="CY153" s="60">
        <f ca="1">AVERAGE(OFFSET($CX$3,0,0,'Données projet'!$E$13+1,1))-AVERAGE(OFFSET($H$3,0,0,'Données projet'!$E$13+1,1))</f>
        <v>280.20599015000306</v>
      </c>
      <c r="CZ153" s="60">
        <f t="shared" si="150"/>
        <v>166.97658184507787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-5.6843418860808015E-14</v>
      </c>
      <c r="DP153" s="18">
        <f>DO153*VLOOKUP('Données projet'!$B$14,Paramètres!$A$1:$I$89,3,0)*VLOOKUP('Données projet'!$B$14,Paramètres!$A$1:$I$89,5,0)</f>
        <v>-3.813056537183002E-14</v>
      </c>
      <c r="DQ153" s="14" t="e">
        <f t="shared" si="151"/>
        <v>#NUM!</v>
      </c>
      <c r="DR153" s="22" t="e">
        <f t="shared" si="124"/>
        <v>#NUM!</v>
      </c>
      <c r="DS153" s="60" t="e">
        <f t="shared" si="125"/>
        <v>#NUM!</v>
      </c>
      <c r="DT153" s="60">
        <f ca="1">AVERAGE(OFFSET($DS$3,0,0,'Données projet'!$E$14+1,1))-AVERAGE(OFFSET($H$3,0,0,'Données projet'!$E$14+1,1))</f>
        <v>291.18686311753402</v>
      </c>
      <c r="DU153" s="60">
        <f t="shared" si="152"/>
        <v>215.44422413249839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-1.9895196601282805E-13</v>
      </c>
      <c r="EK153" s="18">
        <f>EJ153*VLOOKUP('Données projet'!$B$15,Paramètres!$A$1:$I$89,3,0)*VLOOKUP('Données projet'!$B$15,Paramètres!$A$1:$I$89,5,0)</f>
        <v>-1.6138983482960614E-13</v>
      </c>
      <c r="EL153" s="14" t="e">
        <f t="shared" si="153"/>
        <v>#NUM!</v>
      </c>
      <c r="EM153" s="22" t="e">
        <f t="shared" si="127"/>
        <v>#NUM!</v>
      </c>
      <c r="EN153" s="60" t="e">
        <f t="shared" si="128"/>
        <v>#NUM!</v>
      </c>
      <c r="EO153" s="60">
        <f ca="1">AVERAGE(OFFSET($EN$3,0,0,'Données projet'!$E$15+1,1))-AVERAGE(OFFSET($H$3,0,0,'Données projet'!$E$15+1,1))</f>
        <v>236.22643401787644</v>
      </c>
      <c r="EP153" s="60">
        <f t="shared" si="154"/>
        <v>188.80444043778022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8">
        <f t="shared" si="110"/>
        <v>256.66666666666669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144.55635559713392</v>
      </c>
      <c r="T154" s="60">
        <f t="shared" si="142"/>
        <v>349.14692715126904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5.5489886676763112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1.3508105362388634E-19</v>
      </c>
      <c r="AC154" s="24">
        <f t="shared" ref="AC154:AC203" si="163">SUM(Z154:AB154)</f>
        <v>5.5489886676763112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-9.6633812063373625E-13</v>
      </c>
      <c r="AJ154" s="14">
        <f>AI154*VLOOKUP('Données projet'!$B$10,Paramètres!$A$1:$I$89,3,0)*VLOOKUP('Données projet'!$B$10,Paramètres!$A$1:$I$89,5,0)</f>
        <v>-8.7434273154940449E-13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428.8489304403459</v>
      </c>
      <c r="AO154" s="60">
        <f t="shared" si="144"/>
        <v>247.01165577562966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-9.6633812063373625E-13</v>
      </c>
      <c r="BE154" s="14">
        <f>BD154*VLOOKUP('Données projet'!$B$11,Paramètres!$A$1:$I$89,3,0)*VLOOKUP('Données projet'!$B$11,Paramètres!$A$1:$I$89,5,0)</f>
        <v>-9.7986685432260874E-13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475.47920969424894</v>
      </c>
      <c r="BJ154" s="60">
        <f t="shared" si="146"/>
        <v>271.73544012419364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5.6843418860808015E-14</v>
      </c>
      <c r="BZ154" s="14">
        <f>BY154*VLOOKUP('Données projet'!$B$12,Paramètres!$A$1:$I$89,3,0)*VLOOKUP('Données projet'!$B$12,Paramètres!$A$1:$I$89,5,0)</f>
        <v>5.4978954722173515E-14</v>
      </c>
      <c r="CA154" s="14">
        <f t="shared" ref="CA154:CA203" si="170">EXP(-1.0587+0.8836*LN(BZ154)+0.284)</f>
        <v>8.8550225887742724E-13</v>
      </c>
      <c r="CB154" s="22">
        <f t="shared" ref="CB154:CB203" si="171">(BZ154+CA154)*0.475*44/12</f>
        <v>1.6380047803526383E-12</v>
      </c>
      <c r="CC154" s="60">
        <f t="shared" si="119"/>
        <v>293.33333333333496</v>
      </c>
      <c r="CD154" s="60">
        <f ca="1">AVERAGE(OFFSET($CC$3,0,0,'Données projet'!$E$12+1,1))-AVERAGE(OFFSET($H$3,0,0,'Données projet'!$E$12+1,1))</f>
        <v>255.59755832175625</v>
      </c>
      <c r="CE154" s="60">
        <f t="shared" si="148"/>
        <v>154.0840647586964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5.6843418860808015E-14</v>
      </c>
      <c r="CU154" s="18">
        <f>CT154*VLOOKUP('Données projet'!$B$13,Paramètres!$A$1:$I$89,3,0)*VLOOKUP('Données projet'!$B$13,Paramètres!$A$1:$I$89,5,0)</f>
        <v>6.1186256061773749E-14</v>
      </c>
      <c r="CV154" s="14">
        <f t="shared" ref="CV154:CV203" si="173">EXP(-1.0587+0.8836*LN(CU154)+0.284)</f>
        <v>9.7328366192051127E-13</v>
      </c>
      <c r="CW154" s="22">
        <f t="shared" ref="CW154:CW203" si="174">(CU154+CV154)*0.475*44/12</f>
        <v>1.8017017738191463E-12</v>
      </c>
      <c r="CX154" s="60">
        <f t="shared" si="122"/>
        <v>293.33333333333513</v>
      </c>
      <c r="CY154" s="60">
        <f ca="1">AVERAGE(OFFSET($CX$3,0,0,'Données projet'!$E$13+1,1))-AVERAGE(OFFSET($H$3,0,0,'Données projet'!$E$13+1,1))</f>
        <v>280.20599015000306</v>
      </c>
      <c r="CZ154" s="60">
        <f t="shared" si="150"/>
        <v>166.97658184507787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-5.6843418860808015E-14</v>
      </c>
      <c r="DP154" s="18">
        <f>DO154*VLOOKUP('Données projet'!$B$14,Paramètres!$A$1:$I$89,3,0)*VLOOKUP('Données projet'!$B$14,Paramètres!$A$1:$I$89,5,0)</f>
        <v>-3.813056537183002E-14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291.18686311753402</v>
      </c>
      <c r="DU154" s="60">
        <f t="shared" si="152"/>
        <v>215.44422413249839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-1.9895196601282805E-13</v>
      </c>
      <c r="EK154" s="18">
        <f>EJ154*VLOOKUP('Données projet'!$B$15,Paramètres!$A$1:$I$89,3,0)*VLOOKUP('Données projet'!$B$15,Paramètres!$A$1:$I$89,5,0)</f>
        <v>-1.6138983482960614E-13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0" t="e">
        <f t="shared" si="128"/>
        <v>#NUM!</v>
      </c>
      <c r="EO154" s="60">
        <f ca="1">AVERAGE(OFFSET($EN$3,0,0,'Données projet'!$E$15+1,1))-AVERAGE(OFFSET($H$3,0,0,'Données projet'!$E$15+1,1))</f>
        <v>236.22643401787644</v>
      </c>
      <c r="EP154" s="60">
        <f t="shared" si="154"/>
        <v>188.80444043778022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8">
        <f t="shared" si="110"/>
        <v>256.66666666666669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144.55635559713392</v>
      </c>
      <c r="T155" s="60">
        <f t="shared" si="142"/>
        <v>349.14692715126904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5.4401763844520694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9.551672902727369E-20</v>
      </c>
      <c r="AC155" s="24">
        <f t="shared" si="163"/>
        <v>5.4401763844520694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-9.6633812063373625E-13</v>
      </c>
      <c r="AJ155" s="14">
        <f>AI155*VLOOKUP('Données projet'!$B$10,Paramètres!$A$1:$I$89,3,0)*VLOOKUP('Données projet'!$B$10,Paramètres!$A$1:$I$89,5,0)</f>
        <v>-8.7434273154940449E-13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428.8489304403459</v>
      </c>
      <c r="AO155" s="60">
        <f t="shared" si="144"/>
        <v>247.01165577562966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-9.6633812063373625E-13</v>
      </c>
      <c r="BE155" s="14">
        <f>BD155*VLOOKUP('Données projet'!$B$11,Paramètres!$A$1:$I$89,3,0)*VLOOKUP('Données projet'!$B$11,Paramètres!$A$1:$I$89,5,0)</f>
        <v>-9.7986685432260874E-13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475.47920969424894</v>
      </c>
      <c r="BJ155" s="60">
        <f t="shared" si="146"/>
        <v>271.73544012419364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5.6843418860808015E-14</v>
      </c>
      <c r="BZ155" s="14">
        <f>BY155*VLOOKUP('Données projet'!$B$12,Paramètres!$A$1:$I$89,3,0)*VLOOKUP('Données projet'!$B$12,Paramètres!$A$1:$I$89,5,0)</f>
        <v>5.4978954722173515E-14</v>
      </c>
      <c r="CA155" s="14">
        <f t="shared" si="170"/>
        <v>8.8550225887742724E-13</v>
      </c>
      <c r="CB155" s="22">
        <f t="shared" si="171"/>
        <v>1.6380047803526383E-12</v>
      </c>
      <c r="CC155" s="60">
        <f t="shared" si="119"/>
        <v>293.33333333333496</v>
      </c>
      <c r="CD155" s="60">
        <f ca="1">AVERAGE(OFFSET($CC$3,0,0,'Données projet'!$E$12+1,1))-AVERAGE(OFFSET($H$3,0,0,'Données projet'!$E$12+1,1))</f>
        <v>255.59755832175625</v>
      </c>
      <c r="CE155" s="60">
        <f t="shared" si="148"/>
        <v>154.0840647586964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5.6843418860808015E-14</v>
      </c>
      <c r="CU155" s="18">
        <f>CT155*VLOOKUP('Données projet'!$B$13,Paramètres!$A$1:$I$89,3,0)*VLOOKUP('Données projet'!$B$13,Paramètres!$A$1:$I$89,5,0)</f>
        <v>6.1186256061773749E-14</v>
      </c>
      <c r="CV155" s="14">
        <f t="shared" si="173"/>
        <v>9.7328366192051127E-13</v>
      </c>
      <c r="CW155" s="22">
        <f t="shared" si="174"/>
        <v>1.8017017738191463E-12</v>
      </c>
      <c r="CX155" s="60">
        <f t="shared" si="122"/>
        <v>293.33333333333513</v>
      </c>
      <c r="CY155" s="60">
        <f ca="1">AVERAGE(OFFSET($CX$3,0,0,'Données projet'!$E$13+1,1))-AVERAGE(OFFSET($H$3,0,0,'Données projet'!$E$13+1,1))</f>
        <v>280.20599015000306</v>
      </c>
      <c r="CZ155" s="60">
        <f t="shared" si="150"/>
        <v>166.97658184507787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-5.6843418860808015E-14</v>
      </c>
      <c r="DP155" s="18">
        <f>DO155*VLOOKUP('Données projet'!$B$14,Paramètres!$A$1:$I$89,3,0)*VLOOKUP('Données projet'!$B$14,Paramètres!$A$1:$I$89,5,0)</f>
        <v>-3.813056537183002E-14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291.18686311753402</v>
      </c>
      <c r="DU155" s="60">
        <f t="shared" si="152"/>
        <v>215.44422413249839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-1.9895196601282805E-13</v>
      </c>
      <c r="EK155" s="18">
        <f>EJ155*VLOOKUP('Données projet'!$B$15,Paramètres!$A$1:$I$89,3,0)*VLOOKUP('Données projet'!$B$15,Paramètres!$A$1:$I$89,5,0)</f>
        <v>-1.6138983482960614E-13</v>
      </c>
      <c r="EL155" s="14" t="e">
        <f t="shared" si="179"/>
        <v>#NUM!</v>
      </c>
      <c r="EM155" s="22" t="e">
        <f t="shared" si="180"/>
        <v>#NUM!</v>
      </c>
      <c r="EN155" s="60" t="e">
        <f t="shared" si="128"/>
        <v>#NUM!</v>
      </c>
      <c r="EO155" s="60">
        <f ca="1">AVERAGE(OFFSET($EN$3,0,0,'Données projet'!$E$15+1,1))-AVERAGE(OFFSET($H$3,0,0,'Données projet'!$E$15+1,1))</f>
        <v>236.22643401787644</v>
      </c>
      <c r="EP155" s="60">
        <f t="shared" si="154"/>
        <v>188.80444043778022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8">
        <f t="shared" si="110"/>
        <v>256.66666666666669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144.55635559713392</v>
      </c>
      <c r="T156" s="60">
        <f t="shared" si="142"/>
        <v>349.14692715126904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5.3334978437329159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6.7540526811943169E-20</v>
      </c>
      <c r="AC156" s="24">
        <f t="shared" si="163"/>
        <v>5.3334978437329159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-9.6633812063373625E-13</v>
      </c>
      <c r="AJ156" s="14">
        <f>AI156*VLOOKUP('Données projet'!$B$10,Paramètres!$A$1:$I$89,3,0)*VLOOKUP('Données projet'!$B$10,Paramètres!$A$1:$I$89,5,0)</f>
        <v>-8.7434273154940449E-13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428.8489304403459</v>
      </c>
      <c r="AO156" s="60">
        <f t="shared" si="144"/>
        <v>247.01165577562966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-9.6633812063373625E-13</v>
      </c>
      <c r="BE156" s="14">
        <f>BD156*VLOOKUP('Données projet'!$B$11,Paramètres!$A$1:$I$89,3,0)*VLOOKUP('Données projet'!$B$11,Paramètres!$A$1:$I$89,5,0)</f>
        <v>-9.7986685432260874E-13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475.47920969424894</v>
      </c>
      <c r="BJ156" s="60">
        <f t="shared" si="146"/>
        <v>271.73544012419364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5.6843418860808015E-14</v>
      </c>
      <c r="BZ156" s="14">
        <f>BY156*VLOOKUP('Données projet'!$B$12,Paramètres!$A$1:$I$89,3,0)*VLOOKUP('Données projet'!$B$12,Paramètres!$A$1:$I$89,5,0)</f>
        <v>5.4978954722173515E-14</v>
      </c>
      <c r="CA156" s="14">
        <f t="shared" si="170"/>
        <v>8.8550225887742724E-13</v>
      </c>
      <c r="CB156" s="22">
        <f t="shared" si="171"/>
        <v>1.6380047803526383E-12</v>
      </c>
      <c r="CC156" s="60">
        <f t="shared" si="119"/>
        <v>293.33333333333496</v>
      </c>
      <c r="CD156" s="60">
        <f ca="1">AVERAGE(OFFSET($CC$3,0,0,'Données projet'!$E$12+1,1))-AVERAGE(OFFSET($H$3,0,0,'Données projet'!$E$12+1,1))</f>
        <v>255.59755832175625</v>
      </c>
      <c r="CE156" s="60">
        <f t="shared" si="148"/>
        <v>154.0840647586964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5.6843418860808015E-14</v>
      </c>
      <c r="CU156" s="18">
        <f>CT156*VLOOKUP('Données projet'!$B$13,Paramètres!$A$1:$I$89,3,0)*VLOOKUP('Données projet'!$B$13,Paramètres!$A$1:$I$89,5,0)</f>
        <v>6.1186256061773749E-14</v>
      </c>
      <c r="CV156" s="14">
        <f t="shared" si="173"/>
        <v>9.7328366192051127E-13</v>
      </c>
      <c r="CW156" s="22">
        <f t="shared" si="174"/>
        <v>1.8017017738191463E-12</v>
      </c>
      <c r="CX156" s="60">
        <f t="shared" si="122"/>
        <v>293.33333333333513</v>
      </c>
      <c r="CY156" s="60">
        <f ca="1">AVERAGE(OFFSET($CX$3,0,0,'Données projet'!$E$13+1,1))-AVERAGE(OFFSET($H$3,0,0,'Données projet'!$E$13+1,1))</f>
        <v>280.20599015000306</v>
      </c>
      <c r="CZ156" s="60">
        <f t="shared" si="150"/>
        <v>166.97658184507787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-5.6843418860808015E-14</v>
      </c>
      <c r="DP156" s="18">
        <f>DO156*VLOOKUP('Données projet'!$B$14,Paramètres!$A$1:$I$89,3,0)*VLOOKUP('Données projet'!$B$14,Paramètres!$A$1:$I$89,5,0)</f>
        <v>-3.813056537183002E-14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291.18686311753402</v>
      </c>
      <c r="DU156" s="60">
        <f t="shared" si="152"/>
        <v>215.44422413249839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-1.9895196601282805E-13</v>
      </c>
      <c r="EK156" s="18">
        <f>EJ156*VLOOKUP('Données projet'!$B$15,Paramètres!$A$1:$I$89,3,0)*VLOOKUP('Données projet'!$B$15,Paramètres!$A$1:$I$89,5,0)</f>
        <v>-1.6138983482960614E-13</v>
      </c>
      <c r="EL156" s="14" t="e">
        <f t="shared" si="179"/>
        <v>#NUM!</v>
      </c>
      <c r="EM156" s="22" t="e">
        <f t="shared" si="180"/>
        <v>#NUM!</v>
      </c>
      <c r="EN156" s="60" t="e">
        <f t="shared" si="128"/>
        <v>#NUM!</v>
      </c>
      <c r="EO156" s="60">
        <f ca="1">AVERAGE(OFFSET($EN$3,0,0,'Données projet'!$E$15+1,1))-AVERAGE(OFFSET($H$3,0,0,'Données projet'!$E$15+1,1))</f>
        <v>236.22643401787644</v>
      </c>
      <c r="EP156" s="60">
        <f t="shared" si="154"/>
        <v>188.80444043778022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8">
        <f t="shared" si="110"/>
        <v>256.66666666666669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144.55635559713392</v>
      </c>
      <c r="T157" s="60">
        <f t="shared" si="142"/>
        <v>349.14692715126904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5.2289112041297798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4.7758364513636845E-20</v>
      </c>
      <c r="AC157" s="24">
        <f t="shared" si="163"/>
        <v>5.2289112041297798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-9.6633812063373625E-13</v>
      </c>
      <c r="AJ157" s="14">
        <f>AI157*VLOOKUP('Données projet'!$B$10,Paramètres!$A$1:$I$89,3,0)*VLOOKUP('Données projet'!$B$10,Paramètres!$A$1:$I$89,5,0)</f>
        <v>-8.7434273154940449E-13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428.8489304403459</v>
      </c>
      <c r="AO157" s="60">
        <f t="shared" si="144"/>
        <v>247.01165577562966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-9.6633812063373625E-13</v>
      </c>
      <c r="BE157" s="14">
        <f>BD157*VLOOKUP('Données projet'!$B$11,Paramètres!$A$1:$I$89,3,0)*VLOOKUP('Données projet'!$B$11,Paramètres!$A$1:$I$89,5,0)</f>
        <v>-9.7986685432260874E-13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475.47920969424894</v>
      </c>
      <c r="BJ157" s="60">
        <f t="shared" si="146"/>
        <v>271.73544012419364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5.6843418860808015E-14</v>
      </c>
      <c r="BZ157" s="14">
        <f>BY157*VLOOKUP('Données projet'!$B$12,Paramètres!$A$1:$I$89,3,0)*VLOOKUP('Données projet'!$B$12,Paramètres!$A$1:$I$89,5,0)</f>
        <v>5.4978954722173515E-14</v>
      </c>
      <c r="CA157" s="14">
        <f t="shared" si="170"/>
        <v>8.8550225887742724E-13</v>
      </c>
      <c r="CB157" s="22">
        <f t="shared" si="171"/>
        <v>1.6380047803526383E-12</v>
      </c>
      <c r="CC157" s="60">
        <f t="shared" si="119"/>
        <v>293.33333333333496</v>
      </c>
      <c r="CD157" s="60">
        <f ca="1">AVERAGE(OFFSET($CC$3,0,0,'Données projet'!$E$12+1,1))-AVERAGE(OFFSET($H$3,0,0,'Données projet'!$E$12+1,1))</f>
        <v>255.59755832175625</v>
      </c>
      <c r="CE157" s="60">
        <f t="shared" si="148"/>
        <v>154.0840647586964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5.6843418860808015E-14</v>
      </c>
      <c r="CU157" s="18">
        <f>CT157*VLOOKUP('Données projet'!$B$13,Paramètres!$A$1:$I$89,3,0)*VLOOKUP('Données projet'!$B$13,Paramètres!$A$1:$I$89,5,0)</f>
        <v>6.1186256061773749E-14</v>
      </c>
      <c r="CV157" s="14">
        <f t="shared" si="173"/>
        <v>9.7328366192051127E-13</v>
      </c>
      <c r="CW157" s="22">
        <f t="shared" si="174"/>
        <v>1.8017017738191463E-12</v>
      </c>
      <c r="CX157" s="60">
        <f t="shared" si="122"/>
        <v>293.33333333333513</v>
      </c>
      <c r="CY157" s="60">
        <f ca="1">AVERAGE(OFFSET($CX$3,0,0,'Données projet'!$E$13+1,1))-AVERAGE(OFFSET($H$3,0,0,'Données projet'!$E$13+1,1))</f>
        <v>280.20599015000306</v>
      </c>
      <c r="CZ157" s="60">
        <f t="shared" si="150"/>
        <v>166.97658184507787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-5.6843418860808015E-14</v>
      </c>
      <c r="DP157" s="18">
        <f>DO157*VLOOKUP('Données projet'!$B$14,Paramètres!$A$1:$I$89,3,0)*VLOOKUP('Données projet'!$B$14,Paramètres!$A$1:$I$89,5,0)</f>
        <v>-3.813056537183002E-14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291.18686311753402</v>
      </c>
      <c r="DU157" s="60">
        <f t="shared" si="152"/>
        <v>215.44422413249839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-1.9895196601282805E-13</v>
      </c>
      <c r="EK157" s="18">
        <f>EJ157*VLOOKUP('Données projet'!$B$15,Paramètres!$A$1:$I$89,3,0)*VLOOKUP('Données projet'!$B$15,Paramètres!$A$1:$I$89,5,0)</f>
        <v>-1.6138983482960614E-13</v>
      </c>
      <c r="EL157" s="14" t="e">
        <f t="shared" si="179"/>
        <v>#NUM!</v>
      </c>
      <c r="EM157" s="22" t="e">
        <f t="shared" si="180"/>
        <v>#NUM!</v>
      </c>
      <c r="EN157" s="60" t="e">
        <f t="shared" si="128"/>
        <v>#NUM!</v>
      </c>
      <c r="EO157" s="60">
        <f ca="1">AVERAGE(OFFSET($EN$3,0,0,'Données projet'!$E$15+1,1))-AVERAGE(OFFSET($H$3,0,0,'Données projet'!$E$15+1,1))</f>
        <v>236.22643401787644</v>
      </c>
      <c r="EP157" s="60">
        <f t="shared" si="154"/>
        <v>188.80444043778022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8">
        <f t="shared" si="110"/>
        <v>256.66666666666669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144.55635559713392</v>
      </c>
      <c r="T158" s="60">
        <f t="shared" si="142"/>
        <v>349.14692715126904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5.1263754447377101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3.3770263405971584E-20</v>
      </c>
      <c r="AC158" s="24">
        <f t="shared" si="163"/>
        <v>5.1263754447377101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-9.6633812063373625E-13</v>
      </c>
      <c r="AJ158" s="14">
        <f>AI158*VLOOKUP('Données projet'!$B$10,Paramètres!$A$1:$I$89,3,0)*VLOOKUP('Données projet'!$B$10,Paramètres!$A$1:$I$89,5,0)</f>
        <v>-8.7434273154940449E-13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428.8489304403459</v>
      </c>
      <c r="AO158" s="60">
        <f t="shared" si="144"/>
        <v>247.01165577562966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-9.6633812063373625E-13</v>
      </c>
      <c r="BE158" s="14">
        <f>BD158*VLOOKUP('Données projet'!$B$11,Paramètres!$A$1:$I$89,3,0)*VLOOKUP('Données projet'!$B$11,Paramètres!$A$1:$I$89,5,0)</f>
        <v>-9.7986685432260874E-13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475.47920969424894</v>
      </c>
      <c r="BJ158" s="60">
        <f t="shared" si="146"/>
        <v>271.73544012419364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5.6843418860808015E-14</v>
      </c>
      <c r="BZ158" s="14">
        <f>BY158*VLOOKUP('Données projet'!$B$12,Paramètres!$A$1:$I$89,3,0)*VLOOKUP('Données projet'!$B$12,Paramètres!$A$1:$I$89,5,0)</f>
        <v>5.4978954722173515E-14</v>
      </c>
      <c r="CA158" s="14">
        <f t="shared" si="170"/>
        <v>8.8550225887742724E-13</v>
      </c>
      <c r="CB158" s="22">
        <f t="shared" si="171"/>
        <v>1.6380047803526383E-12</v>
      </c>
      <c r="CC158" s="60">
        <f t="shared" si="119"/>
        <v>293.33333333333496</v>
      </c>
      <c r="CD158" s="60">
        <f ca="1">AVERAGE(OFFSET($CC$3,0,0,'Données projet'!$E$12+1,1))-AVERAGE(OFFSET($H$3,0,0,'Données projet'!$E$12+1,1))</f>
        <v>255.59755832175625</v>
      </c>
      <c r="CE158" s="60">
        <f t="shared" si="148"/>
        <v>154.0840647586964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5.6843418860808015E-14</v>
      </c>
      <c r="CU158" s="18">
        <f>CT158*VLOOKUP('Données projet'!$B$13,Paramètres!$A$1:$I$89,3,0)*VLOOKUP('Données projet'!$B$13,Paramètres!$A$1:$I$89,5,0)</f>
        <v>6.1186256061773749E-14</v>
      </c>
      <c r="CV158" s="14">
        <f t="shared" si="173"/>
        <v>9.7328366192051127E-13</v>
      </c>
      <c r="CW158" s="22">
        <f t="shared" si="174"/>
        <v>1.8017017738191463E-12</v>
      </c>
      <c r="CX158" s="60">
        <f t="shared" si="122"/>
        <v>293.33333333333513</v>
      </c>
      <c r="CY158" s="60">
        <f ca="1">AVERAGE(OFFSET($CX$3,0,0,'Données projet'!$E$13+1,1))-AVERAGE(OFFSET($H$3,0,0,'Données projet'!$E$13+1,1))</f>
        <v>280.20599015000306</v>
      </c>
      <c r="CZ158" s="60">
        <f t="shared" si="150"/>
        <v>166.97658184507787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-5.6843418860808015E-14</v>
      </c>
      <c r="DP158" s="18">
        <f>DO158*VLOOKUP('Données projet'!$B$14,Paramètres!$A$1:$I$89,3,0)*VLOOKUP('Données projet'!$B$14,Paramètres!$A$1:$I$89,5,0)</f>
        <v>-3.813056537183002E-14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291.18686311753402</v>
      </c>
      <c r="DU158" s="60">
        <f t="shared" si="152"/>
        <v>215.44422413249839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-1.9895196601282805E-13</v>
      </c>
      <c r="EK158" s="18">
        <f>EJ158*VLOOKUP('Données projet'!$B$15,Paramètres!$A$1:$I$89,3,0)*VLOOKUP('Données projet'!$B$15,Paramètres!$A$1:$I$89,5,0)</f>
        <v>-1.6138983482960614E-13</v>
      </c>
      <c r="EL158" s="14" t="e">
        <f t="shared" si="179"/>
        <v>#NUM!</v>
      </c>
      <c r="EM158" s="22" t="e">
        <f t="shared" si="180"/>
        <v>#NUM!</v>
      </c>
      <c r="EN158" s="60" t="e">
        <f t="shared" si="128"/>
        <v>#NUM!</v>
      </c>
      <c r="EO158" s="60">
        <f ca="1">AVERAGE(OFFSET($EN$3,0,0,'Données projet'!$E$15+1,1))-AVERAGE(OFFSET($H$3,0,0,'Données projet'!$E$15+1,1))</f>
        <v>236.22643401787644</v>
      </c>
      <c r="EP158" s="60">
        <f t="shared" si="154"/>
        <v>188.80444043778022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8">
        <f t="shared" si="110"/>
        <v>256.66666666666669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144.55635559713392</v>
      </c>
      <c r="T159" s="60">
        <f t="shared" si="142"/>
        <v>349.14692715126904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5.0258503490466806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2.3879182256818422E-20</v>
      </c>
      <c r="AC159" s="24">
        <f t="shared" si="163"/>
        <v>5.0258503490466806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-9.6633812063373625E-13</v>
      </c>
      <c r="AJ159" s="14">
        <f>AI159*VLOOKUP('Données projet'!$B$10,Paramètres!$A$1:$I$89,3,0)*VLOOKUP('Données projet'!$B$10,Paramètres!$A$1:$I$89,5,0)</f>
        <v>-8.7434273154940449E-13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428.8489304403459</v>
      </c>
      <c r="AO159" s="60">
        <f t="shared" si="144"/>
        <v>247.01165577562966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-9.6633812063373625E-13</v>
      </c>
      <c r="BE159" s="14">
        <f>BD159*VLOOKUP('Données projet'!$B$11,Paramètres!$A$1:$I$89,3,0)*VLOOKUP('Données projet'!$B$11,Paramètres!$A$1:$I$89,5,0)</f>
        <v>-9.7986685432260874E-13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475.47920969424894</v>
      </c>
      <c r="BJ159" s="60">
        <f t="shared" si="146"/>
        <v>271.73544012419364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5.6843418860808015E-14</v>
      </c>
      <c r="BZ159" s="14">
        <f>BY159*VLOOKUP('Données projet'!$B$12,Paramètres!$A$1:$I$89,3,0)*VLOOKUP('Données projet'!$B$12,Paramètres!$A$1:$I$89,5,0)</f>
        <v>5.4978954722173515E-14</v>
      </c>
      <c r="CA159" s="14">
        <f t="shared" si="170"/>
        <v>8.8550225887742724E-13</v>
      </c>
      <c r="CB159" s="22">
        <f t="shared" si="171"/>
        <v>1.6380047803526383E-12</v>
      </c>
      <c r="CC159" s="60">
        <f t="shared" si="119"/>
        <v>293.33333333333496</v>
      </c>
      <c r="CD159" s="60">
        <f ca="1">AVERAGE(OFFSET($CC$3,0,0,'Données projet'!$E$12+1,1))-AVERAGE(OFFSET($H$3,0,0,'Données projet'!$E$12+1,1))</f>
        <v>255.59755832175625</v>
      </c>
      <c r="CE159" s="60">
        <f t="shared" si="148"/>
        <v>154.0840647586964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5.6843418860808015E-14</v>
      </c>
      <c r="CU159" s="18">
        <f>CT159*VLOOKUP('Données projet'!$B$13,Paramètres!$A$1:$I$89,3,0)*VLOOKUP('Données projet'!$B$13,Paramètres!$A$1:$I$89,5,0)</f>
        <v>6.1186256061773749E-14</v>
      </c>
      <c r="CV159" s="14">
        <f t="shared" si="173"/>
        <v>9.7328366192051127E-13</v>
      </c>
      <c r="CW159" s="22">
        <f t="shared" si="174"/>
        <v>1.8017017738191463E-12</v>
      </c>
      <c r="CX159" s="60">
        <f t="shared" si="122"/>
        <v>293.33333333333513</v>
      </c>
      <c r="CY159" s="60">
        <f ca="1">AVERAGE(OFFSET($CX$3,0,0,'Données projet'!$E$13+1,1))-AVERAGE(OFFSET($H$3,0,0,'Données projet'!$E$13+1,1))</f>
        <v>280.20599015000306</v>
      </c>
      <c r="CZ159" s="60">
        <f t="shared" si="150"/>
        <v>166.97658184507787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-5.6843418860808015E-14</v>
      </c>
      <c r="DP159" s="18">
        <f>DO159*VLOOKUP('Données projet'!$B$14,Paramètres!$A$1:$I$89,3,0)*VLOOKUP('Données projet'!$B$14,Paramètres!$A$1:$I$89,5,0)</f>
        <v>-3.813056537183002E-14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291.18686311753402</v>
      </c>
      <c r="DU159" s="60">
        <f t="shared" si="152"/>
        <v>215.44422413249839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-1.9895196601282805E-13</v>
      </c>
      <c r="EK159" s="18">
        <f>EJ159*VLOOKUP('Données projet'!$B$15,Paramètres!$A$1:$I$89,3,0)*VLOOKUP('Données projet'!$B$15,Paramètres!$A$1:$I$89,5,0)</f>
        <v>-1.6138983482960614E-13</v>
      </c>
      <c r="EL159" s="14" t="e">
        <f t="shared" si="179"/>
        <v>#NUM!</v>
      </c>
      <c r="EM159" s="22" t="e">
        <f t="shared" si="180"/>
        <v>#NUM!</v>
      </c>
      <c r="EN159" s="60" t="e">
        <f t="shared" si="128"/>
        <v>#NUM!</v>
      </c>
      <c r="EO159" s="60">
        <f ca="1">AVERAGE(OFFSET($EN$3,0,0,'Données projet'!$E$15+1,1))-AVERAGE(OFFSET($H$3,0,0,'Données projet'!$E$15+1,1))</f>
        <v>236.22643401787644</v>
      </c>
      <c r="EP159" s="60">
        <f t="shared" si="154"/>
        <v>188.80444043778022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8">
        <f t="shared" si="110"/>
        <v>256.66666666666669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144.55635559713392</v>
      </c>
      <c r="T160" s="60">
        <f t="shared" si="142"/>
        <v>349.14692715126904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4.9272964891678983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1.6885131702985792E-20</v>
      </c>
      <c r="AC160" s="24">
        <f t="shared" si="163"/>
        <v>4.9272964891678983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-9.6633812063373625E-13</v>
      </c>
      <c r="AJ160" s="14">
        <f>AI160*VLOOKUP('Données projet'!$B$10,Paramètres!$A$1:$I$89,3,0)*VLOOKUP('Données projet'!$B$10,Paramètres!$A$1:$I$89,5,0)</f>
        <v>-8.7434273154940449E-13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428.8489304403459</v>
      </c>
      <c r="AO160" s="60">
        <f t="shared" si="144"/>
        <v>247.01165577562966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-9.6633812063373625E-13</v>
      </c>
      <c r="BE160" s="14">
        <f>BD160*VLOOKUP('Données projet'!$B$11,Paramètres!$A$1:$I$89,3,0)*VLOOKUP('Données projet'!$B$11,Paramètres!$A$1:$I$89,5,0)</f>
        <v>-9.7986685432260874E-13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475.47920969424894</v>
      </c>
      <c r="BJ160" s="60">
        <f t="shared" si="146"/>
        <v>271.73544012419364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5.6843418860808015E-14</v>
      </c>
      <c r="BZ160" s="14">
        <f>BY160*VLOOKUP('Données projet'!$B$12,Paramètres!$A$1:$I$89,3,0)*VLOOKUP('Données projet'!$B$12,Paramètres!$A$1:$I$89,5,0)</f>
        <v>5.4978954722173515E-14</v>
      </c>
      <c r="CA160" s="14">
        <f t="shared" si="170"/>
        <v>8.8550225887742724E-13</v>
      </c>
      <c r="CB160" s="22">
        <f t="shared" si="171"/>
        <v>1.6380047803526383E-12</v>
      </c>
      <c r="CC160" s="60">
        <f t="shared" si="119"/>
        <v>293.33333333333496</v>
      </c>
      <c r="CD160" s="60">
        <f ca="1">AVERAGE(OFFSET($CC$3,0,0,'Données projet'!$E$12+1,1))-AVERAGE(OFFSET($H$3,0,0,'Données projet'!$E$12+1,1))</f>
        <v>255.59755832175625</v>
      </c>
      <c r="CE160" s="60">
        <f t="shared" si="148"/>
        <v>154.0840647586964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5.6843418860808015E-14</v>
      </c>
      <c r="CU160" s="18">
        <f>CT160*VLOOKUP('Données projet'!$B$13,Paramètres!$A$1:$I$89,3,0)*VLOOKUP('Données projet'!$B$13,Paramètres!$A$1:$I$89,5,0)</f>
        <v>6.1186256061773749E-14</v>
      </c>
      <c r="CV160" s="14">
        <f t="shared" si="173"/>
        <v>9.7328366192051127E-13</v>
      </c>
      <c r="CW160" s="22">
        <f t="shared" si="174"/>
        <v>1.8017017738191463E-12</v>
      </c>
      <c r="CX160" s="60">
        <f t="shared" si="122"/>
        <v>293.33333333333513</v>
      </c>
      <c r="CY160" s="60">
        <f ca="1">AVERAGE(OFFSET($CX$3,0,0,'Données projet'!$E$13+1,1))-AVERAGE(OFFSET($H$3,0,0,'Données projet'!$E$13+1,1))</f>
        <v>280.20599015000306</v>
      </c>
      <c r="CZ160" s="60">
        <f t="shared" si="150"/>
        <v>166.97658184507787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-5.6843418860808015E-14</v>
      </c>
      <c r="DP160" s="18">
        <f>DO160*VLOOKUP('Données projet'!$B$14,Paramètres!$A$1:$I$89,3,0)*VLOOKUP('Données projet'!$B$14,Paramètres!$A$1:$I$89,5,0)</f>
        <v>-3.813056537183002E-14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291.18686311753402</v>
      </c>
      <c r="DU160" s="60">
        <f t="shared" si="152"/>
        <v>215.44422413249839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-1.9895196601282805E-13</v>
      </c>
      <c r="EK160" s="18">
        <f>EJ160*VLOOKUP('Données projet'!$B$15,Paramètres!$A$1:$I$89,3,0)*VLOOKUP('Données projet'!$B$15,Paramètres!$A$1:$I$89,5,0)</f>
        <v>-1.6138983482960614E-13</v>
      </c>
      <c r="EL160" s="14" t="e">
        <f t="shared" si="179"/>
        <v>#NUM!</v>
      </c>
      <c r="EM160" s="22" t="e">
        <f t="shared" si="180"/>
        <v>#NUM!</v>
      </c>
      <c r="EN160" s="60" t="e">
        <f t="shared" si="128"/>
        <v>#NUM!</v>
      </c>
      <c r="EO160" s="60">
        <f ca="1">AVERAGE(OFFSET($EN$3,0,0,'Données projet'!$E$15+1,1))-AVERAGE(OFFSET($H$3,0,0,'Données projet'!$E$15+1,1))</f>
        <v>236.22643401787644</v>
      </c>
      <c r="EP160" s="60">
        <f t="shared" si="154"/>
        <v>188.80444043778022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8">
        <f t="shared" si="110"/>
        <v>256.66666666666669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144.55635559713392</v>
      </c>
      <c r="T161" s="60">
        <f t="shared" si="142"/>
        <v>349.14692715126904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4.8306752103694199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1.1939591128409211E-20</v>
      </c>
      <c r="AC161" s="24">
        <f t="shared" si="163"/>
        <v>4.8306752103694199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-9.6633812063373625E-13</v>
      </c>
      <c r="AJ161" s="14">
        <f>AI161*VLOOKUP('Données projet'!$B$10,Paramètres!$A$1:$I$89,3,0)*VLOOKUP('Données projet'!$B$10,Paramètres!$A$1:$I$89,5,0)</f>
        <v>-8.7434273154940449E-13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428.8489304403459</v>
      </c>
      <c r="AO161" s="60">
        <f t="shared" si="144"/>
        <v>247.01165577562966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-9.6633812063373625E-13</v>
      </c>
      <c r="BE161" s="14">
        <f>BD161*VLOOKUP('Données projet'!$B$11,Paramètres!$A$1:$I$89,3,0)*VLOOKUP('Données projet'!$B$11,Paramètres!$A$1:$I$89,5,0)</f>
        <v>-9.7986685432260874E-13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475.47920969424894</v>
      </c>
      <c r="BJ161" s="60">
        <f t="shared" si="146"/>
        <v>271.73544012419364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5.6843418860808015E-14</v>
      </c>
      <c r="BZ161" s="14">
        <f>BY161*VLOOKUP('Données projet'!$B$12,Paramètres!$A$1:$I$89,3,0)*VLOOKUP('Données projet'!$B$12,Paramètres!$A$1:$I$89,5,0)</f>
        <v>5.4978954722173515E-14</v>
      </c>
      <c r="CA161" s="14">
        <f t="shared" si="170"/>
        <v>8.8550225887742724E-13</v>
      </c>
      <c r="CB161" s="22">
        <f t="shared" si="171"/>
        <v>1.6380047803526383E-12</v>
      </c>
      <c r="CC161" s="60">
        <f t="shared" si="119"/>
        <v>293.33333333333496</v>
      </c>
      <c r="CD161" s="60">
        <f ca="1">AVERAGE(OFFSET($CC$3,0,0,'Données projet'!$E$12+1,1))-AVERAGE(OFFSET($H$3,0,0,'Données projet'!$E$12+1,1))</f>
        <v>255.59755832175625</v>
      </c>
      <c r="CE161" s="60">
        <f t="shared" si="148"/>
        <v>154.0840647586964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5.6843418860808015E-14</v>
      </c>
      <c r="CU161" s="18">
        <f>CT161*VLOOKUP('Données projet'!$B$13,Paramètres!$A$1:$I$89,3,0)*VLOOKUP('Données projet'!$B$13,Paramètres!$A$1:$I$89,5,0)</f>
        <v>6.1186256061773749E-14</v>
      </c>
      <c r="CV161" s="14">
        <f t="shared" si="173"/>
        <v>9.7328366192051127E-13</v>
      </c>
      <c r="CW161" s="22">
        <f t="shared" si="174"/>
        <v>1.8017017738191463E-12</v>
      </c>
      <c r="CX161" s="60">
        <f t="shared" si="122"/>
        <v>293.33333333333513</v>
      </c>
      <c r="CY161" s="60">
        <f ca="1">AVERAGE(OFFSET($CX$3,0,0,'Données projet'!$E$13+1,1))-AVERAGE(OFFSET($H$3,0,0,'Données projet'!$E$13+1,1))</f>
        <v>280.20599015000306</v>
      </c>
      <c r="CZ161" s="60">
        <f t="shared" si="150"/>
        <v>166.97658184507787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-5.6843418860808015E-14</v>
      </c>
      <c r="DP161" s="18">
        <f>DO161*VLOOKUP('Données projet'!$B$14,Paramètres!$A$1:$I$89,3,0)*VLOOKUP('Données projet'!$B$14,Paramètres!$A$1:$I$89,5,0)</f>
        <v>-3.813056537183002E-14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291.18686311753402</v>
      </c>
      <c r="DU161" s="60">
        <f t="shared" si="152"/>
        <v>215.44422413249839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-1.9895196601282805E-13</v>
      </c>
      <c r="EK161" s="18">
        <f>EJ161*VLOOKUP('Données projet'!$B$15,Paramètres!$A$1:$I$89,3,0)*VLOOKUP('Données projet'!$B$15,Paramètres!$A$1:$I$89,5,0)</f>
        <v>-1.6138983482960614E-13</v>
      </c>
      <c r="EL161" s="14" t="e">
        <f t="shared" si="179"/>
        <v>#NUM!</v>
      </c>
      <c r="EM161" s="22" t="e">
        <f t="shared" si="180"/>
        <v>#NUM!</v>
      </c>
      <c r="EN161" s="60" t="e">
        <f t="shared" si="128"/>
        <v>#NUM!</v>
      </c>
      <c r="EO161" s="60">
        <f ca="1">AVERAGE(OFFSET($EN$3,0,0,'Données projet'!$E$15+1,1))-AVERAGE(OFFSET($H$3,0,0,'Données projet'!$E$15+1,1))</f>
        <v>236.22643401787644</v>
      </c>
      <c r="EP161" s="60">
        <f t="shared" si="154"/>
        <v>188.80444043778022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8">
        <f t="shared" si="110"/>
        <v>256.66666666666669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144.55635559713392</v>
      </c>
      <c r="T162" s="60">
        <f t="shared" si="142"/>
        <v>349.14692715126904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4.735948615915019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8.4425658514928961E-21</v>
      </c>
      <c r="AC162" s="24">
        <f t="shared" si="163"/>
        <v>4.735948615915019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-9.6633812063373625E-13</v>
      </c>
      <c r="AJ162" s="14">
        <f>AI162*VLOOKUP('Données projet'!$B$10,Paramètres!$A$1:$I$89,3,0)*VLOOKUP('Données projet'!$B$10,Paramètres!$A$1:$I$89,5,0)</f>
        <v>-8.7434273154940449E-13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428.8489304403459</v>
      </c>
      <c r="AO162" s="60">
        <f t="shared" si="144"/>
        <v>247.01165577562966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-9.6633812063373625E-13</v>
      </c>
      <c r="BE162" s="14">
        <f>BD162*VLOOKUP('Données projet'!$B$11,Paramètres!$A$1:$I$89,3,0)*VLOOKUP('Données projet'!$B$11,Paramètres!$A$1:$I$89,5,0)</f>
        <v>-9.7986685432260874E-13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475.47920969424894</v>
      </c>
      <c r="BJ162" s="60">
        <f t="shared" si="146"/>
        <v>271.73544012419364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5.6843418860808015E-14</v>
      </c>
      <c r="BZ162" s="14">
        <f>BY162*VLOOKUP('Données projet'!$B$12,Paramètres!$A$1:$I$89,3,0)*VLOOKUP('Données projet'!$B$12,Paramètres!$A$1:$I$89,5,0)</f>
        <v>5.4978954722173515E-14</v>
      </c>
      <c r="CA162" s="14">
        <f t="shared" si="170"/>
        <v>8.8550225887742724E-13</v>
      </c>
      <c r="CB162" s="22">
        <f t="shared" si="171"/>
        <v>1.6380047803526383E-12</v>
      </c>
      <c r="CC162" s="60">
        <f t="shared" si="119"/>
        <v>293.33333333333496</v>
      </c>
      <c r="CD162" s="60">
        <f ca="1">AVERAGE(OFFSET($CC$3,0,0,'Données projet'!$E$12+1,1))-AVERAGE(OFFSET($H$3,0,0,'Données projet'!$E$12+1,1))</f>
        <v>255.59755832175625</v>
      </c>
      <c r="CE162" s="60">
        <f t="shared" si="148"/>
        <v>154.0840647586964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5.6843418860808015E-14</v>
      </c>
      <c r="CU162" s="18">
        <f>CT162*VLOOKUP('Données projet'!$B$13,Paramètres!$A$1:$I$89,3,0)*VLOOKUP('Données projet'!$B$13,Paramètres!$A$1:$I$89,5,0)</f>
        <v>6.1186256061773749E-14</v>
      </c>
      <c r="CV162" s="14">
        <f t="shared" si="173"/>
        <v>9.7328366192051127E-13</v>
      </c>
      <c r="CW162" s="22">
        <f t="shared" si="174"/>
        <v>1.8017017738191463E-12</v>
      </c>
      <c r="CX162" s="60">
        <f t="shared" si="122"/>
        <v>293.33333333333513</v>
      </c>
      <c r="CY162" s="60">
        <f ca="1">AVERAGE(OFFSET($CX$3,0,0,'Données projet'!$E$13+1,1))-AVERAGE(OFFSET($H$3,0,0,'Données projet'!$E$13+1,1))</f>
        <v>280.20599015000306</v>
      </c>
      <c r="CZ162" s="60">
        <f t="shared" si="150"/>
        <v>166.97658184507787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-5.6843418860808015E-14</v>
      </c>
      <c r="DP162" s="18">
        <f>DO162*VLOOKUP('Données projet'!$B$14,Paramètres!$A$1:$I$89,3,0)*VLOOKUP('Données projet'!$B$14,Paramètres!$A$1:$I$89,5,0)</f>
        <v>-3.813056537183002E-14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291.18686311753402</v>
      </c>
      <c r="DU162" s="60">
        <f t="shared" si="152"/>
        <v>215.44422413249839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-1.9895196601282805E-13</v>
      </c>
      <c r="EK162" s="18">
        <f>EJ162*VLOOKUP('Données projet'!$B$15,Paramètres!$A$1:$I$89,3,0)*VLOOKUP('Données projet'!$B$15,Paramètres!$A$1:$I$89,5,0)</f>
        <v>-1.6138983482960614E-13</v>
      </c>
      <c r="EL162" s="14" t="e">
        <f t="shared" si="179"/>
        <v>#NUM!</v>
      </c>
      <c r="EM162" s="22" t="e">
        <f t="shared" si="180"/>
        <v>#NUM!</v>
      </c>
      <c r="EN162" s="60" t="e">
        <f t="shared" si="128"/>
        <v>#NUM!</v>
      </c>
      <c r="EO162" s="60">
        <f ca="1">AVERAGE(OFFSET($EN$3,0,0,'Données projet'!$E$15+1,1))-AVERAGE(OFFSET($H$3,0,0,'Données projet'!$E$15+1,1))</f>
        <v>236.22643401787644</v>
      </c>
      <c r="EP162" s="60">
        <f t="shared" si="154"/>
        <v>188.80444043778022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8">
        <f t="shared" si="110"/>
        <v>256.66666666666669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144.55635559713392</v>
      </c>
      <c r="T163" s="60">
        <f t="shared" si="142"/>
        <v>349.14692715126904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4.6430795522003514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5.9697955642046056E-21</v>
      </c>
      <c r="AC163" s="24">
        <f t="shared" si="163"/>
        <v>4.6430795522003514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-9.6633812063373625E-13</v>
      </c>
      <c r="AJ163" s="14">
        <f>AI163*VLOOKUP('Données projet'!$B$10,Paramètres!$A$1:$I$89,3,0)*VLOOKUP('Données projet'!$B$10,Paramètres!$A$1:$I$89,5,0)</f>
        <v>-8.7434273154940449E-13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428.8489304403459</v>
      </c>
      <c r="AO163" s="60">
        <f t="shared" si="144"/>
        <v>247.01165577562966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-9.6633812063373625E-13</v>
      </c>
      <c r="BE163" s="14">
        <f>BD163*VLOOKUP('Données projet'!$B$11,Paramètres!$A$1:$I$89,3,0)*VLOOKUP('Données projet'!$B$11,Paramètres!$A$1:$I$89,5,0)</f>
        <v>-9.7986685432260874E-13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475.47920969424894</v>
      </c>
      <c r="BJ163" s="60">
        <f t="shared" si="146"/>
        <v>271.73544012419364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5.6843418860808015E-14</v>
      </c>
      <c r="BZ163" s="14">
        <f>BY163*VLOOKUP('Données projet'!$B$12,Paramètres!$A$1:$I$89,3,0)*VLOOKUP('Données projet'!$B$12,Paramètres!$A$1:$I$89,5,0)</f>
        <v>5.4978954722173515E-14</v>
      </c>
      <c r="CA163" s="14">
        <f t="shared" si="170"/>
        <v>8.8550225887742724E-13</v>
      </c>
      <c r="CB163" s="22">
        <f t="shared" si="171"/>
        <v>1.6380047803526383E-12</v>
      </c>
      <c r="CC163" s="60">
        <f t="shared" si="119"/>
        <v>293.33333333333496</v>
      </c>
      <c r="CD163" s="60">
        <f ca="1">AVERAGE(OFFSET($CC$3,0,0,'Données projet'!$E$12+1,1))-AVERAGE(OFFSET($H$3,0,0,'Données projet'!$E$12+1,1))</f>
        <v>255.59755832175625</v>
      </c>
      <c r="CE163" s="60">
        <f t="shared" si="148"/>
        <v>154.0840647586964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5.6843418860808015E-14</v>
      </c>
      <c r="CU163" s="18">
        <f>CT163*VLOOKUP('Données projet'!$B$13,Paramètres!$A$1:$I$89,3,0)*VLOOKUP('Données projet'!$B$13,Paramètres!$A$1:$I$89,5,0)</f>
        <v>6.1186256061773749E-14</v>
      </c>
      <c r="CV163" s="14">
        <f t="shared" si="173"/>
        <v>9.7328366192051127E-13</v>
      </c>
      <c r="CW163" s="22">
        <f t="shared" si="174"/>
        <v>1.8017017738191463E-12</v>
      </c>
      <c r="CX163" s="60">
        <f t="shared" si="122"/>
        <v>293.33333333333513</v>
      </c>
      <c r="CY163" s="60">
        <f ca="1">AVERAGE(OFFSET($CX$3,0,0,'Données projet'!$E$13+1,1))-AVERAGE(OFFSET($H$3,0,0,'Données projet'!$E$13+1,1))</f>
        <v>280.20599015000306</v>
      </c>
      <c r="CZ163" s="60">
        <f t="shared" si="150"/>
        <v>166.97658184507787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-5.6843418860808015E-14</v>
      </c>
      <c r="DP163" s="18">
        <f>DO163*VLOOKUP('Données projet'!$B$14,Paramètres!$A$1:$I$89,3,0)*VLOOKUP('Données projet'!$B$14,Paramètres!$A$1:$I$89,5,0)</f>
        <v>-3.813056537183002E-14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291.18686311753402</v>
      </c>
      <c r="DU163" s="60">
        <f t="shared" si="152"/>
        <v>215.44422413249839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-1.9895196601282805E-13</v>
      </c>
      <c r="EK163" s="18">
        <f>EJ163*VLOOKUP('Données projet'!$B$15,Paramètres!$A$1:$I$89,3,0)*VLOOKUP('Données projet'!$B$15,Paramètres!$A$1:$I$89,5,0)</f>
        <v>-1.6138983482960614E-13</v>
      </c>
      <c r="EL163" s="14" t="e">
        <f t="shared" si="179"/>
        <v>#NUM!</v>
      </c>
      <c r="EM163" s="22" t="e">
        <f t="shared" si="180"/>
        <v>#NUM!</v>
      </c>
      <c r="EN163" s="60" t="e">
        <f t="shared" si="128"/>
        <v>#NUM!</v>
      </c>
      <c r="EO163" s="60">
        <f ca="1">AVERAGE(OFFSET($EN$3,0,0,'Données projet'!$E$15+1,1))-AVERAGE(OFFSET($H$3,0,0,'Données projet'!$E$15+1,1))</f>
        <v>236.22643401787644</v>
      </c>
      <c r="EP163" s="60">
        <f t="shared" si="154"/>
        <v>188.80444043778022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8">
        <f t="shared" si="110"/>
        <v>256.66666666666669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144.55635559713392</v>
      </c>
      <c r="T164" s="60">
        <f t="shared" si="142"/>
        <v>349.14692715126904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4.5520315941805931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4.2212829257464481E-21</v>
      </c>
      <c r="AC164" s="24">
        <f t="shared" si="163"/>
        <v>4.5520315941805931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-9.6633812063373625E-13</v>
      </c>
      <c r="AJ164" s="14">
        <f>AI164*VLOOKUP('Données projet'!$B$10,Paramètres!$A$1:$I$89,3,0)*VLOOKUP('Données projet'!$B$10,Paramètres!$A$1:$I$89,5,0)</f>
        <v>-8.7434273154940449E-13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428.8489304403459</v>
      </c>
      <c r="AO164" s="60">
        <f t="shared" si="144"/>
        <v>247.01165577562966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-9.6633812063373625E-13</v>
      </c>
      <c r="BE164" s="14">
        <f>BD164*VLOOKUP('Données projet'!$B$11,Paramètres!$A$1:$I$89,3,0)*VLOOKUP('Données projet'!$B$11,Paramètres!$A$1:$I$89,5,0)</f>
        <v>-9.7986685432260874E-13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475.47920969424894</v>
      </c>
      <c r="BJ164" s="60">
        <f t="shared" si="146"/>
        <v>271.73544012419364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5.6843418860808015E-14</v>
      </c>
      <c r="BZ164" s="14">
        <f>BY164*VLOOKUP('Données projet'!$B$12,Paramètres!$A$1:$I$89,3,0)*VLOOKUP('Données projet'!$B$12,Paramètres!$A$1:$I$89,5,0)</f>
        <v>5.4978954722173515E-14</v>
      </c>
      <c r="CA164" s="14">
        <f t="shared" si="170"/>
        <v>8.8550225887742724E-13</v>
      </c>
      <c r="CB164" s="22">
        <f t="shared" si="171"/>
        <v>1.6380047803526383E-12</v>
      </c>
      <c r="CC164" s="60">
        <f t="shared" si="119"/>
        <v>293.33333333333496</v>
      </c>
      <c r="CD164" s="60">
        <f ca="1">AVERAGE(OFFSET($CC$3,0,0,'Données projet'!$E$12+1,1))-AVERAGE(OFFSET($H$3,0,0,'Données projet'!$E$12+1,1))</f>
        <v>255.59755832175625</v>
      </c>
      <c r="CE164" s="60">
        <f t="shared" si="148"/>
        <v>154.0840647586964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5.6843418860808015E-14</v>
      </c>
      <c r="CU164" s="18">
        <f>CT164*VLOOKUP('Données projet'!$B$13,Paramètres!$A$1:$I$89,3,0)*VLOOKUP('Données projet'!$B$13,Paramètres!$A$1:$I$89,5,0)</f>
        <v>6.1186256061773749E-14</v>
      </c>
      <c r="CV164" s="14">
        <f t="shared" si="173"/>
        <v>9.7328366192051127E-13</v>
      </c>
      <c r="CW164" s="22">
        <f t="shared" si="174"/>
        <v>1.8017017738191463E-12</v>
      </c>
      <c r="CX164" s="60">
        <f t="shared" si="122"/>
        <v>293.33333333333513</v>
      </c>
      <c r="CY164" s="60">
        <f ca="1">AVERAGE(OFFSET($CX$3,0,0,'Données projet'!$E$13+1,1))-AVERAGE(OFFSET($H$3,0,0,'Données projet'!$E$13+1,1))</f>
        <v>280.20599015000306</v>
      </c>
      <c r="CZ164" s="60">
        <f t="shared" si="150"/>
        <v>166.97658184507787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-5.6843418860808015E-14</v>
      </c>
      <c r="DP164" s="18">
        <f>DO164*VLOOKUP('Données projet'!$B$14,Paramètres!$A$1:$I$89,3,0)*VLOOKUP('Données projet'!$B$14,Paramètres!$A$1:$I$89,5,0)</f>
        <v>-3.813056537183002E-14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291.18686311753402</v>
      </c>
      <c r="DU164" s="60">
        <f t="shared" si="152"/>
        <v>215.44422413249839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-1.9895196601282805E-13</v>
      </c>
      <c r="EK164" s="18">
        <f>EJ164*VLOOKUP('Données projet'!$B$15,Paramètres!$A$1:$I$89,3,0)*VLOOKUP('Données projet'!$B$15,Paramètres!$A$1:$I$89,5,0)</f>
        <v>-1.6138983482960614E-13</v>
      </c>
      <c r="EL164" s="14" t="e">
        <f t="shared" si="179"/>
        <v>#NUM!</v>
      </c>
      <c r="EM164" s="22" t="e">
        <f t="shared" si="180"/>
        <v>#NUM!</v>
      </c>
      <c r="EN164" s="60" t="e">
        <f t="shared" si="128"/>
        <v>#NUM!</v>
      </c>
      <c r="EO164" s="60">
        <f ca="1">AVERAGE(OFFSET($EN$3,0,0,'Données projet'!$E$15+1,1))-AVERAGE(OFFSET($H$3,0,0,'Données projet'!$E$15+1,1))</f>
        <v>236.22643401787644</v>
      </c>
      <c r="EP164" s="60">
        <f t="shared" si="154"/>
        <v>188.80444043778022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8">
        <f t="shared" si="110"/>
        <v>256.66666666666669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144.55635559713392</v>
      </c>
      <c r="T165" s="60">
        <f t="shared" si="142"/>
        <v>349.14692715126904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4.4627690310838313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2.9848977821023028E-21</v>
      </c>
      <c r="AC165" s="24">
        <f t="shared" si="163"/>
        <v>4.4627690310838313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-9.6633812063373625E-13</v>
      </c>
      <c r="AJ165" s="14">
        <f>AI165*VLOOKUP('Données projet'!$B$10,Paramètres!$A$1:$I$89,3,0)*VLOOKUP('Données projet'!$B$10,Paramètres!$A$1:$I$89,5,0)</f>
        <v>-8.7434273154940449E-13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428.8489304403459</v>
      </c>
      <c r="AO165" s="60">
        <f t="shared" si="144"/>
        <v>247.01165577562966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-9.6633812063373625E-13</v>
      </c>
      <c r="BE165" s="14">
        <f>BD165*VLOOKUP('Données projet'!$B$11,Paramètres!$A$1:$I$89,3,0)*VLOOKUP('Données projet'!$B$11,Paramètres!$A$1:$I$89,5,0)</f>
        <v>-9.7986685432260874E-13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475.47920969424894</v>
      </c>
      <c r="BJ165" s="60">
        <f t="shared" si="146"/>
        <v>271.73544012419364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5.6843418860808015E-14</v>
      </c>
      <c r="BZ165" s="14">
        <f>BY165*VLOOKUP('Données projet'!$B$12,Paramètres!$A$1:$I$89,3,0)*VLOOKUP('Données projet'!$B$12,Paramètres!$A$1:$I$89,5,0)</f>
        <v>5.4978954722173515E-14</v>
      </c>
      <c r="CA165" s="14">
        <f t="shared" si="170"/>
        <v>8.8550225887742724E-13</v>
      </c>
      <c r="CB165" s="22">
        <f t="shared" si="171"/>
        <v>1.6380047803526383E-12</v>
      </c>
      <c r="CC165" s="60">
        <f t="shared" si="119"/>
        <v>293.33333333333496</v>
      </c>
      <c r="CD165" s="60">
        <f ca="1">AVERAGE(OFFSET($CC$3,0,0,'Données projet'!$E$12+1,1))-AVERAGE(OFFSET($H$3,0,0,'Données projet'!$E$12+1,1))</f>
        <v>255.59755832175625</v>
      </c>
      <c r="CE165" s="60">
        <f t="shared" si="148"/>
        <v>154.0840647586964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5.6843418860808015E-14</v>
      </c>
      <c r="CU165" s="18">
        <f>CT165*VLOOKUP('Données projet'!$B$13,Paramètres!$A$1:$I$89,3,0)*VLOOKUP('Données projet'!$B$13,Paramètres!$A$1:$I$89,5,0)</f>
        <v>6.1186256061773749E-14</v>
      </c>
      <c r="CV165" s="14">
        <f t="shared" si="173"/>
        <v>9.7328366192051127E-13</v>
      </c>
      <c r="CW165" s="22">
        <f t="shared" si="174"/>
        <v>1.8017017738191463E-12</v>
      </c>
      <c r="CX165" s="60">
        <f t="shared" si="122"/>
        <v>293.33333333333513</v>
      </c>
      <c r="CY165" s="60">
        <f ca="1">AVERAGE(OFFSET($CX$3,0,0,'Données projet'!$E$13+1,1))-AVERAGE(OFFSET($H$3,0,0,'Données projet'!$E$13+1,1))</f>
        <v>280.20599015000306</v>
      </c>
      <c r="CZ165" s="60">
        <f t="shared" si="150"/>
        <v>166.97658184507787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-5.6843418860808015E-14</v>
      </c>
      <c r="DP165" s="18">
        <f>DO165*VLOOKUP('Données projet'!$B$14,Paramètres!$A$1:$I$89,3,0)*VLOOKUP('Données projet'!$B$14,Paramètres!$A$1:$I$89,5,0)</f>
        <v>-3.813056537183002E-14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291.18686311753402</v>
      </c>
      <c r="DU165" s="60">
        <f t="shared" si="152"/>
        <v>215.44422413249839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-1.9895196601282805E-13</v>
      </c>
      <c r="EK165" s="18">
        <f>EJ165*VLOOKUP('Données projet'!$B$15,Paramètres!$A$1:$I$89,3,0)*VLOOKUP('Données projet'!$B$15,Paramètres!$A$1:$I$89,5,0)</f>
        <v>-1.6138983482960614E-13</v>
      </c>
      <c r="EL165" s="14" t="e">
        <f t="shared" si="179"/>
        <v>#NUM!</v>
      </c>
      <c r="EM165" s="22" t="e">
        <f t="shared" si="180"/>
        <v>#NUM!</v>
      </c>
      <c r="EN165" s="60" t="e">
        <f t="shared" si="128"/>
        <v>#NUM!</v>
      </c>
      <c r="EO165" s="60">
        <f ca="1">AVERAGE(OFFSET($EN$3,0,0,'Données projet'!$E$15+1,1))-AVERAGE(OFFSET($H$3,0,0,'Données projet'!$E$15+1,1))</f>
        <v>236.22643401787644</v>
      </c>
      <c r="EP165" s="60">
        <f t="shared" si="154"/>
        <v>188.80444043778022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8">
        <f t="shared" si="110"/>
        <v>256.66666666666669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144.55635559713392</v>
      </c>
      <c r="T166" s="60">
        <f t="shared" si="142"/>
        <v>349.14692715126904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4.3752568524046094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2.110641462873224E-21</v>
      </c>
      <c r="AC166" s="24">
        <f t="shared" si="163"/>
        <v>4.3752568524046094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-9.6633812063373625E-13</v>
      </c>
      <c r="AJ166" s="14">
        <f>AI166*VLOOKUP('Données projet'!$B$10,Paramètres!$A$1:$I$89,3,0)*VLOOKUP('Données projet'!$B$10,Paramètres!$A$1:$I$89,5,0)</f>
        <v>-8.7434273154940449E-13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428.8489304403459</v>
      </c>
      <c r="AO166" s="60">
        <f t="shared" si="144"/>
        <v>247.01165577562966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-9.6633812063373625E-13</v>
      </c>
      <c r="BE166" s="14">
        <f>BD166*VLOOKUP('Données projet'!$B$11,Paramètres!$A$1:$I$89,3,0)*VLOOKUP('Données projet'!$B$11,Paramètres!$A$1:$I$89,5,0)</f>
        <v>-9.7986685432260874E-13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475.47920969424894</v>
      </c>
      <c r="BJ166" s="60">
        <f t="shared" si="146"/>
        <v>271.73544012419364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5.6843418860808015E-14</v>
      </c>
      <c r="BZ166" s="14">
        <f>BY166*VLOOKUP('Données projet'!$B$12,Paramètres!$A$1:$I$89,3,0)*VLOOKUP('Données projet'!$B$12,Paramètres!$A$1:$I$89,5,0)</f>
        <v>5.4978954722173515E-14</v>
      </c>
      <c r="CA166" s="14">
        <f t="shared" si="170"/>
        <v>8.8550225887742724E-13</v>
      </c>
      <c r="CB166" s="22">
        <f t="shared" si="171"/>
        <v>1.6380047803526383E-12</v>
      </c>
      <c r="CC166" s="60">
        <f t="shared" si="119"/>
        <v>293.33333333333496</v>
      </c>
      <c r="CD166" s="60">
        <f ca="1">AVERAGE(OFFSET($CC$3,0,0,'Données projet'!$E$12+1,1))-AVERAGE(OFFSET($H$3,0,0,'Données projet'!$E$12+1,1))</f>
        <v>255.59755832175625</v>
      </c>
      <c r="CE166" s="60">
        <f t="shared" si="148"/>
        <v>154.0840647586964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5.6843418860808015E-14</v>
      </c>
      <c r="CU166" s="18">
        <f>CT166*VLOOKUP('Données projet'!$B$13,Paramètres!$A$1:$I$89,3,0)*VLOOKUP('Données projet'!$B$13,Paramètres!$A$1:$I$89,5,0)</f>
        <v>6.1186256061773749E-14</v>
      </c>
      <c r="CV166" s="14">
        <f t="shared" si="173"/>
        <v>9.7328366192051127E-13</v>
      </c>
      <c r="CW166" s="22">
        <f t="shared" si="174"/>
        <v>1.8017017738191463E-12</v>
      </c>
      <c r="CX166" s="60">
        <f t="shared" si="122"/>
        <v>293.33333333333513</v>
      </c>
      <c r="CY166" s="60">
        <f ca="1">AVERAGE(OFFSET($CX$3,0,0,'Données projet'!$E$13+1,1))-AVERAGE(OFFSET($H$3,0,0,'Données projet'!$E$13+1,1))</f>
        <v>280.20599015000306</v>
      </c>
      <c r="CZ166" s="60">
        <f t="shared" si="150"/>
        <v>166.97658184507787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-5.6843418860808015E-14</v>
      </c>
      <c r="DP166" s="18">
        <f>DO166*VLOOKUP('Données projet'!$B$14,Paramètres!$A$1:$I$89,3,0)*VLOOKUP('Données projet'!$B$14,Paramètres!$A$1:$I$89,5,0)</f>
        <v>-3.813056537183002E-14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291.18686311753402</v>
      </c>
      <c r="DU166" s="60">
        <f t="shared" si="152"/>
        <v>215.44422413249839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-1.9895196601282805E-13</v>
      </c>
      <c r="EK166" s="18">
        <f>EJ166*VLOOKUP('Données projet'!$B$15,Paramètres!$A$1:$I$89,3,0)*VLOOKUP('Données projet'!$B$15,Paramètres!$A$1:$I$89,5,0)</f>
        <v>-1.6138983482960614E-13</v>
      </c>
      <c r="EL166" s="14" t="e">
        <f t="shared" si="179"/>
        <v>#NUM!</v>
      </c>
      <c r="EM166" s="22" t="e">
        <f t="shared" si="180"/>
        <v>#NUM!</v>
      </c>
      <c r="EN166" s="60" t="e">
        <f t="shared" si="128"/>
        <v>#NUM!</v>
      </c>
      <c r="EO166" s="60">
        <f ca="1">AVERAGE(OFFSET($EN$3,0,0,'Données projet'!$E$15+1,1))-AVERAGE(OFFSET($H$3,0,0,'Données projet'!$E$15+1,1))</f>
        <v>236.22643401787644</v>
      </c>
      <c r="EP166" s="60">
        <f t="shared" si="154"/>
        <v>188.80444043778022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8">
        <f t="shared" si="110"/>
        <v>256.66666666666669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144.55635559713392</v>
      </c>
      <c r="T167" s="60">
        <f t="shared" si="142"/>
        <v>349.14692715126904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4.2894607341721285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1.4924488910511514E-21</v>
      </c>
      <c r="AC167" s="24">
        <f t="shared" si="163"/>
        <v>4.2894607341721285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-9.6633812063373625E-13</v>
      </c>
      <c r="AJ167" s="14">
        <f>AI167*VLOOKUP('Données projet'!$B$10,Paramètres!$A$1:$I$89,3,0)*VLOOKUP('Données projet'!$B$10,Paramètres!$A$1:$I$89,5,0)</f>
        <v>-8.7434273154940449E-13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428.8489304403459</v>
      </c>
      <c r="AO167" s="60">
        <f t="shared" si="144"/>
        <v>247.01165577562966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-9.6633812063373625E-13</v>
      </c>
      <c r="BE167" s="14">
        <f>BD167*VLOOKUP('Données projet'!$B$11,Paramètres!$A$1:$I$89,3,0)*VLOOKUP('Données projet'!$B$11,Paramètres!$A$1:$I$89,5,0)</f>
        <v>-9.7986685432260874E-13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475.47920969424894</v>
      </c>
      <c r="BJ167" s="60">
        <f t="shared" si="146"/>
        <v>271.73544012419364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5.6843418860808015E-14</v>
      </c>
      <c r="BZ167" s="14">
        <f>BY167*VLOOKUP('Données projet'!$B$12,Paramètres!$A$1:$I$89,3,0)*VLOOKUP('Données projet'!$B$12,Paramètres!$A$1:$I$89,5,0)</f>
        <v>5.4978954722173515E-14</v>
      </c>
      <c r="CA167" s="14">
        <f t="shared" si="170"/>
        <v>8.8550225887742724E-13</v>
      </c>
      <c r="CB167" s="22">
        <f t="shared" si="171"/>
        <v>1.6380047803526383E-12</v>
      </c>
      <c r="CC167" s="60">
        <f t="shared" si="119"/>
        <v>293.33333333333496</v>
      </c>
      <c r="CD167" s="60">
        <f ca="1">AVERAGE(OFFSET($CC$3,0,0,'Données projet'!$E$12+1,1))-AVERAGE(OFFSET($H$3,0,0,'Données projet'!$E$12+1,1))</f>
        <v>255.59755832175625</v>
      </c>
      <c r="CE167" s="60">
        <f t="shared" si="148"/>
        <v>154.0840647586964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5.6843418860808015E-14</v>
      </c>
      <c r="CU167" s="18">
        <f>CT167*VLOOKUP('Données projet'!$B$13,Paramètres!$A$1:$I$89,3,0)*VLOOKUP('Données projet'!$B$13,Paramètres!$A$1:$I$89,5,0)</f>
        <v>6.1186256061773749E-14</v>
      </c>
      <c r="CV167" s="14">
        <f t="shared" si="173"/>
        <v>9.7328366192051127E-13</v>
      </c>
      <c r="CW167" s="22">
        <f t="shared" si="174"/>
        <v>1.8017017738191463E-12</v>
      </c>
      <c r="CX167" s="60">
        <f t="shared" si="122"/>
        <v>293.33333333333513</v>
      </c>
      <c r="CY167" s="60">
        <f ca="1">AVERAGE(OFFSET($CX$3,0,0,'Données projet'!$E$13+1,1))-AVERAGE(OFFSET($H$3,0,0,'Données projet'!$E$13+1,1))</f>
        <v>280.20599015000306</v>
      </c>
      <c r="CZ167" s="60">
        <f t="shared" si="150"/>
        <v>166.97658184507787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-5.6843418860808015E-14</v>
      </c>
      <c r="DP167" s="18">
        <f>DO167*VLOOKUP('Données projet'!$B$14,Paramètres!$A$1:$I$89,3,0)*VLOOKUP('Données projet'!$B$14,Paramètres!$A$1:$I$89,5,0)</f>
        <v>-3.813056537183002E-14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291.18686311753402</v>
      </c>
      <c r="DU167" s="60">
        <f t="shared" si="152"/>
        <v>215.44422413249839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-1.9895196601282805E-13</v>
      </c>
      <c r="EK167" s="18">
        <f>EJ167*VLOOKUP('Données projet'!$B$15,Paramètres!$A$1:$I$89,3,0)*VLOOKUP('Données projet'!$B$15,Paramètres!$A$1:$I$89,5,0)</f>
        <v>-1.6138983482960614E-13</v>
      </c>
      <c r="EL167" s="14" t="e">
        <f t="shared" si="179"/>
        <v>#NUM!</v>
      </c>
      <c r="EM167" s="22" t="e">
        <f t="shared" si="180"/>
        <v>#NUM!</v>
      </c>
      <c r="EN167" s="60" t="e">
        <f t="shared" si="128"/>
        <v>#NUM!</v>
      </c>
      <c r="EO167" s="60">
        <f ca="1">AVERAGE(OFFSET($EN$3,0,0,'Données projet'!$E$15+1,1))-AVERAGE(OFFSET($H$3,0,0,'Données projet'!$E$15+1,1))</f>
        <v>236.22643401787644</v>
      </c>
      <c r="EP167" s="60">
        <f t="shared" si="154"/>
        <v>188.80444043778022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8">
        <f t="shared" si="110"/>
        <v>256.66666666666669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144.55635559713392</v>
      </c>
      <c r="T168" s="60">
        <f t="shared" si="142"/>
        <v>349.14692715126904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4.2053470254877219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1.055320731436612E-21</v>
      </c>
      <c r="AC168" s="24">
        <f t="shared" si="163"/>
        <v>4.2053470254877219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-9.6633812063373625E-13</v>
      </c>
      <c r="AJ168" s="14">
        <f>AI168*VLOOKUP('Données projet'!$B$10,Paramètres!$A$1:$I$89,3,0)*VLOOKUP('Données projet'!$B$10,Paramètres!$A$1:$I$89,5,0)</f>
        <v>-8.7434273154940449E-13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428.8489304403459</v>
      </c>
      <c r="AO168" s="60">
        <f t="shared" si="144"/>
        <v>247.01165577562966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-9.6633812063373625E-13</v>
      </c>
      <c r="BE168" s="14">
        <f>BD168*VLOOKUP('Données projet'!$B$11,Paramètres!$A$1:$I$89,3,0)*VLOOKUP('Données projet'!$B$11,Paramètres!$A$1:$I$89,5,0)</f>
        <v>-9.7986685432260874E-13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475.47920969424894</v>
      </c>
      <c r="BJ168" s="60">
        <f t="shared" si="146"/>
        <v>271.73544012419364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5.6843418860808015E-14</v>
      </c>
      <c r="BZ168" s="14">
        <f>BY168*VLOOKUP('Données projet'!$B$12,Paramètres!$A$1:$I$89,3,0)*VLOOKUP('Données projet'!$B$12,Paramètres!$A$1:$I$89,5,0)</f>
        <v>5.4978954722173515E-14</v>
      </c>
      <c r="CA168" s="14">
        <f t="shared" si="170"/>
        <v>8.8550225887742724E-13</v>
      </c>
      <c r="CB168" s="22">
        <f t="shared" si="171"/>
        <v>1.6380047803526383E-12</v>
      </c>
      <c r="CC168" s="60">
        <f t="shared" si="119"/>
        <v>293.33333333333496</v>
      </c>
      <c r="CD168" s="60">
        <f ca="1">AVERAGE(OFFSET($CC$3,0,0,'Données projet'!$E$12+1,1))-AVERAGE(OFFSET($H$3,0,0,'Données projet'!$E$12+1,1))</f>
        <v>255.59755832175625</v>
      </c>
      <c r="CE168" s="60">
        <f t="shared" si="148"/>
        <v>154.0840647586964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5.6843418860808015E-14</v>
      </c>
      <c r="CU168" s="18">
        <f>CT168*VLOOKUP('Données projet'!$B$13,Paramètres!$A$1:$I$89,3,0)*VLOOKUP('Données projet'!$B$13,Paramètres!$A$1:$I$89,5,0)</f>
        <v>6.1186256061773749E-14</v>
      </c>
      <c r="CV168" s="14">
        <f t="shared" si="173"/>
        <v>9.7328366192051127E-13</v>
      </c>
      <c r="CW168" s="22">
        <f t="shared" si="174"/>
        <v>1.8017017738191463E-12</v>
      </c>
      <c r="CX168" s="60">
        <f t="shared" si="122"/>
        <v>293.33333333333513</v>
      </c>
      <c r="CY168" s="60">
        <f ca="1">AVERAGE(OFFSET($CX$3,0,0,'Données projet'!$E$13+1,1))-AVERAGE(OFFSET($H$3,0,0,'Données projet'!$E$13+1,1))</f>
        <v>280.20599015000306</v>
      </c>
      <c r="CZ168" s="60">
        <f t="shared" si="150"/>
        <v>166.97658184507787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-5.6843418860808015E-14</v>
      </c>
      <c r="DP168" s="18">
        <f>DO168*VLOOKUP('Données projet'!$B$14,Paramètres!$A$1:$I$89,3,0)*VLOOKUP('Données projet'!$B$14,Paramètres!$A$1:$I$89,5,0)</f>
        <v>-3.813056537183002E-14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291.18686311753402</v>
      </c>
      <c r="DU168" s="60">
        <f t="shared" si="152"/>
        <v>215.44422413249839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-1.9895196601282805E-13</v>
      </c>
      <c r="EK168" s="18">
        <f>EJ168*VLOOKUP('Données projet'!$B$15,Paramètres!$A$1:$I$89,3,0)*VLOOKUP('Données projet'!$B$15,Paramètres!$A$1:$I$89,5,0)</f>
        <v>-1.6138983482960614E-13</v>
      </c>
      <c r="EL168" s="14" t="e">
        <f t="shared" si="179"/>
        <v>#NUM!</v>
      </c>
      <c r="EM168" s="22" t="e">
        <f t="shared" si="180"/>
        <v>#NUM!</v>
      </c>
      <c r="EN168" s="60" t="e">
        <f t="shared" si="128"/>
        <v>#NUM!</v>
      </c>
      <c r="EO168" s="60">
        <f ca="1">AVERAGE(OFFSET($EN$3,0,0,'Données projet'!$E$15+1,1))-AVERAGE(OFFSET($H$3,0,0,'Données projet'!$E$15+1,1))</f>
        <v>236.22643401787644</v>
      </c>
      <c r="EP168" s="60">
        <f t="shared" si="154"/>
        <v>188.80444043778022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8">
        <f t="shared" si="110"/>
        <v>256.66666666666669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144.55635559713392</v>
      </c>
      <c r="T169" s="60">
        <f t="shared" si="142"/>
        <v>349.14692715126904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4.1228827353263195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7.462244455255757E-22</v>
      </c>
      <c r="AC169" s="24">
        <f t="shared" si="163"/>
        <v>4.1228827353263195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-9.6633812063373625E-13</v>
      </c>
      <c r="AJ169" s="14">
        <f>AI169*VLOOKUP('Données projet'!$B$10,Paramètres!$A$1:$I$89,3,0)*VLOOKUP('Données projet'!$B$10,Paramètres!$A$1:$I$89,5,0)</f>
        <v>-8.7434273154940449E-13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428.8489304403459</v>
      </c>
      <c r="AO169" s="60">
        <f t="shared" si="144"/>
        <v>247.01165577562966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-9.6633812063373625E-13</v>
      </c>
      <c r="BE169" s="14">
        <f>BD169*VLOOKUP('Données projet'!$B$11,Paramètres!$A$1:$I$89,3,0)*VLOOKUP('Données projet'!$B$11,Paramètres!$A$1:$I$89,5,0)</f>
        <v>-9.7986685432260874E-13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475.47920969424894</v>
      </c>
      <c r="BJ169" s="60">
        <f t="shared" si="146"/>
        <v>271.73544012419364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5.6843418860808015E-14</v>
      </c>
      <c r="BZ169" s="14">
        <f>BY169*VLOOKUP('Données projet'!$B$12,Paramètres!$A$1:$I$89,3,0)*VLOOKUP('Données projet'!$B$12,Paramètres!$A$1:$I$89,5,0)</f>
        <v>5.4978954722173515E-14</v>
      </c>
      <c r="CA169" s="14">
        <f t="shared" si="170"/>
        <v>8.8550225887742724E-13</v>
      </c>
      <c r="CB169" s="22">
        <f t="shared" si="171"/>
        <v>1.6380047803526383E-12</v>
      </c>
      <c r="CC169" s="60">
        <f t="shared" si="119"/>
        <v>293.33333333333496</v>
      </c>
      <c r="CD169" s="60">
        <f ca="1">AVERAGE(OFFSET($CC$3,0,0,'Données projet'!$E$12+1,1))-AVERAGE(OFFSET($H$3,0,0,'Données projet'!$E$12+1,1))</f>
        <v>255.59755832175625</v>
      </c>
      <c r="CE169" s="60">
        <f t="shared" si="148"/>
        <v>154.0840647586964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5.6843418860808015E-14</v>
      </c>
      <c r="CU169" s="18">
        <f>CT169*VLOOKUP('Données projet'!$B$13,Paramètres!$A$1:$I$89,3,0)*VLOOKUP('Données projet'!$B$13,Paramètres!$A$1:$I$89,5,0)</f>
        <v>6.1186256061773749E-14</v>
      </c>
      <c r="CV169" s="14">
        <f t="shared" si="173"/>
        <v>9.7328366192051127E-13</v>
      </c>
      <c r="CW169" s="22">
        <f t="shared" si="174"/>
        <v>1.8017017738191463E-12</v>
      </c>
      <c r="CX169" s="60">
        <f t="shared" si="122"/>
        <v>293.33333333333513</v>
      </c>
      <c r="CY169" s="60">
        <f ca="1">AVERAGE(OFFSET($CX$3,0,0,'Données projet'!$E$13+1,1))-AVERAGE(OFFSET($H$3,0,0,'Données projet'!$E$13+1,1))</f>
        <v>280.20599015000306</v>
      </c>
      <c r="CZ169" s="60">
        <f t="shared" si="150"/>
        <v>166.97658184507787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-5.6843418860808015E-14</v>
      </c>
      <c r="DP169" s="18">
        <f>DO169*VLOOKUP('Données projet'!$B$14,Paramètres!$A$1:$I$89,3,0)*VLOOKUP('Données projet'!$B$14,Paramètres!$A$1:$I$89,5,0)</f>
        <v>-3.813056537183002E-14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291.18686311753402</v>
      </c>
      <c r="DU169" s="60">
        <f t="shared" si="152"/>
        <v>215.44422413249839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-1.9895196601282805E-13</v>
      </c>
      <c r="EK169" s="18">
        <f>EJ169*VLOOKUP('Données projet'!$B$15,Paramètres!$A$1:$I$89,3,0)*VLOOKUP('Données projet'!$B$15,Paramètres!$A$1:$I$89,5,0)</f>
        <v>-1.6138983482960614E-13</v>
      </c>
      <c r="EL169" s="14" t="e">
        <f t="shared" si="179"/>
        <v>#NUM!</v>
      </c>
      <c r="EM169" s="22" t="e">
        <f t="shared" si="180"/>
        <v>#NUM!</v>
      </c>
      <c r="EN169" s="60" t="e">
        <f t="shared" si="128"/>
        <v>#NUM!</v>
      </c>
      <c r="EO169" s="60">
        <f ca="1">AVERAGE(OFFSET($EN$3,0,0,'Données projet'!$E$15+1,1))-AVERAGE(OFFSET($H$3,0,0,'Données projet'!$E$15+1,1))</f>
        <v>236.22643401787644</v>
      </c>
      <c r="EP169" s="60">
        <f t="shared" si="154"/>
        <v>188.80444043778022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8">
        <f t="shared" si="110"/>
        <v>256.66666666666669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144.55635559713392</v>
      </c>
      <c r="T170" s="60">
        <f t="shared" si="142"/>
        <v>349.14692715126904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4.0420355195967321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5.2766036571830601E-22</v>
      </c>
      <c r="AC170" s="24">
        <f t="shared" si="163"/>
        <v>4.0420355195967321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-9.6633812063373625E-13</v>
      </c>
      <c r="AJ170" s="14">
        <f>AI170*VLOOKUP('Données projet'!$B$10,Paramètres!$A$1:$I$89,3,0)*VLOOKUP('Données projet'!$B$10,Paramètres!$A$1:$I$89,5,0)</f>
        <v>-8.7434273154940449E-13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428.8489304403459</v>
      </c>
      <c r="AO170" s="60">
        <f t="shared" si="144"/>
        <v>247.01165577562966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-9.6633812063373625E-13</v>
      </c>
      <c r="BE170" s="14">
        <f>BD170*VLOOKUP('Données projet'!$B$11,Paramètres!$A$1:$I$89,3,0)*VLOOKUP('Données projet'!$B$11,Paramètres!$A$1:$I$89,5,0)</f>
        <v>-9.7986685432260874E-13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475.47920969424894</v>
      </c>
      <c r="BJ170" s="60">
        <f t="shared" si="146"/>
        <v>271.73544012419364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5.6843418860808015E-14</v>
      </c>
      <c r="BZ170" s="14">
        <f>BY170*VLOOKUP('Données projet'!$B$12,Paramètres!$A$1:$I$89,3,0)*VLOOKUP('Données projet'!$B$12,Paramètres!$A$1:$I$89,5,0)</f>
        <v>5.4978954722173515E-14</v>
      </c>
      <c r="CA170" s="14">
        <f t="shared" si="170"/>
        <v>8.8550225887742724E-13</v>
      </c>
      <c r="CB170" s="22">
        <f t="shared" si="171"/>
        <v>1.6380047803526383E-12</v>
      </c>
      <c r="CC170" s="60">
        <f t="shared" si="119"/>
        <v>293.33333333333496</v>
      </c>
      <c r="CD170" s="60">
        <f ca="1">AVERAGE(OFFSET($CC$3,0,0,'Données projet'!$E$12+1,1))-AVERAGE(OFFSET($H$3,0,0,'Données projet'!$E$12+1,1))</f>
        <v>255.59755832175625</v>
      </c>
      <c r="CE170" s="60">
        <f t="shared" si="148"/>
        <v>154.0840647586964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5.6843418860808015E-14</v>
      </c>
      <c r="CU170" s="18">
        <f>CT170*VLOOKUP('Données projet'!$B$13,Paramètres!$A$1:$I$89,3,0)*VLOOKUP('Données projet'!$B$13,Paramètres!$A$1:$I$89,5,0)</f>
        <v>6.1186256061773749E-14</v>
      </c>
      <c r="CV170" s="14">
        <f t="shared" si="173"/>
        <v>9.7328366192051127E-13</v>
      </c>
      <c r="CW170" s="22">
        <f t="shared" si="174"/>
        <v>1.8017017738191463E-12</v>
      </c>
      <c r="CX170" s="60">
        <f t="shared" si="122"/>
        <v>293.33333333333513</v>
      </c>
      <c r="CY170" s="60">
        <f ca="1">AVERAGE(OFFSET($CX$3,0,0,'Données projet'!$E$13+1,1))-AVERAGE(OFFSET($H$3,0,0,'Données projet'!$E$13+1,1))</f>
        <v>280.20599015000306</v>
      </c>
      <c r="CZ170" s="60">
        <f t="shared" si="150"/>
        <v>166.97658184507787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-5.6843418860808015E-14</v>
      </c>
      <c r="DP170" s="18">
        <f>DO170*VLOOKUP('Données projet'!$B$14,Paramètres!$A$1:$I$89,3,0)*VLOOKUP('Données projet'!$B$14,Paramètres!$A$1:$I$89,5,0)</f>
        <v>-3.813056537183002E-14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291.18686311753402</v>
      </c>
      <c r="DU170" s="60">
        <f t="shared" si="152"/>
        <v>215.44422413249839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-1.9895196601282805E-13</v>
      </c>
      <c r="EK170" s="18">
        <f>EJ170*VLOOKUP('Données projet'!$B$15,Paramètres!$A$1:$I$89,3,0)*VLOOKUP('Données projet'!$B$15,Paramètres!$A$1:$I$89,5,0)</f>
        <v>-1.6138983482960614E-13</v>
      </c>
      <c r="EL170" s="14" t="e">
        <f t="shared" si="179"/>
        <v>#NUM!</v>
      </c>
      <c r="EM170" s="22" t="e">
        <f t="shared" si="180"/>
        <v>#NUM!</v>
      </c>
      <c r="EN170" s="60" t="e">
        <f t="shared" si="128"/>
        <v>#NUM!</v>
      </c>
      <c r="EO170" s="60">
        <f ca="1">AVERAGE(OFFSET($EN$3,0,0,'Données projet'!$E$15+1,1))-AVERAGE(OFFSET($H$3,0,0,'Données projet'!$E$15+1,1))</f>
        <v>236.22643401787644</v>
      </c>
      <c r="EP170" s="60">
        <f t="shared" si="154"/>
        <v>188.80444043778022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8">
        <f t="shared" si="110"/>
        <v>256.66666666666669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144.55635559713392</v>
      </c>
      <c r="T171" s="60">
        <f t="shared" si="142"/>
        <v>349.14692715126904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3.9627736684556694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3.7311222276278785E-22</v>
      </c>
      <c r="AC171" s="24">
        <f t="shared" si="163"/>
        <v>3.9627736684556694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-9.6633812063373625E-13</v>
      </c>
      <c r="AJ171" s="14">
        <f>AI171*VLOOKUP('Données projet'!$B$10,Paramètres!$A$1:$I$89,3,0)*VLOOKUP('Données projet'!$B$10,Paramètres!$A$1:$I$89,5,0)</f>
        <v>-8.7434273154940449E-13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428.8489304403459</v>
      </c>
      <c r="AO171" s="60">
        <f t="shared" si="144"/>
        <v>247.01165577562966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-9.6633812063373625E-13</v>
      </c>
      <c r="BE171" s="14">
        <f>BD171*VLOOKUP('Données projet'!$B$11,Paramètres!$A$1:$I$89,3,0)*VLOOKUP('Données projet'!$B$11,Paramètres!$A$1:$I$89,5,0)</f>
        <v>-9.7986685432260874E-13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475.47920969424894</v>
      </c>
      <c r="BJ171" s="60">
        <f t="shared" si="146"/>
        <v>271.73544012419364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5.6843418860808015E-14</v>
      </c>
      <c r="BZ171" s="14">
        <f>BY171*VLOOKUP('Données projet'!$B$12,Paramètres!$A$1:$I$89,3,0)*VLOOKUP('Données projet'!$B$12,Paramètres!$A$1:$I$89,5,0)</f>
        <v>5.4978954722173515E-14</v>
      </c>
      <c r="CA171" s="14">
        <f t="shared" si="170"/>
        <v>8.8550225887742724E-13</v>
      </c>
      <c r="CB171" s="22">
        <f t="shared" si="171"/>
        <v>1.6380047803526383E-12</v>
      </c>
      <c r="CC171" s="60">
        <f t="shared" si="119"/>
        <v>293.33333333333496</v>
      </c>
      <c r="CD171" s="60">
        <f ca="1">AVERAGE(OFFSET($CC$3,0,0,'Données projet'!$E$12+1,1))-AVERAGE(OFFSET($H$3,0,0,'Données projet'!$E$12+1,1))</f>
        <v>255.59755832175625</v>
      </c>
      <c r="CE171" s="60">
        <f t="shared" si="148"/>
        <v>154.0840647586964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5.6843418860808015E-14</v>
      </c>
      <c r="CU171" s="18">
        <f>CT171*VLOOKUP('Données projet'!$B$13,Paramètres!$A$1:$I$89,3,0)*VLOOKUP('Données projet'!$B$13,Paramètres!$A$1:$I$89,5,0)</f>
        <v>6.1186256061773749E-14</v>
      </c>
      <c r="CV171" s="14">
        <f t="shared" si="173"/>
        <v>9.7328366192051127E-13</v>
      </c>
      <c r="CW171" s="22">
        <f t="shared" si="174"/>
        <v>1.8017017738191463E-12</v>
      </c>
      <c r="CX171" s="60">
        <f t="shared" si="122"/>
        <v>293.33333333333513</v>
      </c>
      <c r="CY171" s="60">
        <f ca="1">AVERAGE(OFFSET($CX$3,0,0,'Données projet'!$E$13+1,1))-AVERAGE(OFFSET($H$3,0,0,'Données projet'!$E$13+1,1))</f>
        <v>280.20599015000306</v>
      </c>
      <c r="CZ171" s="60">
        <f t="shared" si="150"/>
        <v>166.97658184507787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-5.6843418860808015E-14</v>
      </c>
      <c r="DP171" s="18">
        <f>DO171*VLOOKUP('Données projet'!$B$14,Paramètres!$A$1:$I$89,3,0)*VLOOKUP('Données projet'!$B$14,Paramètres!$A$1:$I$89,5,0)</f>
        <v>-3.813056537183002E-14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291.18686311753402</v>
      </c>
      <c r="DU171" s="60">
        <f t="shared" si="152"/>
        <v>215.44422413249839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-1.9895196601282805E-13</v>
      </c>
      <c r="EK171" s="18">
        <f>EJ171*VLOOKUP('Données projet'!$B$15,Paramètres!$A$1:$I$89,3,0)*VLOOKUP('Données projet'!$B$15,Paramètres!$A$1:$I$89,5,0)</f>
        <v>-1.6138983482960614E-13</v>
      </c>
      <c r="EL171" s="14" t="e">
        <f t="shared" si="179"/>
        <v>#NUM!</v>
      </c>
      <c r="EM171" s="22" t="e">
        <f t="shared" si="180"/>
        <v>#NUM!</v>
      </c>
      <c r="EN171" s="60" t="e">
        <f t="shared" si="128"/>
        <v>#NUM!</v>
      </c>
      <c r="EO171" s="60">
        <f ca="1">AVERAGE(OFFSET($EN$3,0,0,'Données projet'!$E$15+1,1))-AVERAGE(OFFSET($H$3,0,0,'Données projet'!$E$15+1,1))</f>
        <v>236.22643401787644</v>
      </c>
      <c r="EP171" s="60">
        <f t="shared" si="154"/>
        <v>188.80444043778022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8">
        <f t="shared" si="110"/>
        <v>256.66666666666669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144.55635559713392</v>
      </c>
      <c r="T172" s="60">
        <f t="shared" si="142"/>
        <v>349.14692715126904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3.885066093870527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2.63830182859153E-22</v>
      </c>
      <c r="AC172" s="24">
        <f t="shared" si="163"/>
        <v>3.885066093870527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-9.6633812063373625E-13</v>
      </c>
      <c r="AJ172" s="14">
        <f>AI172*VLOOKUP('Données projet'!$B$10,Paramètres!$A$1:$I$89,3,0)*VLOOKUP('Données projet'!$B$10,Paramètres!$A$1:$I$89,5,0)</f>
        <v>-8.7434273154940449E-13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428.8489304403459</v>
      </c>
      <c r="AO172" s="60">
        <f t="shared" si="144"/>
        <v>247.01165577562966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-9.6633812063373625E-13</v>
      </c>
      <c r="BE172" s="14">
        <f>BD172*VLOOKUP('Données projet'!$B$11,Paramètres!$A$1:$I$89,3,0)*VLOOKUP('Données projet'!$B$11,Paramètres!$A$1:$I$89,5,0)</f>
        <v>-9.7986685432260874E-13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475.47920969424894</v>
      </c>
      <c r="BJ172" s="60">
        <f t="shared" si="146"/>
        <v>271.73544012419364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5.6843418860808015E-14</v>
      </c>
      <c r="BZ172" s="14">
        <f>BY172*VLOOKUP('Données projet'!$B$12,Paramètres!$A$1:$I$89,3,0)*VLOOKUP('Données projet'!$B$12,Paramètres!$A$1:$I$89,5,0)</f>
        <v>5.4978954722173515E-14</v>
      </c>
      <c r="CA172" s="14">
        <f t="shared" si="170"/>
        <v>8.8550225887742724E-13</v>
      </c>
      <c r="CB172" s="22">
        <f t="shared" si="171"/>
        <v>1.6380047803526383E-12</v>
      </c>
      <c r="CC172" s="60">
        <f t="shared" si="119"/>
        <v>293.33333333333496</v>
      </c>
      <c r="CD172" s="60">
        <f ca="1">AVERAGE(OFFSET($CC$3,0,0,'Données projet'!$E$12+1,1))-AVERAGE(OFFSET($H$3,0,0,'Données projet'!$E$12+1,1))</f>
        <v>255.59755832175625</v>
      </c>
      <c r="CE172" s="60">
        <f t="shared" si="148"/>
        <v>154.0840647586964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5.6843418860808015E-14</v>
      </c>
      <c r="CU172" s="18">
        <f>CT172*VLOOKUP('Données projet'!$B$13,Paramètres!$A$1:$I$89,3,0)*VLOOKUP('Données projet'!$B$13,Paramètres!$A$1:$I$89,5,0)</f>
        <v>6.1186256061773749E-14</v>
      </c>
      <c r="CV172" s="14">
        <f t="shared" si="173"/>
        <v>9.7328366192051127E-13</v>
      </c>
      <c r="CW172" s="22">
        <f t="shared" si="174"/>
        <v>1.8017017738191463E-12</v>
      </c>
      <c r="CX172" s="60">
        <f t="shared" si="122"/>
        <v>293.33333333333513</v>
      </c>
      <c r="CY172" s="60">
        <f ca="1">AVERAGE(OFFSET($CX$3,0,0,'Données projet'!$E$13+1,1))-AVERAGE(OFFSET($H$3,0,0,'Données projet'!$E$13+1,1))</f>
        <v>280.20599015000306</v>
      </c>
      <c r="CZ172" s="60">
        <f t="shared" si="150"/>
        <v>166.97658184507787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-5.6843418860808015E-14</v>
      </c>
      <c r="DP172" s="18">
        <f>DO172*VLOOKUP('Données projet'!$B$14,Paramètres!$A$1:$I$89,3,0)*VLOOKUP('Données projet'!$B$14,Paramètres!$A$1:$I$89,5,0)</f>
        <v>-3.813056537183002E-14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291.18686311753402</v>
      </c>
      <c r="DU172" s="60">
        <f t="shared" si="152"/>
        <v>215.44422413249839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-1.9895196601282805E-13</v>
      </c>
      <c r="EK172" s="18">
        <f>EJ172*VLOOKUP('Données projet'!$B$15,Paramètres!$A$1:$I$89,3,0)*VLOOKUP('Données projet'!$B$15,Paramètres!$A$1:$I$89,5,0)</f>
        <v>-1.6138983482960614E-13</v>
      </c>
      <c r="EL172" s="14" t="e">
        <f t="shared" si="179"/>
        <v>#NUM!</v>
      </c>
      <c r="EM172" s="22" t="e">
        <f t="shared" si="180"/>
        <v>#NUM!</v>
      </c>
      <c r="EN172" s="60" t="e">
        <f t="shared" si="128"/>
        <v>#NUM!</v>
      </c>
      <c r="EO172" s="60">
        <f ca="1">AVERAGE(OFFSET($EN$3,0,0,'Données projet'!$E$15+1,1))-AVERAGE(OFFSET($H$3,0,0,'Données projet'!$E$15+1,1))</f>
        <v>236.22643401787644</v>
      </c>
      <c r="EP172" s="60">
        <f t="shared" si="154"/>
        <v>188.80444043778022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8">
        <f t="shared" si="110"/>
        <v>256.66666666666669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144.55635559713392</v>
      </c>
      <c r="T173" s="60">
        <f t="shared" si="142"/>
        <v>349.14692715126904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3.8088823174260593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1.8655611138139393E-22</v>
      </c>
      <c r="AC173" s="24">
        <f t="shared" si="163"/>
        <v>3.8088823174260593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-9.6633812063373625E-13</v>
      </c>
      <c r="AJ173" s="14">
        <f>AI173*VLOOKUP('Données projet'!$B$10,Paramètres!$A$1:$I$89,3,0)*VLOOKUP('Données projet'!$B$10,Paramètres!$A$1:$I$89,5,0)</f>
        <v>-8.7434273154940449E-13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428.8489304403459</v>
      </c>
      <c r="AO173" s="60">
        <f t="shared" si="144"/>
        <v>247.01165577562966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-9.6633812063373625E-13</v>
      </c>
      <c r="BE173" s="14">
        <f>BD173*VLOOKUP('Données projet'!$B$11,Paramètres!$A$1:$I$89,3,0)*VLOOKUP('Données projet'!$B$11,Paramètres!$A$1:$I$89,5,0)</f>
        <v>-9.7986685432260874E-13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475.47920969424894</v>
      </c>
      <c r="BJ173" s="60">
        <f t="shared" si="146"/>
        <v>271.73544012419364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5.6843418860808015E-14</v>
      </c>
      <c r="BZ173" s="14">
        <f>BY173*VLOOKUP('Données projet'!$B$12,Paramètres!$A$1:$I$89,3,0)*VLOOKUP('Données projet'!$B$12,Paramètres!$A$1:$I$89,5,0)</f>
        <v>5.4978954722173515E-14</v>
      </c>
      <c r="CA173" s="14">
        <f t="shared" si="170"/>
        <v>8.8550225887742724E-13</v>
      </c>
      <c r="CB173" s="22">
        <f t="shared" si="171"/>
        <v>1.6380047803526383E-12</v>
      </c>
      <c r="CC173" s="60">
        <f t="shared" si="119"/>
        <v>293.33333333333496</v>
      </c>
      <c r="CD173" s="60">
        <f ca="1">AVERAGE(OFFSET($CC$3,0,0,'Données projet'!$E$12+1,1))-AVERAGE(OFFSET($H$3,0,0,'Données projet'!$E$12+1,1))</f>
        <v>255.59755832175625</v>
      </c>
      <c r="CE173" s="60">
        <f t="shared" si="148"/>
        <v>154.0840647586964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5.6843418860808015E-14</v>
      </c>
      <c r="CU173" s="18">
        <f>CT173*VLOOKUP('Données projet'!$B$13,Paramètres!$A$1:$I$89,3,0)*VLOOKUP('Données projet'!$B$13,Paramètres!$A$1:$I$89,5,0)</f>
        <v>6.1186256061773749E-14</v>
      </c>
      <c r="CV173" s="14">
        <f t="shared" si="173"/>
        <v>9.7328366192051127E-13</v>
      </c>
      <c r="CW173" s="22">
        <f t="shared" si="174"/>
        <v>1.8017017738191463E-12</v>
      </c>
      <c r="CX173" s="60">
        <f t="shared" si="122"/>
        <v>293.33333333333513</v>
      </c>
      <c r="CY173" s="60">
        <f ca="1">AVERAGE(OFFSET($CX$3,0,0,'Données projet'!$E$13+1,1))-AVERAGE(OFFSET($H$3,0,0,'Données projet'!$E$13+1,1))</f>
        <v>280.20599015000306</v>
      </c>
      <c r="CZ173" s="60">
        <f t="shared" si="150"/>
        <v>166.97658184507787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-5.6843418860808015E-14</v>
      </c>
      <c r="DP173" s="18">
        <f>DO173*VLOOKUP('Données projet'!$B$14,Paramètres!$A$1:$I$89,3,0)*VLOOKUP('Données projet'!$B$14,Paramètres!$A$1:$I$89,5,0)</f>
        <v>-3.813056537183002E-14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291.18686311753402</v>
      </c>
      <c r="DU173" s="60">
        <f t="shared" si="152"/>
        <v>215.44422413249839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-1.9895196601282805E-13</v>
      </c>
      <c r="EK173" s="18">
        <f>EJ173*VLOOKUP('Données projet'!$B$15,Paramètres!$A$1:$I$89,3,0)*VLOOKUP('Données projet'!$B$15,Paramètres!$A$1:$I$89,5,0)</f>
        <v>-1.6138983482960614E-13</v>
      </c>
      <c r="EL173" s="14" t="e">
        <f t="shared" si="179"/>
        <v>#NUM!</v>
      </c>
      <c r="EM173" s="22" t="e">
        <f t="shared" si="180"/>
        <v>#NUM!</v>
      </c>
      <c r="EN173" s="60" t="e">
        <f t="shared" si="128"/>
        <v>#NUM!</v>
      </c>
      <c r="EO173" s="60">
        <f ca="1">AVERAGE(OFFSET($EN$3,0,0,'Données projet'!$E$15+1,1))-AVERAGE(OFFSET($H$3,0,0,'Données projet'!$E$15+1,1))</f>
        <v>236.22643401787644</v>
      </c>
      <c r="EP173" s="60">
        <f t="shared" si="154"/>
        <v>188.80444043778022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8">
        <f t="shared" si="110"/>
        <v>256.66666666666669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144.55635559713392</v>
      </c>
      <c r="T174" s="60">
        <f t="shared" si="142"/>
        <v>349.14692715126904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3.7341924583701522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1.319150914295765E-22</v>
      </c>
      <c r="AC174" s="24">
        <f t="shared" si="163"/>
        <v>3.7341924583701522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-9.6633812063373625E-13</v>
      </c>
      <c r="AJ174" s="14">
        <f>AI174*VLOOKUP('Données projet'!$B$10,Paramètres!$A$1:$I$89,3,0)*VLOOKUP('Données projet'!$B$10,Paramètres!$A$1:$I$89,5,0)</f>
        <v>-8.7434273154940449E-13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428.8489304403459</v>
      </c>
      <c r="AO174" s="60">
        <f t="shared" si="144"/>
        <v>247.01165577562966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-9.6633812063373625E-13</v>
      </c>
      <c r="BE174" s="14">
        <f>BD174*VLOOKUP('Données projet'!$B$11,Paramètres!$A$1:$I$89,3,0)*VLOOKUP('Données projet'!$B$11,Paramètres!$A$1:$I$89,5,0)</f>
        <v>-9.7986685432260874E-13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475.47920969424894</v>
      </c>
      <c r="BJ174" s="60">
        <f t="shared" si="146"/>
        <v>271.73544012419364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5.6843418860808015E-14</v>
      </c>
      <c r="BZ174" s="14">
        <f>BY174*VLOOKUP('Données projet'!$B$12,Paramètres!$A$1:$I$89,3,0)*VLOOKUP('Données projet'!$B$12,Paramètres!$A$1:$I$89,5,0)</f>
        <v>5.4978954722173515E-14</v>
      </c>
      <c r="CA174" s="14">
        <f t="shared" si="170"/>
        <v>8.8550225887742724E-13</v>
      </c>
      <c r="CB174" s="22">
        <f t="shared" si="171"/>
        <v>1.6380047803526383E-12</v>
      </c>
      <c r="CC174" s="60">
        <f t="shared" si="119"/>
        <v>293.33333333333496</v>
      </c>
      <c r="CD174" s="60">
        <f ca="1">AVERAGE(OFFSET($CC$3,0,0,'Données projet'!$E$12+1,1))-AVERAGE(OFFSET($H$3,0,0,'Données projet'!$E$12+1,1))</f>
        <v>255.59755832175625</v>
      </c>
      <c r="CE174" s="60">
        <f t="shared" si="148"/>
        <v>154.0840647586964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5.6843418860808015E-14</v>
      </c>
      <c r="CU174" s="18">
        <f>CT174*VLOOKUP('Données projet'!$B$13,Paramètres!$A$1:$I$89,3,0)*VLOOKUP('Données projet'!$B$13,Paramètres!$A$1:$I$89,5,0)</f>
        <v>6.1186256061773749E-14</v>
      </c>
      <c r="CV174" s="14">
        <f t="shared" si="173"/>
        <v>9.7328366192051127E-13</v>
      </c>
      <c r="CW174" s="22">
        <f t="shared" si="174"/>
        <v>1.8017017738191463E-12</v>
      </c>
      <c r="CX174" s="60">
        <f t="shared" si="122"/>
        <v>293.33333333333513</v>
      </c>
      <c r="CY174" s="60">
        <f ca="1">AVERAGE(OFFSET($CX$3,0,0,'Données projet'!$E$13+1,1))-AVERAGE(OFFSET($H$3,0,0,'Données projet'!$E$13+1,1))</f>
        <v>280.20599015000306</v>
      </c>
      <c r="CZ174" s="60">
        <f t="shared" si="150"/>
        <v>166.97658184507787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-5.6843418860808015E-14</v>
      </c>
      <c r="DP174" s="18">
        <f>DO174*VLOOKUP('Données projet'!$B$14,Paramètres!$A$1:$I$89,3,0)*VLOOKUP('Données projet'!$B$14,Paramètres!$A$1:$I$89,5,0)</f>
        <v>-3.813056537183002E-14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291.18686311753402</v>
      </c>
      <c r="DU174" s="60">
        <f t="shared" si="152"/>
        <v>215.44422413249839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-1.9895196601282805E-13</v>
      </c>
      <c r="EK174" s="18">
        <f>EJ174*VLOOKUP('Données projet'!$B$15,Paramètres!$A$1:$I$89,3,0)*VLOOKUP('Données projet'!$B$15,Paramètres!$A$1:$I$89,5,0)</f>
        <v>-1.6138983482960614E-13</v>
      </c>
      <c r="EL174" s="14" t="e">
        <f t="shared" si="179"/>
        <v>#NUM!</v>
      </c>
      <c r="EM174" s="22" t="e">
        <f t="shared" si="180"/>
        <v>#NUM!</v>
      </c>
      <c r="EN174" s="60" t="e">
        <f t="shared" si="128"/>
        <v>#NUM!</v>
      </c>
      <c r="EO174" s="60">
        <f ca="1">AVERAGE(OFFSET($EN$3,0,0,'Données projet'!$E$15+1,1))-AVERAGE(OFFSET($H$3,0,0,'Données projet'!$E$15+1,1))</f>
        <v>236.22643401787644</v>
      </c>
      <c r="EP174" s="60">
        <f t="shared" si="154"/>
        <v>188.80444043778022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8">
        <f t="shared" si="110"/>
        <v>256.66666666666669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144.55635559713392</v>
      </c>
      <c r="T175" s="60">
        <f t="shared" si="142"/>
        <v>349.14692715126904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3.6609672218940155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9.3278055690696963E-23</v>
      </c>
      <c r="AC175" s="24">
        <f t="shared" si="163"/>
        <v>3.6609672218940155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-9.6633812063373625E-13</v>
      </c>
      <c r="AJ175" s="14">
        <f>AI175*VLOOKUP('Données projet'!$B$10,Paramètres!$A$1:$I$89,3,0)*VLOOKUP('Données projet'!$B$10,Paramètres!$A$1:$I$89,5,0)</f>
        <v>-8.7434273154940449E-13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428.8489304403459</v>
      </c>
      <c r="AO175" s="60">
        <f t="shared" si="144"/>
        <v>247.01165577562966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-9.6633812063373625E-13</v>
      </c>
      <c r="BE175" s="14">
        <f>BD175*VLOOKUP('Données projet'!$B$11,Paramètres!$A$1:$I$89,3,0)*VLOOKUP('Données projet'!$B$11,Paramètres!$A$1:$I$89,5,0)</f>
        <v>-9.7986685432260874E-13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475.47920969424894</v>
      </c>
      <c r="BJ175" s="60">
        <f t="shared" si="146"/>
        <v>271.73544012419364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5.6843418860808015E-14</v>
      </c>
      <c r="BZ175" s="14">
        <f>BY175*VLOOKUP('Données projet'!$B$12,Paramètres!$A$1:$I$89,3,0)*VLOOKUP('Données projet'!$B$12,Paramètres!$A$1:$I$89,5,0)</f>
        <v>5.4978954722173515E-14</v>
      </c>
      <c r="CA175" s="14">
        <f t="shared" si="170"/>
        <v>8.8550225887742724E-13</v>
      </c>
      <c r="CB175" s="22">
        <f t="shared" si="171"/>
        <v>1.6380047803526383E-12</v>
      </c>
      <c r="CC175" s="60">
        <f t="shared" si="119"/>
        <v>293.33333333333496</v>
      </c>
      <c r="CD175" s="60">
        <f ca="1">AVERAGE(OFFSET($CC$3,0,0,'Données projet'!$E$12+1,1))-AVERAGE(OFFSET($H$3,0,0,'Données projet'!$E$12+1,1))</f>
        <v>255.59755832175625</v>
      </c>
      <c r="CE175" s="60">
        <f t="shared" si="148"/>
        <v>154.0840647586964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5.6843418860808015E-14</v>
      </c>
      <c r="CU175" s="18">
        <f>CT175*VLOOKUP('Données projet'!$B$13,Paramètres!$A$1:$I$89,3,0)*VLOOKUP('Données projet'!$B$13,Paramètres!$A$1:$I$89,5,0)</f>
        <v>6.1186256061773749E-14</v>
      </c>
      <c r="CV175" s="14">
        <f t="shared" si="173"/>
        <v>9.7328366192051127E-13</v>
      </c>
      <c r="CW175" s="22">
        <f t="shared" si="174"/>
        <v>1.8017017738191463E-12</v>
      </c>
      <c r="CX175" s="60">
        <f t="shared" si="122"/>
        <v>293.33333333333513</v>
      </c>
      <c r="CY175" s="60">
        <f ca="1">AVERAGE(OFFSET($CX$3,0,0,'Données projet'!$E$13+1,1))-AVERAGE(OFFSET($H$3,0,0,'Données projet'!$E$13+1,1))</f>
        <v>280.20599015000306</v>
      </c>
      <c r="CZ175" s="60">
        <f t="shared" si="150"/>
        <v>166.97658184507787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-5.6843418860808015E-14</v>
      </c>
      <c r="DP175" s="18">
        <f>DO175*VLOOKUP('Données projet'!$B$14,Paramètres!$A$1:$I$89,3,0)*VLOOKUP('Données projet'!$B$14,Paramètres!$A$1:$I$89,5,0)</f>
        <v>-3.813056537183002E-14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291.18686311753402</v>
      </c>
      <c r="DU175" s="60">
        <f t="shared" si="152"/>
        <v>215.44422413249839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-1.9895196601282805E-13</v>
      </c>
      <c r="EK175" s="18">
        <f>EJ175*VLOOKUP('Données projet'!$B$15,Paramètres!$A$1:$I$89,3,0)*VLOOKUP('Données projet'!$B$15,Paramètres!$A$1:$I$89,5,0)</f>
        <v>-1.6138983482960614E-13</v>
      </c>
      <c r="EL175" s="14" t="e">
        <f t="shared" si="179"/>
        <v>#NUM!</v>
      </c>
      <c r="EM175" s="22" t="e">
        <f t="shared" si="180"/>
        <v>#NUM!</v>
      </c>
      <c r="EN175" s="60" t="e">
        <f t="shared" si="128"/>
        <v>#NUM!</v>
      </c>
      <c r="EO175" s="60">
        <f ca="1">AVERAGE(OFFSET($EN$3,0,0,'Données projet'!$E$15+1,1))-AVERAGE(OFFSET($H$3,0,0,'Données projet'!$E$15+1,1))</f>
        <v>236.22643401787644</v>
      </c>
      <c r="EP175" s="60">
        <f t="shared" si="154"/>
        <v>188.80444043778022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8">
        <f t="shared" si="110"/>
        <v>256.66666666666669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144.55635559713392</v>
      </c>
      <c r="T176" s="60">
        <f t="shared" si="142"/>
        <v>349.14692715126904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3.5891778876421916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6.5957545714788251E-23</v>
      </c>
      <c r="AC176" s="24">
        <f t="shared" si="163"/>
        <v>3.5891778876421916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-9.6633812063373625E-13</v>
      </c>
      <c r="AJ176" s="14">
        <f>AI176*VLOOKUP('Données projet'!$B$10,Paramètres!$A$1:$I$89,3,0)*VLOOKUP('Données projet'!$B$10,Paramètres!$A$1:$I$89,5,0)</f>
        <v>-8.7434273154940449E-13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428.8489304403459</v>
      </c>
      <c r="AO176" s="60">
        <f t="shared" si="144"/>
        <v>247.01165577562966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-9.6633812063373625E-13</v>
      </c>
      <c r="BE176" s="14">
        <f>BD176*VLOOKUP('Données projet'!$B$11,Paramètres!$A$1:$I$89,3,0)*VLOOKUP('Données projet'!$B$11,Paramètres!$A$1:$I$89,5,0)</f>
        <v>-9.7986685432260874E-13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475.47920969424894</v>
      </c>
      <c r="BJ176" s="60">
        <f t="shared" si="146"/>
        <v>271.73544012419364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5.6843418860808015E-14</v>
      </c>
      <c r="BZ176" s="14">
        <f>BY176*VLOOKUP('Données projet'!$B$12,Paramètres!$A$1:$I$89,3,0)*VLOOKUP('Données projet'!$B$12,Paramètres!$A$1:$I$89,5,0)</f>
        <v>5.4978954722173515E-14</v>
      </c>
      <c r="CA176" s="14">
        <f t="shared" si="170"/>
        <v>8.8550225887742724E-13</v>
      </c>
      <c r="CB176" s="22">
        <f t="shared" si="171"/>
        <v>1.6380047803526383E-12</v>
      </c>
      <c r="CC176" s="60">
        <f t="shared" si="119"/>
        <v>293.33333333333496</v>
      </c>
      <c r="CD176" s="60">
        <f ca="1">AVERAGE(OFFSET($CC$3,0,0,'Données projet'!$E$12+1,1))-AVERAGE(OFFSET($H$3,0,0,'Données projet'!$E$12+1,1))</f>
        <v>255.59755832175625</v>
      </c>
      <c r="CE176" s="60">
        <f t="shared" si="148"/>
        <v>154.0840647586964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5.6843418860808015E-14</v>
      </c>
      <c r="CU176" s="18">
        <f>CT176*VLOOKUP('Données projet'!$B$13,Paramètres!$A$1:$I$89,3,0)*VLOOKUP('Données projet'!$B$13,Paramètres!$A$1:$I$89,5,0)</f>
        <v>6.1186256061773749E-14</v>
      </c>
      <c r="CV176" s="14">
        <f t="shared" si="173"/>
        <v>9.7328366192051127E-13</v>
      </c>
      <c r="CW176" s="22">
        <f t="shared" si="174"/>
        <v>1.8017017738191463E-12</v>
      </c>
      <c r="CX176" s="60">
        <f t="shared" si="122"/>
        <v>293.33333333333513</v>
      </c>
      <c r="CY176" s="60">
        <f ca="1">AVERAGE(OFFSET($CX$3,0,0,'Données projet'!$E$13+1,1))-AVERAGE(OFFSET($H$3,0,0,'Données projet'!$E$13+1,1))</f>
        <v>280.20599015000306</v>
      </c>
      <c r="CZ176" s="60">
        <f t="shared" si="150"/>
        <v>166.97658184507787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-5.6843418860808015E-14</v>
      </c>
      <c r="DP176" s="18">
        <f>DO176*VLOOKUP('Données projet'!$B$14,Paramètres!$A$1:$I$89,3,0)*VLOOKUP('Données projet'!$B$14,Paramètres!$A$1:$I$89,5,0)</f>
        <v>-3.813056537183002E-14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291.18686311753402</v>
      </c>
      <c r="DU176" s="60">
        <f t="shared" si="152"/>
        <v>215.44422413249839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-1.9895196601282805E-13</v>
      </c>
      <c r="EK176" s="18">
        <f>EJ176*VLOOKUP('Données projet'!$B$15,Paramètres!$A$1:$I$89,3,0)*VLOOKUP('Données projet'!$B$15,Paramètres!$A$1:$I$89,5,0)</f>
        <v>-1.6138983482960614E-13</v>
      </c>
      <c r="EL176" s="14" t="e">
        <f t="shared" si="179"/>
        <v>#NUM!</v>
      </c>
      <c r="EM176" s="22" t="e">
        <f t="shared" si="180"/>
        <v>#NUM!</v>
      </c>
      <c r="EN176" s="60" t="e">
        <f t="shared" si="128"/>
        <v>#NUM!</v>
      </c>
      <c r="EO176" s="60">
        <f ca="1">AVERAGE(OFFSET($EN$3,0,0,'Données projet'!$E$15+1,1))-AVERAGE(OFFSET($H$3,0,0,'Données projet'!$E$15+1,1))</f>
        <v>236.22643401787644</v>
      </c>
      <c r="EP176" s="60">
        <f t="shared" si="154"/>
        <v>188.80444043778022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8">
        <f t="shared" si="110"/>
        <v>256.66666666666669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144.55635559713392</v>
      </c>
      <c r="T177" s="60">
        <f t="shared" si="142"/>
        <v>349.14692715126904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3.5187962984478758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4.6639027845348481E-23</v>
      </c>
      <c r="AC177" s="24">
        <f t="shared" si="163"/>
        <v>3.5187962984478758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-9.6633812063373625E-13</v>
      </c>
      <c r="AJ177" s="14">
        <f>AI177*VLOOKUP('Données projet'!$B$10,Paramètres!$A$1:$I$89,3,0)*VLOOKUP('Données projet'!$B$10,Paramètres!$A$1:$I$89,5,0)</f>
        <v>-8.7434273154940449E-13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428.8489304403459</v>
      </c>
      <c r="AO177" s="60">
        <f t="shared" si="144"/>
        <v>247.01165577562966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-9.6633812063373625E-13</v>
      </c>
      <c r="BE177" s="14">
        <f>BD177*VLOOKUP('Données projet'!$B$11,Paramètres!$A$1:$I$89,3,0)*VLOOKUP('Données projet'!$B$11,Paramètres!$A$1:$I$89,5,0)</f>
        <v>-9.7986685432260874E-13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475.47920969424894</v>
      </c>
      <c r="BJ177" s="60">
        <f t="shared" si="146"/>
        <v>271.73544012419364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5.6843418860808015E-14</v>
      </c>
      <c r="BZ177" s="14">
        <f>BY177*VLOOKUP('Données projet'!$B$12,Paramètres!$A$1:$I$89,3,0)*VLOOKUP('Données projet'!$B$12,Paramètres!$A$1:$I$89,5,0)</f>
        <v>5.4978954722173515E-14</v>
      </c>
      <c r="CA177" s="14">
        <f t="shared" si="170"/>
        <v>8.8550225887742724E-13</v>
      </c>
      <c r="CB177" s="22">
        <f t="shared" si="171"/>
        <v>1.6380047803526383E-12</v>
      </c>
      <c r="CC177" s="60">
        <f t="shared" si="119"/>
        <v>293.33333333333496</v>
      </c>
      <c r="CD177" s="60">
        <f ca="1">AVERAGE(OFFSET($CC$3,0,0,'Données projet'!$E$12+1,1))-AVERAGE(OFFSET($H$3,0,0,'Données projet'!$E$12+1,1))</f>
        <v>255.59755832175625</v>
      </c>
      <c r="CE177" s="60">
        <f t="shared" si="148"/>
        <v>154.0840647586964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5.6843418860808015E-14</v>
      </c>
      <c r="CU177" s="18">
        <f>CT177*VLOOKUP('Données projet'!$B$13,Paramètres!$A$1:$I$89,3,0)*VLOOKUP('Données projet'!$B$13,Paramètres!$A$1:$I$89,5,0)</f>
        <v>6.1186256061773749E-14</v>
      </c>
      <c r="CV177" s="14">
        <f t="shared" si="173"/>
        <v>9.7328366192051127E-13</v>
      </c>
      <c r="CW177" s="22">
        <f t="shared" si="174"/>
        <v>1.8017017738191463E-12</v>
      </c>
      <c r="CX177" s="60">
        <f t="shared" si="122"/>
        <v>293.33333333333513</v>
      </c>
      <c r="CY177" s="60">
        <f ca="1">AVERAGE(OFFSET($CX$3,0,0,'Données projet'!$E$13+1,1))-AVERAGE(OFFSET($H$3,0,0,'Données projet'!$E$13+1,1))</f>
        <v>280.20599015000306</v>
      </c>
      <c r="CZ177" s="60">
        <f t="shared" si="150"/>
        <v>166.97658184507787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-5.6843418860808015E-14</v>
      </c>
      <c r="DP177" s="18">
        <f>DO177*VLOOKUP('Données projet'!$B$14,Paramètres!$A$1:$I$89,3,0)*VLOOKUP('Données projet'!$B$14,Paramètres!$A$1:$I$89,5,0)</f>
        <v>-3.813056537183002E-14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291.18686311753402</v>
      </c>
      <c r="DU177" s="60">
        <f t="shared" si="152"/>
        <v>215.44422413249839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-1.9895196601282805E-13</v>
      </c>
      <c r="EK177" s="18">
        <f>EJ177*VLOOKUP('Données projet'!$B$15,Paramètres!$A$1:$I$89,3,0)*VLOOKUP('Données projet'!$B$15,Paramètres!$A$1:$I$89,5,0)</f>
        <v>-1.6138983482960614E-13</v>
      </c>
      <c r="EL177" s="14" t="e">
        <f t="shared" si="179"/>
        <v>#NUM!</v>
      </c>
      <c r="EM177" s="22" t="e">
        <f t="shared" si="180"/>
        <v>#NUM!</v>
      </c>
      <c r="EN177" s="60" t="e">
        <f t="shared" si="128"/>
        <v>#NUM!</v>
      </c>
      <c r="EO177" s="60">
        <f ca="1">AVERAGE(OFFSET($EN$3,0,0,'Données projet'!$E$15+1,1))-AVERAGE(OFFSET($H$3,0,0,'Données projet'!$E$15+1,1))</f>
        <v>236.22643401787644</v>
      </c>
      <c r="EP177" s="60">
        <f t="shared" si="154"/>
        <v>188.80444043778022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8">
        <f t="shared" si="110"/>
        <v>256.66666666666669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144.55635559713392</v>
      </c>
      <c r="T178" s="60">
        <f t="shared" si="142"/>
        <v>349.14692715126904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3.4497948492891299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3.2978772857394125E-23</v>
      </c>
      <c r="AC178" s="24">
        <f t="shared" si="163"/>
        <v>3.4497948492891299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-9.6633812063373625E-13</v>
      </c>
      <c r="AJ178" s="14">
        <f>AI178*VLOOKUP('Données projet'!$B$10,Paramètres!$A$1:$I$89,3,0)*VLOOKUP('Données projet'!$B$10,Paramètres!$A$1:$I$89,5,0)</f>
        <v>-8.7434273154940449E-13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428.8489304403459</v>
      </c>
      <c r="AO178" s="60">
        <f t="shared" si="144"/>
        <v>247.01165577562966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-9.6633812063373625E-13</v>
      </c>
      <c r="BE178" s="14">
        <f>BD178*VLOOKUP('Données projet'!$B$11,Paramètres!$A$1:$I$89,3,0)*VLOOKUP('Données projet'!$B$11,Paramètres!$A$1:$I$89,5,0)</f>
        <v>-9.7986685432260874E-13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475.47920969424894</v>
      </c>
      <c r="BJ178" s="60">
        <f t="shared" si="146"/>
        <v>271.73544012419364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5.6843418860808015E-14</v>
      </c>
      <c r="BZ178" s="14">
        <f>BY178*VLOOKUP('Données projet'!$B$12,Paramètres!$A$1:$I$89,3,0)*VLOOKUP('Données projet'!$B$12,Paramètres!$A$1:$I$89,5,0)</f>
        <v>5.4978954722173515E-14</v>
      </c>
      <c r="CA178" s="14">
        <f t="shared" si="170"/>
        <v>8.8550225887742724E-13</v>
      </c>
      <c r="CB178" s="22">
        <f t="shared" si="171"/>
        <v>1.6380047803526383E-12</v>
      </c>
      <c r="CC178" s="60">
        <f t="shared" si="119"/>
        <v>293.33333333333496</v>
      </c>
      <c r="CD178" s="60">
        <f ca="1">AVERAGE(OFFSET($CC$3,0,0,'Données projet'!$E$12+1,1))-AVERAGE(OFFSET($H$3,0,0,'Données projet'!$E$12+1,1))</f>
        <v>255.59755832175625</v>
      </c>
      <c r="CE178" s="60">
        <f t="shared" si="148"/>
        <v>154.0840647586964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5.6843418860808015E-14</v>
      </c>
      <c r="CU178" s="18">
        <f>CT178*VLOOKUP('Données projet'!$B$13,Paramètres!$A$1:$I$89,3,0)*VLOOKUP('Données projet'!$B$13,Paramètres!$A$1:$I$89,5,0)</f>
        <v>6.1186256061773749E-14</v>
      </c>
      <c r="CV178" s="14">
        <f t="shared" si="173"/>
        <v>9.7328366192051127E-13</v>
      </c>
      <c r="CW178" s="22">
        <f t="shared" si="174"/>
        <v>1.8017017738191463E-12</v>
      </c>
      <c r="CX178" s="60">
        <f t="shared" si="122"/>
        <v>293.33333333333513</v>
      </c>
      <c r="CY178" s="60">
        <f ca="1">AVERAGE(OFFSET($CX$3,0,0,'Données projet'!$E$13+1,1))-AVERAGE(OFFSET($H$3,0,0,'Données projet'!$E$13+1,1))</f>
        <v>280.20599015000306</v>
      </c>
      <c r="CZ178" s="60">
        <f t="shared" si="150"/>
        <v>166.97658184507787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-5.6843418860808015E-14</v>
      </c>
      <c r="DP178" s="18">
        <f>DO178*VLOOKUP('Données projet'!$B$14,Paramètres!$A$1:$I$89,3,0)*VLOOKUP('Données projet'!$B$14,Paramètres!$A$1:$I$89,5,0)</f>
        <v>-3.813056537183002E-14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291.18686311753402</v>
      </c>
      <c r="DU178" s="60">
        <f t="shared" si="152"/>
        <v>215.44422413249839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-1.9895196601282805E-13</v>
      </c>
      <c r="EK178" s="18">
        <f>EJ178*VLOOKUP('Données projet'!$B$15,Paramètres!$A$1:$I$89,3,0)*VLOOKUP('Données projet'!$B$15,Paramètres!$A$1:$I$89,5,0)</f>
        <v>-1.6138983482960614E-13</v>
      </c>
      <c r="EL178" s="14" t="e">
        <f t="shared" si="179"/>
        <v>#NUM!</v>
      </c>
      <c r="EM178" s="22" t="e">
        <f t="shared" si="180"/>
        <v>#NUM!</v>
      </c>
      <c r="EN178" s="60" t="e">
        <f t="shared" si="128"/>
        <v>#NUM!</v>
      </c>
      <c r="EO178" s="60">
        <f ca="1">AVERAGE(OFFSET($EN$3,0,0,'Données projet'!$E$15+1,1))-AVERAGE(OFFSET($H$3,0,0,'Données projet'!$E$15+1,1))</f>
        <v>236.22643401787644</v>
      </c>
      <c r="EP178" s="60">
        <f t="shared" si="154"/>
        <v>188.80444043778022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8">
        <f t="shared" si="110"/>
        <v>256.66666666666669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144.55635559713392</v>
      </c>
      <c r="T179" s="60">
        <f t="shared" si="142"/>
        <v>349.14692715126904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3.3821464764616591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2.3319513922674241E-23</v>
      </c>
      <c r="AC179" s="24">
        <f t="shared" si="163"/>
        <v>3.3821464764616591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-9.6633812063373625E-13</v>
      </c>
      <c r="AJ179" s="14">
        <f>AI179*VLOOKUP('Données projet'!$B$10,Paramètres!$A$1:$I$89,3,0)*VLOOKUP('Données projet'!$B$10,Paramètres!$A$1:$I$89,5,0)</f>
        <v>-8.7434273154940449E-13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428.8489304403459</v>
      </c>
      <c r="AO179" s="60">
        <f t="shared" si="144"/>
        <v>247.01165577562966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-9.6633812063373625E-13</v>
      </c>
      <c r="BE179" s="14">
        <f>BD179*VLOOKUP('Données projet'!$B$11,Paramètres!$A$1:$I$89,3,0)*VLOOKUP('Données projet'!$B$11,Paramètres!$A$1:$I$89,5,0)</f>
        <v>-9.7986685432260874E-13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475.47920969424894</v>
      </c>
      <c r="BJ179" s="60">
        <f t="shared" si="146"/>
        <v>271.73544012419364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5.6843418860808015E-14</v>
      </c>
      <c r="BZ179" s="14">
        <f>BY179*VLOOKUP('Données projet'!$B$12,Paramètres!$A$1:$I$89,3,0)*VLOOKUP('Données projet'!$B$12,Paramètres!$A$1:$I$89,5,0)</f>
        <v>5.4978954722173515E-14</v>
      </c>
      <c r="CA179" s="14">
        <f t="shared" si="170"/>
        <v>8.8550225887742724E-13</v>
      </c>
      <c r="CB179" s="22">
        <f t="shared" si="171"/>
        <v>1.6380047803526383E-12</v>
      </c>
      <c r="CC179" s="60">
        <f t="shared" si="119"/>
        <v>293.33333333333496</v>
      </c>
      <c r="CD179" s="60">
        <f ca="1">AVERAGE(OFFSET($CC$3,0,0,'Données projet'!$E$12+1,1))-AVERAGE(OFFSET($H$3,0,0,'Données projet'!$E$12+1,1))</f>
        <v>255.59755832175625</v>
      </c>
      <c r="CE179" s="60">
        <f t="shared" si="148"/>
        <v>154.0840647586964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5.6843418860808015E-14</v>
      </c>
      <c r="CU179" s="18">
        <f>CT179*VLOOKUP('Données projet'!$B$13,Paramètres!$A$1:$I$89,3,0)*VLOOKUP('Données projet'!$B$13,Paramètres!$A$1:$I$89,5,0)</f>
        <v>6.1186256061773749E-14</v>
      </c>
      <c r="CV179" s="14">
        <f t="shared" si="173"/>
        <v>9.7328366192051127E-13</v>
      </c>
      <c r="CW179" s="22">
        <f t="shared" si="174"/>
        <v>1.8017017738191463E-12</v>
      </c>
      <c r="CX179" s="60">
        <f t="shared" si="122"/>
        <v>293.33333333333513</v>
      </c>
      <c r="CY179" s="60">
        <f ca="1">AVERAGE(OFFSET($CX$3,0,0,'Données projet'!$E$13+1,1))-AVERAGE(OFFSET($H$3,0,0,'Données projet'!$E$13+1,1))</f>
        <v>280.20599015000306</v>
      </c>
      <c r="CZ179" s="60">
        <f t="shared" si="150"/>
        <v>166.97658184507787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-5.6843418860808015E-14</v>
      </c>
      <c r="DP179" s="18">
        <f>DO179*VLOOKUP('Données projet'!$B$14,Paramètres!$A$1:$I$89,3,0)*VLOOKUP('Données projet'!$B$14,Paramètres!$A$1:$I$89,5,0)</f>
        <v>-3.813056537183002E-14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291.18686311753402</v>
      </c>
      <c r="DU179" s="60">
        <f t="shared" si="152"/>
        <v>215.44422413249839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-1.9895196601282805E-13</v>
      </c>
      <c r="EK179" s="18">
        <f>EJ179*VLOOKUP('Données projet'!$B$15,Paramètres!$A$1:$I$89,3,0)*VLOOKUP('Données projet'!$B$15,Paramètres!$A$1:$I$89,5,0)</f>
        <v>-1.6138983482960614E-13</v>
      </c>
      <c r="EL179" s="14" t="e">
        <f t="shared" si="179"/>
        <v>#NUM!</v>
      </c>
      <c r="EM179" s="22" t="e">
        <f t="shared" si="180"/>
        <v>#NUM!</v>
      </c>
      <c r="EN179" s="60" t="e">
        <f t="shared" si="128"/>
        <v>#NUM!</v>
      </c>
      <c r="EO179" s="60">
        <f ca="1">AVERAGE(OFFSET($EN$3,0,0,'Données projet'!$E$15+1,1))-AVERAGE(OFFSET($H$3,0,0,'Données projet'!$E$15+1,1))</f>
        <v>236.22643401787644</v>
      </c>
      <c r="EP179" s="60">
        <f t="shared" si="154"/>
        <v>188.80444043778022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8">
        <f t="shared" si="110"/>
        <v>256.66666666666669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144.55635559713392</v>
      </c>
      <c r="T180" s="60">
        <f t="shared" si="142"/>
        <v>349.14692715126904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3.3158246469639017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1.6489386428697063E-23</v>
      </c>
      <c r="AC180" s="24">
        <f t="shared" si="163"/>
        <v>3.3158246469639017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-9.6633812063373625E-13</v>
      </c>
      <c r="AJ180" s="14">
        <f>AI180*VLOOKUP('Données projet'!$B$10,Paramètres!$A$1:$I$89,3,0)*VLOOKUP('Données projet'!$B$10,Paramètres!$A$1:$I$89,5,0)</f>
        <v>-8.7434273154940449E-13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428.8489304403459</v>
      </c>
      <c r="AO180" s="60">
        <f t="shared" si="144"/>
        <v>247.01165577562966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-9.6633812063373625E-13</v>
      </c>
      <c r="BE180" s="14">
        <f>BD180*VLOOKUP('Données projet'!$B$11,Paramètres!$A$1:$I$89,3,0)*VLOOKUP('Données projet'!$B$11,Paramètres!$A$1:$I$89,5,0)</f>
        <v>-9.7986685432260874E-13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475.47920969424894</v>
      </c>
      <c r="BJ180" s="60">
        <f t="shared" si="146"/>
        <v>271.73544012419364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5.6843418860808015E-14</v>
      </c>
      <c r="BZ180" s="14">
        <f>BY180*VLOOKUP('Données projet'!$B$12,Paramètres!$A$1:$I$89,3,0)*VLOOKUP('Données projet'!$B$12,Paramètres!$A$1:$I$89,5,0)</f>
        <v>5.4978954722173515E-14</v>
      </c>
      <c r="CA180" s="14">
        <f t="shared" si="170"/>
        <v>8.8550225887742724E-13</v>
      </c>
      <c r="CB180" s="22">
        <f t="shared" si="171"/>
        <v>1.6380047803526383E-12</v>
      </c>
      <c r="CC180" s="60">
        <f t="shared" si="119"/>
        <v>293.33333333333496</v>
      </c>
      <c r="CD180" s="60">
        <f ca="1">AVERAGE(OFFSET($CC$3,0,0,'Données projet'!$E$12+1,1))-AVERAGE(OFFSET($H$3,0,0,'Données projet'!$E$12+1,1))</f>
        <v>255.59755832175625</v>
      </c>
      <c r="CE180" s="60">
        <f t="shared" si="148"/>
        <v>154.0840647586964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5.6843418860808015E-14</v>
      </c>
      <c r="CU180" s="18">
        <f>CT180*VLOOKUP('Données projet'!$B$13,Paramètres!$A$1:$I$89,3,0)*VLOOKUP('Données projet'!$B$13,Paramètres!$A$1:$I$89,5,0)</f>
        <v>6.1186256061773749E-14</v>
      </c>
      <c r="CV180" s="14">
        <f t="shared" si="173"/>
        <v>9.7328366192051127E-13</v>
      </c>
      <c r="CW180" s="22">
        <f t="shared" si="174"/>
        <v>1.8017017738191463E-12</v>
      </c>
      <c r="CX180" s="60">
        <f t="shared" si="122"/>
        <v>293.33333333333513</v>
      </c>
      <c r="CY180" s="60">
        <f ca="1">AVERAGE(OFFSET($CX$3,0,0,'Données projet'!$E$13+1,1))-AVERAGE(OFFSET($H$3,0,0,'Données projet'!$E$13+1,1))</f>
        <v>280.20599015000306</v>
      </c>
      <c r="CZ180" s="60">
        <f t="shared" si="150"/>
        <v>166.97658184507787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-5.6843418860808015E-14</v>
      </c>
      <c r="DP180" s="18">
        <f>DO180*VLOOKUP('Données projet'!$B$14,Paramètres!$A$1:$I$89,3,0)*VLOOKUP('Données projet'!$B$14,Paramètres!$A$1:$I$89,5,0)</f>
        <v>-3.813056537183002E-14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291.18686311753402</v>
      </c>
      <c r="DU180" s="60">
        <f t="shared" si="152"/>
        <v>215.44422413249839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-1.9895196601282805E-13</v>
      </c>
      <c r="EK180" s="18">
        <f>EJ180*VLOOKUP('Données projet'!$B$15,Paramètres!$A$1:$I$89,3,0)*VLOOKUP('Données projet'!$B$15,Paramètres!$A$1:$I$89,5,0)</f>
        <v>-1.6138983482960614E-13</v>
      </c>
      <c r="EL180" s="14" t="e">
        <f t="shared" si="179"/>
        <v>#NUM!</v>
      </c>
      <c r="EM180" s="22" t="e">
        <f t="shared" si="180"/>
        <v>#NUM!</v>
      </c>
      <c r="EN180" s="60" t="e">
        <f t="shared" si="128"/>
        <v>#NUM!</v>
      </c>
      <c r="EO180" s="60">
        <f ca="1">AVERAGE(OFFSET($EN$3,0,0,'Données projet'!$E$15+1,1))-AVERAGE(OFFSET($H$3,0,0,'Données projet'!$E$15+1,1))</f>
        <v>236.22643401787644</v>
      </c>
      <c r="EP180" s="60">
        <f t="shared" si="154"/>
        <v>188.80444043778022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8">
        <f t="shared" si="110"/>
        <v>256.66666666666669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144.55635559713392</v>
      </c>
      <c r="T181" s="60">
        <f t="shared" si="142"/>
        <v>349.14692715126904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3.2508033480902734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1.165975696133712E-23</v>
      </c>
      <c r="AC181" s="24">
        <f t="shared" si="163"/>
        <v>3.2508033480902734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-9.6633812063373625E-13</v>
      </c>
      <c r="AJ181" s="14">
        <f>AI181*VLOOKUP('Données projet'!$B$10,Paramètres!$A$1:$I$89,3,0)*VLOOKUP('Données projet'!$B$10,Paramètres!$A$1:$I$89,5,0)</f>
        <v>-8.7434273154940449E-13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428.8489304403459</v>
      </c>
      <c r="AO181" s="60">
        <f t="shared" si="144"/>
        <v>247.01165577562966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-9.6633812063373625E-13</v>
      </c>
      <c r="BE181" s="14">
        <f>BD181*VLOOKUP('Données projet'!$B$11,Paramètres!$A$1:$I$89,3,0)*VLOOKUP('Données projet'!$B$11,Paramètres!$A$1:$I$89,5,0)</f>
        <v>-9.7986685432260874E-13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475.47920969424894</v>
      </c>
      <c r="BJ181" s="60">
        <f t="shared" si="146"/>
        <v>271.73544012419364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5.6843418860808015E-14</v>
      </c>
      <c r="BZ181" s="14">
        <f>BY181*VLOOKUP('Données projet'!$B$12,Paramètres!$A$1:$I$89,3,0)*VLOOKUP('Données projet'!$B$12,Paramètres!$A$1:$I$89,5,0)</f>
        <v>5.4978954722173515E-14</v>
      </c>
      <c r="CA181" s="14">
        <f t="shared" si="170"/>
        <v>8.8550225887742724E-13</v>
      </c>
      <c r="CB181" s="22">
        <f t="shared" si="171"/>
        <v>1.6380047803526383E-12</v>
      </c>
      <c r="CC181" s="60">
        <f t="shared" si="119"/>
        <v>293.33333333333496</v>
      </c>
      <c r="CD181" s="60">
        <f ca="1">AVERAGE(OFFSET($CC$3,0,0,'Données projet'!$E$12+1,1))-AVERAGE(OFFSET($H$3,0,0,'Données projet'!$E$12+1,1))</f>
        <v>255.59755832175625</v>
      </c>
      <c r="CE181" s="60">
        <f t="shared" si="148"/>
        <v>154.0840647586964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5.6843418860808015E-14</v>
      </c>
      <c r="CU181" s="18">
        <f>CT181*VLOOKUP('Données projet'!$B$13,Paramètres!$A$1:$I$89,3,0)*VLOOKUP('Données projet'!$B$13,Paramètres!$A$1:$I$89,5,0)</f>
        <v>6.1186256061773749E-14</v>
      </c>
      <c r="CV181" s="14">
        <f t="shared" si="173"/>
        <v>9.7328366192051127E-13</v>
      </c>
      <c r="CW181" s="22">
        <f t="shared" si="174"/>
        <v>1.8017017738191463E-12</v>
      </c>
      <c r="CX181" s="60">
        <f t="shared" si="122"/>
        <v>293.33333333333513</v>
      </c>
      <c r="CY181" s="60">
        <f ca="1">AVERAGE(OFFSET($CX$3,0,0,'Données projet'!$E$13+1,1))-AVERAGE(OFFSET($H$3,0,0,'Données projet'!$E$13+1,1))</f>
        <v>280.20599015000306</v>
      </c>
      <c r="CZ181" s="60">
        <f t="shared" si="150"/>
        <v>166.97658184507787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-5.6843418860808015E-14</v>
      </c>
      <c r="DP181" s="18">
        <f>DO181*VLOOKUP('Données projet'!$B$14,Paramètres!$A$1:$I$89,3,0)*VLOOKUP('Données projet'!$B$14,Paramètres!$A$1:$I$89,5,0)</f>
        <v>-3.813056537183002E-14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291.18686311753402</v>
      </c>
      <c r="DU181" s="60">
        <f t="shared" si="152"/>
        <v>215.44422413249839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-1.9895196601282805E-13</v>
      </c>
      <c r="EK181" s="18">
        <f>EJ181*VLOOKUP('Données projet'!$B$15,Paramètres!$A$1:$I$89,3,0)*VLOOKUP('Données projet'!$B$15,Paramètres!$A$1:$I$89,5,0)</f>
        <v>-1.6138983482960614E-13</v>
      </c>
      <c r="EL181" s="14" t="e">
        <f t="shared" si="179"/>
        <v>#NUM!</v>
      </c>
      <c r="EM181" s="22" t="e">
        <f t="shared" si="180"/>
        <v>#NUM!</v>
      </c>
      <c r="EN181" s="60" t="e">
        <f t="shared" si="128"/>
        <v>#NUM!</v>
      </c>
      <c r="EO181" s="60">
        <f ca="1">AVERAGE(OFFSET($EN$3,0,0,'Données projet'!$E$15+1,1))-AVERAGE(OFFSET($H$3,0,0,'Données projet'!$E$15+1,1))</f>
        <v>236.22643401787644</v>
      </c>
      <c r="EP181" s="60">
        <f t="shared" si="154"/>
        <v>188.80444043778022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8">
        <f t="shared" si="110"/>
        <v>256.66666666666669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144.55635559713392</v>
      </c>
      <c r="T182" s="60">
        <f t="shared" si="142"/>
        <v>349.14692715126904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3.1870570772284808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8.2446932143485314E-24</v>
      </c>
      <c r="AC182" s="24">
        <f t="shared" si="163"/>
        <v>3.1870570772284808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-9.6633812063373625E-13</v>
      </c>
      <c r="AJ182" s="14">
        <f>AI182*VLOOKUP('Données projet'!$B$10,Paramètres!$A$1:$I$89,3,0)*VLOOKUP('Données projet'!$B$10,Paramètres!$A$1:$I$89,5,0)</f>
        <v>-8.7434273154940449E-13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428.8489304403459</v>
      </c>
      <c r="AO182" s="60">
        <f t="shared" si="144"/>
        <v>247.01165577562966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-9.6633812063373625E-13</v>
      </c>
      <c r="BE182" s="14">
        <f>BD182*VLOOKUP('Données projet'!$B$11,Paramètres!$A$1:$I$89,3,0)*VLOOKUP('Données projet'!$B$11,Paramètres!$A$1:$I$89,5,0)</f>
        <v>-9.7986685432260874E-13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475.47920969424894</v>
      </c>
      <c r="BJ182" s="60">
        <f t="shared" si="146"/>
        <v>271.73544012419364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5.6843418860808015E-14</v>
      </c>
      <c r="BZ182" s="14">
        <f>BY182*VLOOKUP('Données projet'!$B$12,Paramètres!$A$1:$I$89,3,0)*VLOOKUP('Données projet'!$B$12,Paramètres!$A$1:$I$89,5,0)</f>
        <v>5.4978954722173515E-14</v>
      </c>
      <c r="CA182" s="14">
        <f t="shared" si="170"/>
        <v>8.8550225887742724E-13</v>
      </c>
      <c r="CB182" s="22">
        <f t="shared" si="171"/>
        <v>1.6380047803526383E-12</v>
      </c>
      <c r="CC182" s="60">
        <f t="shared" si="119"/>
        <v>293.33333333333496</v>
      </c>
      <c r="CD182" s="60">
        <f ca="1">AVERAGE(OFFSET($CC$3,0,0,'Données projet'!$E$12+1,1))-AVERAGE(OFFSET($H$3,0,0,'Données projet'!$E$12+1,1))</f>
        <v>255.59755832175625</v>
      </c>
      <c r="CE182" s="60">
        <f t="shared" si="148"/>
        <v>154.0840647586964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5.6843418860808015E-14</v>
      </c>
      <c r="CU182" s="18">
        <f>CT182*VLOOKUP('Données projet'!$B$13,Paramètres!$A$1:$I$89,3,0)*VLOOKUP('Données projet'!$B$13,Paramètres!$A$1:$I$89,5,0)</f>
        <v>6.1186256061773749E-14</v>
      </c>
      <c r="CV182" s="14">
        <f t="shared" si="173"/>
        <v>9.7328366192051127E-13</v>
      </c>
      <c r="CW182" s="22">
        <f t="shared" si="174"/>
        <v>1.8017017738191463E-12</v>
      </c>
      <c r="CX182" s="60">
        <f t="shared" si="122"/>
        <v>293.33333333333513</v>
      </c>
      <c r="CY182" s="60">
        <f ca="1">AVERAGE(OFFSET($CX$3,0,0,'Données projet'!$E$13+1,1))-AVERAGE(OFFSET($H$3,0,0,'Données projet'!$E$13+1,1))</f>
        <v>280.20599015000306</v>
      </c>
      <c r="CZ182" s="60">
        <f t="shared" si="150"/>
        <v>166.97658184507787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-5.6843418860808015E-14</v>
      </c>
      <c r="DP182" s="18">
        <f>DO182*VLOOKUP('Données projet'!$B$14,Paramètres!$A$1:$I$89,3,0)*VLOOKUP('Données projet'!$B$14,Paramètres!$A$1:$I$89,5,0)</f>
        <v>-3.813056537183002E-14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291.18686311753402</v>
      </c>
      <c r="DU182" s="60">
        <f t="shared" si="152"/>
        <v>215.44422413249839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-1.9895196601282805E-13</v>
      </c>
      <c r="EK182" s="18">
        <f>EJ182*VLOOKUP('Données projet'!$B$15,Paramètres!$A$1:$I$89,3,0)*VLOOKUP('Données projet'!$B$15,Paramètres!$A$1:$I$89,5,0)</f>
        <v>-1.6138983482960614E-13</v>
      </c>
      <c r="EL182" s="14" t="e">
        <f t="shared" si="179"/>
        <v>#NUM!</v>
      </c>
      <c r="EM182" s="22" t="e">
        <f t="shared" si="180"/>
        <v>#NUM!</v>
      </c>
      <c r="EN182" s="60" t="e">
        <f t="shared" si="128"/>
        <v>#NUM!</v>
      </c>
      <c r="EO182" s="60">
        <f ca="1">AVERAGE(OFFSET($EN$3,0,0,'Données projet'!$E$15+1,1))-AVERAGE(OFFSET($H$3,0,0,'Données projet'!$E$15+1,1))</f>
        <v>236.22643401787644</v>
      </c>
      <c r="EP182" s="60">
        <f t="shared" si="154"/>
        <v>188.80444043778022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8">
        <f t="shared" si="110"/>
        <v>256.66666666666669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144.55635559713392</v>
      </c>
      <c r="T183" s="60">
        <f t="shared" si="142"/>
        <v>349.14692715126904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3.1245608318569018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5.8298784806685602E-24</v>
      </c>
      <c r="AC183" s="24">
        <f t="shared" si="163"/>
        <v>3.1245608318569018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-9.6633812063373625E-13</v>
      </c>
      <c r="AJ183" s="14">
        <f>AI183*VLOOKUP('Données projet'!$B$10,Paramètres!$A$1:$I$89,3,0)*VLOOKUP('Données projet'!$B$10,Paramètres!$A$1:$I$89,5,0)</f>
        <v>-8.7434273154940449E-13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428.8489304403459</v>
      </c>
      <c r="AO183" s="60">
        <f t="shared" si="144"/>
        <v>247.01165577562966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-9.6633812063373625E-13</v>
      </c>
      <c r="BE183" s="14">
        <f>BD183*VLOOKUP('Données projet'!$B$11,Paramètres!$A$1:$I$89,3,0)*VLOOKUP('Données projet'!$B$11,Paramètres!$A$1:$I$89,5,0)</f>
        <v>-9.7986685432260874E-13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475.47920969424894</v>
      </c>
      <c r="BJ183" s="60">
        <f t="shared" si="146"/>
        <v>271.73544012419364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5.6843418860808015E-14</v>
      </c>
      <c r="BZ183" s="14">
        <f>BY183*VLOOKUP('Données projet'!$B$12,Paramètres!$A$1:$I$89,3,0)*VLOOKUP('Données projet'!$B$12,Paramètres!$A$1:$I$89,5,0)</f>
        <v>5.4978954722173515E-14</v>
      </c>
      <c r="CA183" s="14">
        <f t="shared" si="170"/>
        <v>8.8550225887742724E-13</v>
      </c>
      <c r="CB183" s="22">
        <f t="shared" si="171"/>
        <v>1.6380047803526383E-12</v>
      </c>
      <c r="CC183" s="60">
        <f t="shared" si="119"/>
        <v>293.33333333333496</v>
      </c>
      <c r="CD183" s="60">
        <f ca="1">AVERAGE(OFFSET($CC$3,0,0,'Données projet'!$E$12+1,1))-AVERAGE(OFFSET($H$3,0,0,'Données projet'!$E$12+1,1))</f>
        <v>255.59755832175625</v>
      </c>
      <c r="CE183" s="60">
        <f t="shared" si="148"/>
        <v>154.0840647586964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5.6843418860808015E-14</v>
      </c>
      <c r="CU183" s="18">
        <f>CT183*VLOOKUP('Données projet'!$B$13,Paramètres!$A$1:$I$89,3,0)*VLOOKUP('Données projet'!$B$13,Paramètres!$A$1:$I$89,5,0)</f>
        <v>6.1186256061773749E-14</v>
      </c>
      <c r="CV183" s="14">
        <f t="shared" si="173"/>
        <v>9.7328366192051127E-13</v>
      </c>
      <c r="CW183" s="22">
        <f t="shared" si="174"/>
        <v>1.8017017738191463E-12</v>
      </c>
      <c r="CX183" s="60">
        <f t="shared" si="122"/>
        <v>293.33333333333513</v>
      </c>
      <c r="CY183" s="60">
        <f ca="1">AVERAGE(OFFSET($CX$3,0,0,'Données projet'!$E$13+1,1))-AVERAGE(OFFSET($H$3,0,0,'Données projet'!$E$13+1,1))</f>
        <v>280.20599015000306</v>
      </c>
      <c r="CZ183" s="60">
        <f t="shared" si="150"/>
        <v>166.97658184507787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-5.6843418860808015E-14</v>
      </c>
      <c r="DP183" s="18">
        <f>DO183*VLOOKUP('Données projet'!$B$14,Paramètres!$A$1:$I$89,3,0)*VLOOKUP('Données projet'!$B$14,Paramètres!$A$1:$I$89,5,0)</f>
        <v>-3.813056537183002E-14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291.18686311753402</v>
      </c>
      <c r="DU183" s="60">
        <f t="shared" si="152"/>
        <v>215.44422413249839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-1.9895196601282805E-13</v>
      </c>
      <c r="EK183" s="18">
        <f>EJ183*VLOOKUP('Données projet'!$B$15,Paramètres!$A$1:$I$89,3,0)*VLOOKUP('Données projet'!$B$15,Paramètres!$A$1:$I$89,5,0)</f>
        <v>-1.6138983482960614E-13</v>
      </c>
      <c r="EL183" s="14" t="e">
        <f t="shared" si="179"/>
        <v>#NUM!</v>
      </c>
      <c r="EM183" s="22" t="e">
        <f t="shared" si="180"/>
        <v>#NUM!</v>
      </c>
      <c r="EN183" s="60" t="e">
        <f t="shared" si="128"/>
        <v>#NUM!</v>
      </c>
      <c r="EO183" s="60">
        <f ca="1">AVERAGE(OFFSET($EN$3,0,0,'Données projet'!$E$15+1,1))-AVERAGE(OFFSET($H$3,0,0,'Données projet'!$E$15+1,1))</f>
        <v>236.22643401787644</v>
      </c>
      <c r="EP183" s="60">
        <f t="shared" si="154"/>
        <v>188.80444043778022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8">
        <f t="shared" si="110"/>
        <v>256.66666666666669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144.55635559713392</v>
      </c>
      <c r="T184" s="60">
        <f t="shared" si="142"/>
        <v>349.14692715126904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3.0632900997381141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4.1223466071742657E-24</v>
      </c>
      <c r="AC184" s="24">
        <f t="shared" si="163"/>
        <v>3.0632900997381141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-9.6633812063373625E-13</v>
      </c>
      <c r="AJ184" s="14">
        <f>AI184*VLOOKUP('Données projet'!$B$10,Paramètres!$A$1:$I$89,3,0)*VLOOKUP('Données projet'!$B$10,Paramètres!$A$1:$I$89,5,0)</f>
        <v>-8.7434273154940449E-13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428.8489304403459</v>
      </c>
      <c r="AO184" s="60">
        <f t="shared" si="144"/>
        <v>247.01165577562966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-9.6633812063373625E-13</v>
      </c>
      <c r="BE184" s="14">
        <f>BD184*VLOOKUP('Données projet'!$B$11,Paramètres!$A$1:$I$89,3,0)*VLOOKUP('Données projet'!$B$11,Paramètres!$A$1:$I$89,5,0)</f>
        <v>-9.7986685432260874E-13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475.47920969424894</v>
      </c>
      <c r="BJ184" s="60">
        <f t="shared" si="146"/>
        <v>271.73544012419364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5.6843418860808015E-14</v>
      </c>
      <c r="BZ184" s="14">
        <f>BY184*VLOOKUP('Données projet'!$B$12,Paramètres!$A$1:$I$89,3,0)*VLOOKUP('Données projet'!$B$12,Paramètres!$A$1:$I$89,5,0)</f>
        <v>5.4978954722173515E-14</v>
      </c>
      <c r="CA184" s="14">
        <f t="shared" si="170"/>
        <v>8.8550225887742724E-13</v>
      </c>
      <c r="CB184" s="22">
        <f t="shared" si="171"/>
        <v>1.6380047803526383E-12</v>
      </c>
      <c r="CC184" s="60">
        <f t="shared" si="119"/>
        <v>293.33333333333496</v>
      </c>
      <c r="CD184" s="60">
        <f ca="1">AVERAGE(OFFSET($CC$3,0,0,'Données projet'!$E$12+1,1))-AVERAGE(OFFSET($H$3,0,0,'Données projet'!$E$12+1,1))</f>
        <v>255.59755832175625</v>
      </c>
      <c r="CE184" s="60">
        <f t="shared" si="148"/>
        <v>154.0840647586964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5.6843418860808015E-14</v>
      </c>
      <c r="CU184" s="18">
        <f>CT184*VLOOKUP('Données projet'!$B$13,Paramètres!$A$1:$I$89,3,0)*VLOOKUP('Données projet'!$B$13,Paramètres!$A$1:$I$89,5,0)</f>
        <v>6.1186256061773749E-14</v>
      </c>
      <c r="CV184" s="14">
        <f t="shared" si="173"/>
        <v>9.7328366192051127E-13</v>
      </c>
      <c r="CW184" s="22">
        <f t="shared" si="174"/>
        <v>1.8017017738191463E-12</v>
      </c>
      <c r="CX184" s="60">
        <f t="shared" si="122"/>
        <v>293.33333333333513</v>
      </c>
      <c r="CY184" s="60">
        <f ca="1">AVERAGE(OFFSET($CX$3,0,0,'Données projet'!$E$13+1,1))-AVERAGE(OFFSET($H$3,0,0,'Données projet'!$E$13+1,1))</f>
        <v>280.20599015000306</v>
      </c>
      <c r="CZ184" s="60">
        <f t="shared" si="150"/>
        <v>166.97658184507787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-5.6843418860808015E-14</v>
      </c>
      <c r="DP184" s="18">
        <f>DO184*VLOOKUP('Données projet'!$B$14,Paramètres!$A$1:$I$89,3,0)*VLOOKUP('Données projet'!$B$14,Paramètres!$A$1:$I$89,5,0)</f>
        <v>-3.813056537183002E-14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291.18686311753402</v>
      </c>
      <c r="DU184" s="60">
        <f t="shared" si="152"/>
        <v>215.44422413249839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-1.9895196601282805E-13</v>
      </c>
      <c r="EK184" s="18">
        <f>EJ184*VLOOKUP('Données projet'!$B$15,Paramètres!$A$1:$I$89,3,0)*VLOOKUP('Données projet'!$B$15,Paramètres!$A$1:$I$89,5,0)</f>
        <v>-1.6138983482960614E-13</v>
      </c>
      <c r="EL184" s="14" t="e">
        <f t="shared" si="179"/>
        <v>#NUM!</v>
      </c>
      <c r="EM184" s="22" t="e">
        <f t="shared" si="180"/>
        <v>#NUM!</v>
      </c>
      <c r="EN184" s="60" t="e">
        <f t="shared" si="128"/>
        <v>#NUM!</v>
      </c>
      <c r="EO184" s="60">
        <f ca="1">AVERAGE(OFFSET($EN$3,0,0,'Données projet'!$E$15+1,1))-AVERAGE(OFFSET($H$3,0,0,'Données projet'!$E$15+1,1))</f>
        <v>236.22643401787644</v>
      </c>
      <c r="EP184" s="60">
        <f t="shared" si="154"/>
        <v>188.80444043778022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8">
        <f t="shared" si="110"/>
        <v>256.66666666666669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144.55635559713392</v>
      </c>
      <c r="T185" s="60">
        <f t="shared" si="142"/>
        <v>349.14692715126904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3.0032208493047192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2.9149392403342801E-24</v>
      </c>
      <c r="AC185" s="24">
        <f t="shared" si="163"/>
        <v>3.0032208493047192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-9.6633812063373625E-13</v>
      </c>
      <c r="AJ185" s="14">
        <f>AI185*VLOOKUP('Données projet'!$B$10,Paramètres!$A$1:$I$89,3,0)*VLOOKUP('Données projet'!$B$10,Paramètres!$A$1:$I$89,5,0)</f>
        <v>-8.7434273154940449E-13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428.8489304403459</v>
      </c>
      <c r="AO185" s="60">
        <f t="shared" si="144"/>
        <v>247.01165577562966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-9.6633812063373625E-13</v>
      </c>
      <c r="BE185" s="14">
        <f>BD185*VLOOKUP('Données projet'!$B$11,Paramètres!$A$1:$I$89,3,0)*VLOOKUP('Données projet'!$B$11,Paramètres!$A$1:$I$89,5,0)</f>
        <v>-9.7986685432260874E-13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475.47920969424894</v>
      </c>
      <c r="BJ185" s="60">
        <f t="shared" si="146"/>
        <v>271.73544012419364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5.6843418860808015E-14</v>
      </c>
      <c r="BZ185" s="14">
        <f>BY185*VLOOKUP('Données projet'!$B$12,Paramètres!$A$1:$I$89,3,0)*VLOOKUP('Données projet'!$B$12,Paramètres!$A$1:$I$89,5,0)</f>
        <v>5.4978954722173515E-14</v>
      </c>
      <c r="CA185" s="14">
        <f t="shared" si="170"/>
        <v>8.8550225887742724E-13</v>
      </c>
      <c r="CB185" s="22">
        <f t="shared" si="171"/>
        <v>1.6380047803526383E-12</v>
      </c>
      <c r="CC185" s="60">
        <f t="shared" si="119"/>
        <v>293.33333333333496</v>
      </c>
      <c r="CD185" s="60">
        <f ca="1">AVERAGE(OFFSET($CC$3,0,0,'Données projet'!$E$12+1,1))-AVERAGE(OFFSET($H$3,0,0,'Données projet'!$E$12+1,1))</f>
        <v>255.59755832175625</v>
      </c>
      <c r="CE185" s="60">
        <f t="shared" si="148"/>
        <v>154.0840647586964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5.6843418860808015E-14</v>
      </c>
      <c r="CU185" s="18">
        <f>CT185*VLOOKUP('Données projet'!$B$13,Paramètres!$A$1:$I$89,3,0)*VLOOKUP('Données projet'!$B$13,Paramètres!$A$1:$I$89,5,0)</f>
        <v>6.1186256061773749E-14</v>
      </c>
      <c r="CV185" s="14">
        <f t="shared" si="173"/>
        <v>9.7328366192051127E-13</v>
      </c>
      <c r="CW185" s="22">
        <f t="shared" si="174"/>
        <v>1.8017017738191463E-12</v>
      </c>
      <c r="CX185" s="60">
        <f t="shared" si="122"/>
        <v>293.33333333333513</v>
      </c>
      <c r="CY185" s="60">
        <f ca="1">AVERAGE(OFFSET($CX$3,0,0,'Données projet'!$E$13+1,1))-AVERAGE(OFFSET($H$3,0,0,'Données projet'!$E$13+1,1))</f>
        <v>280.20599015000306</v>
      </c>
      <c r="CZ185" s="60">
        <f t="shared" si="150"/>
        <v>166.97658184507787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-5.6843418860808015E-14</v>
      </c>
      <c r="DP185" s="18">
        <f>DO185*VLOOKUP('Données projet'!$B$14,Paramètres!$A$1:$I$89,3,0)*VLOOKUP('Données projet'!$B$14,Paramètres!$A$1:$I$89,5,0)</f>
        <v>-3.813056537183002E-14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291.18686311753402</v>
      </c>
      <c r="DU185" s="60">
        <f t="shared" si="152"/>
        <v>215.44422413249839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-1.9895196601282805E-13</v>
      </c>
      <c r="EK185" s="18">
        <f>EJ185*VLOOKUP('Données projet'!$B$15,Paramètres!$A$1:$I$89,3,0)*VLOOKUP('Données projet'!$B$15,Paramètres!$A$1:$I$89,5,0)</f>
        <v>-1.6138983482960614E-13</v>
      </c>
      <c r="EL185" s="14" t="e">
        <f t="shared" si="179"/>
        <v>#NUM!</v>
      </c>
      <c r="EM185" s="22" t="e">
        <f t="shared" si="180"/>
        <v>#NUM!</v>
      </c>
      <c r="EN185" s="60" t="e">
        <f t="shared" si="128"/>
        <v>#NUM!</v>
      </c>
      <c r="EO185" s="60">
        <f ca="1">AVERAGE(OFFSET($EN$3,0,0,'Données projet'!$E$15+1,1))-AVERAGE(OFFSET($H$3,0,0,'Données projet'!$E$15+1,1))</f>
        <v>236.22643401787644</v>
      </c>
      <c r="EP185" s="60">
        <f t="shared" si="154"/>
        <v>188.80444043778022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8">
        <f t="shared" si="110"/>
        <v>256.66666666666669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144.55635559713392</v>
      </c>
      <c r="T186" s="60">
        <f t="shared" si="142"/>
        <v>349.14692715126904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2.9443295202336981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2.0611733035871328E-24</v>
      </c>
      <c r="AC186" s="24">
        <f t="shared" si="163"/>
        <v>2.9443295202336981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-9.6633812063373625E-13</v>
      </c>
      <c r="AJ186" s="14">
        <f>AI186*VLOOKUP('Données projet'!$B$10,Paramètres!$A$1:$I$89,3,0)*VLOOKUP('Données projet'!$B$10,Paramètres!$A$1:$I$89,5,0)</f>
        <v>-8.7434273154940449E-13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428.8489304403459</v>
      </c>
      <c r="AO186" s="60">
        <f t="shared" si="144"/>
        <v>247.01165577562966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-9.6633812063373625E-13</v>
      </c>
      <c r="BE186" s="14">
        <f>BD186*VLOOKUP('Données projet'!$B$11,Paramètres!$A$1:$I$89,3,0)*VLOOKUP('Données projet'!$B$11,Paramètres!$A$1:$I$89,5,0)</f>
        <v>-9.7986685432260874E-13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475.47920969424894</v>
      </c>
      <c r="BJ186" s="60">
        <f t="shared" si="146"/>
        <v>271.73544012419364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5.6843418860808015E-14</v>
      </c>
      <c r="BZ186" s="14">
        <f>BY186*VLOOKUP('Données projet'!$B$12,Paramètres!$A$1:$I$89,3,0)*VLOOKUP('Données projet'!$B$12,Paramètres!$A$1:$I$89,5,0)</f>
        <v>5.4978954722173515E-14</v>
      </c>
      <c r="CA186" s="14">
        <f t="shared" si="170"/>
        <v>8.8550225887742724E-13</v>
      </c>
      <c r="CB186" s="22">
        <f t="shared" si="171"/>
        <v>1.6380047803526383E-12</v>
      </c>
      <c r="CC186" s="60">
        <f t="shared" si="119"/>
        <v>293.33333333333496</v>
      </c>
      <c r="CD186" s="60">
        <f ca="1">AVERAGE(OFFSET($CC$3,0,0,'Données projet'!$E$12+1,1))-AVERAGE(OFFSET($H$3,0,0,'Données projet'!$E$12+1,1))</f>
        <v>255.59755832175625</v>
      </c>
      <c r="CE186" s="60">
        <f t="shared" si="148"/>
        <v>154.0840647586964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5.6843418860808015E-14</v>
      </c>
      <c r="CU186" s="18">
        <f>CT186*VLOOKUP('Données projet'!$B$13,Paramètres!$A$1:$I$89,3,0)*VLOOKUP('Données projet'!$B$13,Paramètres!$A$1:$I$89,5,0)</f>
        <v>6.1186256061773749E-14</v>
      </c>
      <c r="CV186" s="14">
        <f t="shared" si="173"/>
        <v>9.7328366192051127E-13</v>
      </c>
      <c r="CW186" s="22">
        <f t="shared" si="174"/>
        <v>1.8017017738191463E-12</v>
      </c>
      <c r="CX186" s="60">
        <f t="shared" si="122"/>
        <v>293.33333333333513</v>
      </c>
      <c r="CY186" s="60">
        <f ca="1">AVERAGE(OFFSET($CX$3,0,0,'Données projet'!$E$13+1,1))-AVERAGE(OFFSET($H$3,0,0,'Données projet'!$E$13+1,1))</f>
        <v>280.20599015000306</v>
      </c>
      <c r="CZ186" s="60">
        <f t="shared" si="150"/>
        <v>166.97658184507787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-5.6843418860808015E-14</v>
      </c>
      <c r="DP186" s="18">
        <f>DO186*VLOOKUP('Données projet'!$B$14,Paramètres!$A$1:$I$89,3,0)*VLOOKUP('Données projet'!$B$14,Paramètres!$A$1:$I$89,5,0)</f>
        <v>-3.813056537183002E-14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291.18686311753402</v>
      </c>
      <c r="DU186" s="60">
        <f t="shared" si="152"/>
        <v>215.44422413249839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-1.9895196601282805E-13</v>
      </c>
      <c r="EK186" s="18">
        <f>EJ186*VLOOKUP('Données projet'!$B$15,Paramètres!$A$1:$I$89,3,0)*VLOOKUP('Données projet'!$B$15,Paramètres!$A$1:$I$89,5,0)</f>
        <v>-1.6138983482960614E-13</v>
      </c>
      <c r="EL186" s="14" t="e">
        <f t="shared" si="179"/>
        <v>#NUM!</v>
      </c>
      <c r="EM186" s="22" t="e">
        <f t="shared" si="180"/>
        <v>#NUM!</v>
      </c>
      <c r="EN186" s="60" t="e">
        <f t="shared" si="128"/>
        <v>#NUM!</v>
      </c>
      <c r="EO186" s="60">
        <f ca="1">AVERAGE(OFFSET($EN$3,0,0,'Données projet'!$E$15+1,1))-AVERAGE(OFFSET($H$3,0,0,'Données projet'!$E$15+1,1))</f>
        <v>236.22643401787644</v>
      </c>
      <c r="EP186" s="60">
        <f t="shared" si="154"/>
        <v>188.80444043778022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8">
        <f t="shared" si="110"/>
        <v>256.66666666666669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144.55635559713392</v>
      </c>
      <c r="T187" s="60">
        <f t="shared" si="142"/>
        <v>349.14692715126904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2.8865930142055958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1.45746962016714E-24</v>
      </c>
      <c r="AC187" s="24">
        <f t="shared" si="163"/>
        <v>2.8865930142055958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-9.6633812063373625E-13</v>
      </c>
      <c r="AJ187" s="14">
        <f>AI187*VLOOKUP('Données projet'!$B$10,Paramètres!$A$1:$I$89,3,0)*VLOOKUP('Données projet'!$B$10,Paramètres!$A$1:$I$89,5,0)</f>
        <v>-8.7434273154940449E-13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428.8489304403459</v>
      </c>
      <c r="AO187" s="60">
        <f t="shared" si="144"/>
        <v>247.01165577562966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-9.6633812063373625E-13</v>
      </c>
      <c r="BE187" s="14">
        <f>BD187*VLOOKUP('Données projet'!$B$11,Paramètres!$A$1:$I$89,3,0)*VLOOKUP('Données projet'!$B$11,Paramètres!$A$1:$I$89,5,0)</f>
        <v>-9.7986685432260874E-13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475.47920969424894</v>
      </c>
      <c r="BJ187" s="60">
        <f t="shared" si="146"/>
        <v>271.73544012419364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5.6843418860808015E-14</v>
      </c>
      <c r="BZ187" s="14">
        <f>BY187*VLOOKUP('Données projet'!$B$12,Paramètres!$A$1:$I$89,3,0)*VLOOKUP('Données projet'!$B$12,Paramètres!$A$1:$I$89,5,0)</f>
        <v>5.4978954722173515E-14</v>
      </c>
      <c r="CA187" s="14">
        <f t="shared" si="170"/>
        <v>8.8550225887742724E-13</v>
      </c>
      <c r="CB187" s="22">
        <f t="shared" si="171"/>
        <v>1.6380047803526383E-12</v>
      </c>
      <c r="CC187" s="60">
        <f t="shared" si="119"/>
        <v>293.33333333333496</v>
      </c>
      <c r="CD187" s="60">
        <f ca="1">AVERAGE(OFFSET($CC$3,0,0,'Données projet'!$E$12+1,1))-AVERAGE(OFFSET($H$3,0,0,'Données projet'!$E$12+1,1))</f>
        <v>255.59755832175625</v>
      </c>
      <c r="CE187" s="60">
        <f t="shared" si="148"/>
        <v>154.0840647586964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5.6843418860808015E-14</v>
      </c>
      <c r="CU187" s="18">
        <f>CT187*VLOOKUP('Données projet'!$B$13,Paramètres!$A$1:$I$89,3,0)*VLOOKUP('Données projet'!$B$13,Paramètres!$A$1:$I$89,5,0)</f>
        <v>6.1186256061773749E-14</v>
      </c>
      <c r="CV187" s="14">
        <f t="shared" si="173"/>
        <v>9.7328366192051127E-13</v>
      </c>
      <c r="CW187" s="22">
        <f t="shared" si="174"/>
        <v>1.8017017738191463E-12</v>
      </c>
      <c r="CX187" s="60">
        <f t="shared" si="122"/>
        <v>293.33333333333513</v>
      </c>
      <c r="CY187" s="60">
        <f ca="1">AVERAGE(OFFSET($CX$3,0,0,'Données projet'!$E$13+1,1))-AVERAGE(OFFSET($H$3,0,0,'Données projet'!$E$13+1,1))</f>
        <v>280.20599015000306</v>
      </c>
      <c r="CZ187" s="60">
        <f t="shared" si="150"/>
        <v>166.97658184507787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-5.6843418860808015E-14</v>
      </c>
      <c r="DP187" s="18">
        <f>DO187*VLOOKUP('Données projet'!$B$14,Paramètres!$A$1:$I$89,3,0)*VLOOKUP('Données projet'!$B$14,Paramètres!$A$1:$I$89,5,0)</f>
        <v>-3.813056537183002E-14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291.18686311753402</v>
      </c>
      <c r="DU187" s="60">
        <f t="shared" si="152"/>
        <v>215.44422413249839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-1.9895196601282805E-13</v>
      </c>
      <c r="EK187" s="18">
        <f>EJ187*VLOOKUP('Données projet'!$B$15,Paramètres!$A$1:$I$89,3,0)*VLOOKUP('Données projet'!$B$15,Paramètres!$A$1:$I$89,5,0)</f>
        <v>-1.6138983482960614E-13</v>
      </c>
      <c r="EL187" s="14" t="e">
        <f t="shared" si="179"/>
        <v>#NUM!</v>
      </c>
      <c r="EM187" s="22" t="e">
        <f t="shared" si="180"/>
        <v>#NUM!</v>
      </c>
      <c r="EN187" s="60" t="e">
        <f t="shared" si="128"/>
        <v>#NUM!</v>
      </c>
      <c r="EO187" s="60">
        <f ca="1">AVERAGE(OFFSET($EN$3,0,0,'Données projet'!$E$15+1,1))-AVERAGE(OFFSET($H$3,0,0,'Données projet'!$E$15+1,1))</f>
        <v>236.22643401787644</v>
      </c>
      <c r="EP187" s="60">
        <f t="shared" si="154"/>
        <v>188.80444043778022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8">
        <f t="shared" si="110"/>
        <v>256.66666666666669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144.55635559713392</v>
      </c>
      <c r="T188" s="60">
        <f t="shared" si="142"/>
        <v>349.14692715126904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2.829988685844913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1.0305866517935664E-24</v>
      </c>
      <c r="AC188" s="24">
        <f t="shared" si="163"/>
        <v>2.829988685844913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-9.6633812063373625E-13</v>
      </c>
      <c r="AJ188" s="14">
        <f>AI188*VLOOKUP('Données projet'!$B$10,Paramètres!$A$1:$I$89,3,0)*VLOOKUP('Données projet'!$B$10,Paramètres!$A$1:$I$89,5,0)</f>
        <v>-8.7434273154940449E-13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428.8489304403459</v>
      </c>
      <c r="AO188" s="60">
        <f t="shared" si="144"/>
        <v>247.01165577562966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-9.6633812063373625E-13</v>
      </c>
      <c r="BE188" s="14">
        <f>BD188*VLOOKUP('Données projet'!$B$11,Paramètres!$A$1:$I$89,3,0)*VLOOKUP('Données projet'!$B$11,Paramètres!$A$1:$I$89,5,0)</f>
        <v>-9.7986685432260874E-13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475.47920969424894</v>
      </c>
      <c r="BJ188" s="60">
        <f t="shared" si="146"/>
        <v>271.73544012419364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5.6843418860808015E-14</v>
      </c>
      <c r="BZ188" s="14">
        <f>BY188*VLOOKUP('Données projet'!$B$12,Paramètres!$A$1:$I$89,3,0)*VLOOKUP('Données projet'!$B$12,Paramètres!$A$1:$I$89,5,0)</f>
        <v>5.4978954722173515E-14</v>
      </c>
      <c r="CA188" s="14">
        <f t="shared" si="170"/>
        <v>8.8550225887742724E-13</v>
      </c>
      <c r="CB188" s="22">
        <f t="shared" si="171"/>
        <v>1.6380047803526383E-12</v>
      </c>
      <c r="CC188" s="60">
        <f t="shared" si="119"/>
        <v>293.33333333333496</v>
      </c>
      <c r="CD188" s="60">
        <f ca="1">AVERAGE(OFFSET($CC$3,0,0,'Données projet'!$E$12+1,1))-AVERAGE(OFFSET($H$3,0,0,'Données projet'!$E$12+1,1))</f>
        <v>255.59755832175625</v>
      </c>
      <c r="CE188" s="60">
        <f t="shared" si="148"/>
        <v>154.0840647586964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5.6843418860808015E-14</v>
      </c>
      <c r="CU188" s="18">
        <f>CT188*VLOOKUP('Données projet'!$B$13,Paramètres!$A$1:$I$89,3,0)*VLOOKUP('Données projet'!$B$13,Paramètres!$A$1:$I$89,5,0)</f>
        <v>6.1186256061773749E-14</v>
      </c>
      <c r="CV188" s="14">
        <f t="shared" si="173"/>
        <v>9.7328366192051127E-13</v>
      </c>
      <c r="CW188" s="22">
        <f t="shared" si="174"/>
        <v>1.8017017738191463E-12</v>
      </c>
      <c r="CX188" s="60">
        <f t="shared" si="122"/>
        <v>293.33333333333513</v>
      </c>
      <c r="CY188" s="60">
        <f ca="1">AVERAGE(OFFSET($CX$3,0,0,'Données projet'!$E$13+1,1))-AVERAGE(OFFSET($H$3,0,0,'Données projet'!$E$13+1,1))</f>
        <v>280.20599015000306</v>
      </c>
      <c r="CZ188" s="60">
        <f t="shared" si="150"/>
        <v>166.97658184507787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-5.6843418860808015E-14</v>
      </c>
      <c r="DP188" s="18">
        <f>DO188*VLOOKUP('Données projet'!$B$14,Paramètres!$A$1:$I$89,3,0)*VLOOKUP('Données projet'!$B$14,Paramètres!$A$1:$I$89,5,0)</f>
        <v>-3.813056537183002E-14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291.18686311753402</v>
      </c>
      <c r="DU188" s="60">
        <f t="shared" si="152"/>
        <v>215.44422413249839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-1.9895196601282805E-13</v>
      </c>
      <c r="EK188" s="18">
        <f>EJ188*VLOOKUP('Données projet'!$B$15,Paramètres!$A$1:$I$89,3,0)*VLOOKUP('Données projet'!$B$15,Paramètres!$A$1:$I$89,5,0)</f>
        <v>-1.6138983482960614E-13</v>
      </c>
      <c r="EL188" s="14" t="e">
        <f t="shared" si="179"/>
        <v>#NUM!</v>
      </c>
      <c r="EM188" s="22" t="e">
        <f t="shared" si="180"/>
        <v>#NUM!</v>
      </c>
      <c r="EN188" s="60" t="e">
        <f t="shared" si="128"/>
        <v>#NUM!</v>
      </c>
      <c r="EO188" s="60">
        <f ca="1">AVERAGE(OFFSET($EN$3,0,0,'Données projet'!$E$15+1,1))-AVERAGE(OFFSET($H$3,0,0,'Données projet'!$E$15+1,1))</f>
        <v>236.22643401787644</v>
      </c>
      <c r="EP188" s="60">
        <f t="shared" si="154"/>
        <v>188.80444043778022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8">
        <f t="shared" si="110"/>
        <v>256.66666666666669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144.55635559713392</v>
      </c>
      <c r="T189" s="60">
        <f t="shared" si="142"/>
        <v>349.14692715126904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2.774494333838152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7.2873481008357002E-25</v>
      </c>
      <c r="AC189" s="24">
        <f t="shared" si="163"/>
        <v>2.774494333838152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-9.6633812063373625E-13</v>
      </c>
      <c r="AJ189" s="14">
        <f>AI189*VLOOKUP('Données projet'!$B$10,Paramètres!$A$1:$I$89,3,0)*VLOOKUP('Données projet'!$B$10,Paramètres!$A$1:$I$89,5,0)</f>
        <v>-8.7434273154940449E-13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428.8489304403459</v>
      </c>
      <c r="AO189" s="60">
        <f t="shared" si="144"/>
        <v>247.01165577562966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-9.6633812063373625E-13</v>
      </c>
      <c r="BE189" s="14">
        <f>BD189*VLOOKUP('Données projet'!$B$11,Paramètres!$A$1:$I$89,3,0)*VLOOKUP('Données projet'!$B$11,Paramètres!$A$1:$I$89,5,0)</f>
        <v>-9.7986685432260874E-13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475.47920969424894</v>
      </c>
      <c r="BJ189" s="60">
        <f t="shared" si="146"/>
        <v>271.73544012419364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5.6843418860808015E-14</v>
      </c>
      <c r="BZ189" s="14">
        <f>BY189*VLOOKUP('Données projet'!$B$12,Paramètres!$A$1:$I$89,3,0)*VLOOKUP('Données projet'!$B$12,Paramètres!$A$1:$I$89,5,0)</f>
        <v>5.4978954722173515E-14</v>
      </c>
      <c r="CA189" s="14">
        <f t="shared" si="170"/>
        <v>8.8550225887742724E-13</v>
      </c>
      <c r="CB189" s="22">
        <f t="shared" si="171"/>
        <v>1.6380047803526383E-12</v>
      </c>
      <c r="CC189" s="60">
        <f t="shared" si="119"/>
        <v>293.33333333333496</v>
      </c>
      <c r="CD189" s="60">
        <f ca="1">AVERAGE(OFFSET($CC$3,0,0,'Données projet'!$E$12+1,1))-AVERAGE(OFFSET($H$3,0,0,'Données projet'!$E$12+1,1))</f>
        <v>255.59755832175625</v>
      </c>
      <c r="CE189" s="60">
        <f t="shared" si="148"/>
        <v>154.0840647586964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5.6843418860808015E-14</v>
      </c>
      <c r="CU189" s="18">
        <f>CT189*VLOOKUP('Données projet'!$B$13,Paramètres!$A$1:$I$89,3,0)*VLOOKUP('Données projet'!$B$13,Paramètres!$A$1:$I$89,5,0)</f>
        <v>6.1186256061773749E-14</v>
      </c>
      <c r="CV189" s="14">
        <f t="shared" si="173"/>
        <v>9.7328366192051127E-13</v>
      </c>
      <c r="CW189" s="22">
        <f t="shared" si="174"/>
        <v>1.8017017738191463E-12</v>
      </c>
      <c r="CX189" s="60">
        <f t="shared" si="122"/>
        <v>293.33333333333513</v>
      </c>
      <c r="CY189" s="60">
        <f ca="1">AVERAGE(OFFSET($CX$3,0,0,'Données projet'!$E$13+1,1))-AVERAGE(OFFSET($H$3,0,0,'Données projet'!$E$13+1,1))</f>
        <v>280.20599015000306</v>
      </c>
      <c r="CZ189" s="60">
        <f t="shared" si="150"/>
        <v>166.97658184507787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-5.6843418860808015E-14</v>
      </c>
      <c r="DP189" s="18">
        <f>DO189*VLOOKUP('Données projet'!$B$14,Paramètres!$A$1:$I$89,3,0)*VLOOKUP('Données projet'!$B$14,Paramètres!$A$1:$I$89,5,0)</f>
        <v>-3.813056537183002E-14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291.18686311753402</v>
      </c>
      <c r="DU189" s="60">
        <f t="shared" si="152"/>
        <v>215.44422413249839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-1.9895196601282805E-13</v>
      </c>
      <c r="EK189" s="18">
        <f>EJ189*VLOOKUP('Données projet'!$B$15,Paramètres!$A$1:$I$89,3,0)*VLOOKUP('Données projet'!$B$15,Paramètres!$A$1:$I$89,5,0)</f>
        <v>-1.6138983482960614E-13</v>
      </c>
      <c r="EL189" s="14" t="e">
        <f t="shared" si="179"/>
        <v>#NUM!</v>
      </c>
      <c r="EM189" s="22" t="e">
        <f t="shared" si="180"/>
        <v>#NUM!</v>
      </c>
      <c r="EN189" s="60" t="e">
        <f t="shared" si="128"/>
        <v>#NUM!</v>
      </c>
      <c r="EO189" s="60">
        <f ca="1">AVERAGE(OFFSET($EN$3,0,0,'Données projet'!$E$15+1,1))-AVERAGE(OFFSET($H$3,0,0,'Données projet'!$E$15+1,1))</f>
        <v>236.22643401787644</v>
      </c>
      <c r="EP189" s="60">
        <f t="shared" si="154"/>
        <v>188.80444043778022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8">
        <f t="shared" si="110"/>
        <v>256.66666666666669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144.55635559713392</v>
      </c>
      <c r="T190" s="60">
        <f t="shared" si="142"/>
        <v>349.14692715126904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2.7200881922260312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5.1529332589678321E-25</v>
      </c>
      <c r="AC190" s="24">
        <f t="shared" si="163"/>
        <v>2.7200881922260312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-9.6633812063373625E-13</v>
      </c>
      <c r="AJ190" s="14">
        <f>AI190*VLOOKUP('Données projet'!$B$10,Paramètres!$A$1:$I$89,3,0)*VLOOKUP('Données projet'!$B$10,Paramètres!$A$1:$I$89,5,0)</f>
        <v>-8.7434273154940449E-13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428.8489304403459</v>
      </c>
      <c r="AO190" s="60">
        <f t="shared" si="144"/>
        <v>247.01165577562966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-9.6633812063373625E-13</v>
      </c>
      <c r="BE190" s="14">
        <f>BD190*VLOOKUP('Données projet'!$B$11,Paramètres!$A$1:$I$89,3,0)*VLOOKUP('Données projet'!$B$11,Paramètres!$A$1:$I$89,5,0)</f>
        <v>-9.7986685432260874E-13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475.47920969424894</v>
      </c>
      <c r="BJ190" s="60">
        <f t="shared" si="146"/>
        <v>271.73544012419364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5.6843418860808015E-14</v>
      </c>
      <c r="BZ190" s="14">
        <f>BY190*VLOOKUP('Données projet'!$B$12,Paramètres!$A$1:$I$89,3,0)*VLOOKUP('Données projet'!$B$12,Paramètres!$A$1:$I$89,5,0)</f>
        <v>5.4978954722173515E-14</v>
      </c>
      <c r="CA190" s="14">
        <f t="shared" si="170"/>
        <v>8.8550225887742724E-13</v>
      </c>
      <c r="CB190" s="22">
        <f t="shared" si="171"/>
        <v>1.6380047803526383E-12</v>
      </c>
      <c r="CC190" s="60">
        <f t="shared" si="119"/>
        <v>293.33333333333496</v>
      </c>
      <c r="CD190" s="60">
        <f ca="1">AVERAGE(OFFSET($CC$3,0,0,'Données projet'!$E$12+1,1))-AVERAGE(OFFSET($H$3,0,0,'Données projet'!$E$12+1,1))</f>
        <v>255.59755832175625</v>
      </c>
      <c r="CE190" s="60">
        <f t="shared" si="148"/>
        <v>154.0840647586964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5.6843418860808015E-14</v>
      </c>
      <c r="CU190" s="18">
        <f>CT190*VLOOKUP('Données projet'!$B$13,Paramètres!$A$1:$I$89,3,0)*VLOOKUP('Données projet'!$B$13,Paramètres!$A$1:$I$89,5,0)</f>
        <v>6.1186256061773749E-14</v>
      </c>
      <c r="CV190" s="14">
        <f t="shared" si="173"/>
        <v>9.7328366192051127E-13</v>
      </c>
      <c r="CW190" s="22">
        <f t="shared" si="174"/>
        <v>1.8017017738191463E-12</v>
      </c>
      <c r="CX190" s="60">
        <f t="shared" si="122"/>
        <v>293.33333333333513</v>
      </c>
      <c r="CY190" s="60">
        <f ca="1">AVERAGE(OFFSET($CX$3,0,0,'Données projet'!$E$13+1,1))-AVERAGE(OFFSET($H$3,0,0,'Données projet'!$E$13+1,1))</f>
        <v>280.20599015000306</v>
      </c>
      <c r="CZ190" s="60">
        <f t="shared" si="150"/>
        <v>166.97658184507787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-5.6843418860808015E-14</v>
      </c>
      <c r="DP190" s="18">
        <f>DO190*VLOOKUP('Données projet'!$B$14,Paramètres!$A$1:$I$89,3,0)*VLOOKUP('Données projet'!$B$14,Paramètres!$A$1:$I$89,5,0)</f>
        <v>-3.813056537183002E-14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291.18686311753402</v>
      </c>
      <c r="DU190" s="60">
        <f t="shared" si="152"/>
        <v>215.44422413249839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-1.9895196601282805E-13</v>
      </c>
      <c r="EK190" s="18">
        <f>EJ190*VLOOKUP('Données projet'!$B$15,Paramètres!$A$1:$I$89,3,0)*VLOOKUP('Données projet'!$B$15,Paramètres!$A$1:$I$89,5,0)</f>
        <v>-1.6138983482960614E-13</v>
      </c>
      <c r="EL190" s="14" t="e">
        <f t="shared" si="179"/>
        <v>#NUM!</v>
      </c>
      <c r="EM190" s="22" t="e">
        <f t="shared" si="180"/>
        <v>#NUM!</v>
      </c>
      <c r="EN190" s="60" t="e">
        <f t="shared" si="128"/>
        <v>#NUM!</v>
      </c>
      <c r="EO190" s="60">
        <f ca="1">AVERAGE(OFFSET($EN$3,0,0,'Données projet'!$E$15+1,1))-AVERAGE(OFFSET($H$3,0,0,'Données projet'!$E$15+1,1))</f>
        <v>236.22643401787644</v>
      </c>
      <c r="EP190" s="60">
        <f t="shared" si="154"/>
        <v>188.80444043778022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8">
        <f t="shared" si="110"/>
        <v>256.66666666666669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144.55635559713392</v>
      </c>
      <c r="T191" s="60">
        <f t="shared" si="142"/>
        <v>349.14692715126904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2.6667489218664544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3.6436740504178501E-25</v>
      </c>
      <c r="AC191" s="24">
        <f t="shared" si="163"/>
        <v>2.6667489218664544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-9.6633812063373625E-13</v>
      </c>
      <c r="AJ191" s="14">
        <f>AI191*VLOOKUP('Données projet'!$B$10,Paramètres!$A$1:$I$89,3,0)*VLOOKUP('Données projet'!$B$10,Paramètres!$A$1:$I$89,5,0)</f>
        <v>-8.7434273154940449E-13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428.8489304403459</v>
      </c>
      <c r="AO191" s="60">
        <f t="shared" si="144"/>
        <v>247.01165577562966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-9.6633812063373625E-13</v>
      </c>
      <c r="BE191" s="14">
        <f>BD191*VLOOKUP('Données projet'!$B$11,Paramètres!$A$1:$I$89,3,0)*VLOOKUP('Données projet'!$B$11,Paramètres!$A$1:$I$89,5,0)</f>
        <v>-9.7986685432260874E-13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475.47920969424894</v>
      </c>
      <c r="BJ191" s="60">
        <f t="shared" si="146"/>
        <v>271.73544012419364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5.6843418860808015E-14</v>
      </c>
      <c r="BZ191" s="14">
        <f>BY191*VLOOKUP('Données projet'!$B$12,Paramètres!$A$1:$I$89,3,0)*VLOOKUP('Données projet'!$B$12,Paramètres!$A$1:$I$89,5,0)</f>
        <v>5.4978954722173515E-14</v>
      </c>
      <c r="CA191" s="14">
        <f t="shared" si="170"/>
        <v>8.8550225887742724E-13</v>
      </c>
      <c r="CB191" s="22">
        <f t="shared" si="171"/>
        <v>1.6380047803526383E-12</v>
      </c>
      <c r="CC191" s="60">
        <f t="shared" si="119"/>
        <v>293.33333333333496</v>
      </c>
      <c r="CD191" s="60">
        <f ca="1">AVERAGE(OFFSET($CC$3,0,0,'Données projet'!$E$12+1,1))-AVERAGE(OFFSET($H$3,0,0,'Données projet'!$E$12+1,1))</f>
        <v>255.59755832175625</v>
      </c>
      <c r="CE191" s="60">
        <f t="shared" si="148"/>
        <v>154.0840647586964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5.6843418860808015E-14</v>
      </c>
      <c r="CU191" s="18">
        <f>CT191*VLOOKUP('Données projet'!$B$13,Paramètres!$A$1:$I$89,3,0)*VLOOKUP('Données projet'!$B$13,Paramètres!$A$1:$I$89,5,0)</f>
        <v>6.1186256061773749E-14</v>
      </c>
      <c r="CV191" s="14">
        <f t="shared" si="173"/>
        <v>9.7328366192051127E-13</v>
      </c>
      <c r="CW191" s="22">
        <f t="shared" si="174"/>
        <v>1.8017017738191463E-12</v>
      </c>
      <c r="CX191" s="60">
        <f t="shared" si="122"/>
        <v>293.33333333333513</v>
      </c>
      <c r="CY191" s="60">
        <f ca="1">AVERAGE(OFFSET($CX$3,0,0,'Données projet'!$E$13+1,1))-AVERAGE(OFFSET($H$3,0,0,'Données projet'!$E$13+1,1))</f>
        <v>280.20599015000306</v>
      </c>
      <c r="CZ191" s="60">
        <f t="shared" si="150"/>
        <v>166.97658184507787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-5.6843418860808015E-14</v>
      </c>
      <c r="DP191" s="18">
        <f>DO191*VLOOKUP('Données projet'!$B$14,Paramètres!$A$1:$I$89,3,0)*VLOOKUP('Données projet'!$B$14,Paramètres!$A$1:$I$89,5,0)</f>
        <v>-3.813056537183002E-14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291.18686311753402</v>
      </c>
      <c r="DU191" s="60">
        <f t="shared" si="152"/>
        <v>215.44422413249839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-1.9895196601282805E-13</v>
      </c>
      <c r="EK191" s="18">
        <f>EJ191*VLOOKUP('Données projet'!$B$15,Paramètres!$A$1:$I$89,3,0)*VLOOKUP('Données projet'!$B$15,Paramètres!$A$1:$I$89,5,0)</f>
        <v>-1.6138983482960614E-13</v>
      </c>
      <c r="EL191" s="14" t="e">
        <f t="shared" si="179"/>
        <v>#NUM!</v>
      </c>
      <c r="EM191" s="22" t="e">
        <f t="shared" si="180"/>
        <v>#NUM!</v>
      </c>
      <c r="EN191" s="60" t="e">
        <f t="shared" si="128"/>
        <v>#NUM!</v>
      </c>
      <c r="EO191" s="60">
        <f ca="1">AVERAGE(OFFSET($EN$3,0,0,'Données projet'!$E$15+1,1))-AVERAGE(OFFSET($H$3,0,0,'Données projet'!$E$15+1,1))</f>
        <v>236.22643401787644</v>
      </c>
      <c r="EP191" s="60">
        <f t="shared" si="154"/>
        <v>188.80444043778022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8">
        <f t="shared" si="110"/>
        <v>256.66666666666669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144.55635559713392</v>
      </c>
      <c r="T192" s="60">
        <f t="shared" si="142"/>
        <v>349.14692715126904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2.6144556020648864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2.576466629483916E-25</v>
      </c>
      <c r="AC192" s="24">
        <f t="shared" si="163"/>
        <v>2.6144556020648864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-9.6633812063373625E-13</v>
      </c>
      <c r="AJ192" s="14">
        <f>AI192*VLOOKUP('Données projet'!$B$10,Paramètres!$A$1:$I$89,3,0)*VLOOKUP('Données projet'!$B$10,Paramètres!$A$1:$I$89,5,0)</f>
        <v>-8.7434273154940449E-13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428.8489304403459</v>
      </c>
      <c r="AO192" s="60">
        <f t="shared" si="144"/>
        <v>247.01165577562966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-9.6633812063373625E-13</v>
      </c>
      <c r="BE192" s="14">
        <f>BD192*VLOOKUP('Données projet'!$B$11,Paramètres!$A$1:$I$89,3,0)*VLOOKUP('Données projet'!$B$11,Paramètres!$A$1:$I$89,5,0)</f>
        <v>-9.7986685432260874E-13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475.47920969424894</v>
      </c>
      <c r="BJ192" s="60">
        <f t="shared" si="146"/>
        <v>271.73544012419364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5.6843418860808015E-14</v>
      </c>
      <c r="BZ192" s="14">
        <f>BY192*VLOOKUP('Données projet'!$B$12,Paramètres!$A$1:$I$89,3,0)*VLOOKUP('Données projet'!$B$12,Paramètres!$A$1:$I$89,5,0)</f>
        <v>5.4978954722173515E-14</v>
      </c>
      <c r="CA192" s="14">
        <f t="shared" si="170"/>
        <v>8.8550225887742724E-13</v>
      </c>
      <c r="CB192" s="22">
        <f t="shared" si="171"/>
        <v>1.6380047803526383E-12</v>
      </c>
      <c r="CC192" s="60">
        <f t="shared" si="119"/>
        <v>293.33333333333496</v>
      </c>
      <c r="CD192" s="60">
        <f ca="1">AVERAGE(OFFSET($CC$3,0,0,'Données projet'!$E$12+1,1))-AVERAGE(OFFSET($H$3,0,0,'Données projet'!$E$12+1,1))</f>
        <v>255.59755832175625</v>
      </c>
      <c r="CE192" s="60">
        <f t="shared" si="148"/>
        <v>154.0840647586964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5.6843418860808015E-14</v>
      </c>
      <c r="CU192" s="18">
        <f>CT192*VLOOKUP('Données projet'!$B$13,Paramètres!$A$1:$I$89,3,0)*VLOOKUP('Données projet'!$B$13,Paramètres!$A$1:$I$89,5,0)</f>
        <v>6.1186256061773749E-14</v>
      </c>
      <c r="CV192" s="14">
        <f t="shared" si="173"/>
        <v>9.7328366192051127E-13</v>
      </c>
      <c r="CW192" s="22">
        <f t="shared" si="174"/>
        <v>1.8017017738191463E-12</v>
      </c>
      <c r="CX192" s="60">
        <f t="shared" si="122"/>
        <v>293.33333333333513</v>
      </c>
      <c r="CY192" s="60">
        <f ca="1">AVERAGE(OFFSET($CX$3,0,0,'Données projet'!$E$13+1,1))-AVERAGE(OFFSET($H$3,0,0,'Données projet'!$E$13+1,1))</f>
        <v>280.20599015000306</v>
      </c>
      <c r="CZ192" s="60">
        <f t="shared" si="150"/>
        <v>166.97658184507787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-5.6843418860808015E-14</v>
      </c>
      <c r="DP192" s="18">
        <f>DO192*VLOOKUP('Données projet'!$B$14,Paramètres!$A$1:$I$89,3,0)*VLOOKUP('Données projet'!$B$14,Paramètres!$A$1:$I$89,5,0)</f>
        <v>-3.813056537183002E-14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291.18686311753402</v>
      </c>
      <c r="DU192" s="60">
        <f t="shared" si="152"/>
        <v>215.44422413249839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-1.9895196601282805E-13</v>
      </c>
      <c r="EK192" s="18">
        <f>EJ192*VLOOKUP('Données projet'!$B$15,Paramètres!$A$1:$I$89,3,0)*VLOOKUP('Données projet'!$B$15,Paramètres!$A$1:$I$89,5,0)</f>
        <v>-1.6138983482960614E-13</v>
      </c>
      <c r="EL192" s="14" t="e">
        <f t="shared" si="179"/>
        <v>#NUM!</v>
      </c>
      <c r="EM192" s="22" t="e">
        <f t="shared" si="180"/>
        <v>#NUM!</v>
      </c>
      <c r="EN192" s="60" t="e">
        <f t="shared" si="128"/>
        <v>#NUM!</v>
      </c>
      <c r="EO192" s="60">
        <f ca="1">AVERAGE(OFFSET($EN$3,0,0,'Données projet'!$E$15+1,1))-AVERAGE(OFFSET($H$3,0,0,'Données projet'!$E$15+1,1))</f>
        <v>236.22643401787644</v>
      </c>
      <c r="EP192" s="60">
        <f t="shared" si="154"/>
        <v>188.80444043778022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8">
        <f t="shared" si="110"/>
        <v>256.66666666666669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144.55635559713392</v>
      </c>
      <c r="T193" s="60">
        <f t="shared" si="142"/>
        <v>349.14692715126904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2.5631877223688515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1.8218370252089251E-25</v>
      </c>
      <c r="AC193" s="24">
        <f t="shared" si="163"/>
        <v>2.5631877223688515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-9.6633812063373625E-13</v>
      </c>
      <c r="AJ193" s="14">
        <f>AI193*VLOOKUP('Données projet'!$B$10,Paramètres!$A$1:$I$89,3,0)*VLOOKUP('Données projet'!$B$10,Paramètres!$A$1:$I$89,5,0)</f>
        <v>-8.7434273154940449E-13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428.8489304403459</v>
      </c>
      <c r="AO193" s="60">
        <f t="shared" si="144"/>
        <v>247.01165577562966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-9.6633812063373625E-13</v>
      </c>
      <c r="BE193" s="14">
        <f>BD193*VLOOKUP('Données projet'!$B$11,Paramètres!$A$1:$I$89,3,0)*VLOOKUP('Données projet'!$B$11,Paramètres!$A$1:$I$89,5,0)</f>
        <v>-9.7986685432260874E-13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475.47920969424894</v>
      </c>
      <c r="BJ193" s="60">
        <f t="shared" si="146"/>
        <v>271.73544012419364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5.6843418860808015E-14</v>
      </c>
      <c r="BZ193" s="14">
        <f>BY193*VLOOKUP('Données projet'!$B$12,Paramètres!$A$1:$I$89,3,0)*VLOOKUP('Données projet'!$B$12,Paramètres!$A$1:$I$89,5,0)</f>
        <v>5.4978954722173515E-14</v>
      </c>
      <c r="CA193" s="14">
        <f t="shared" si="170"/>
        <v>8.8550225887742724E-13</v>
      </c>
      <c r="CB193" s="22">
        <f t="shared" si="171"/>
        <v>1.6380047803526383E-12</v>
      </c>
      <c r="CC193" s="60">
        <f t="shared" si="119"/>
        <v>293.33333333333496</v>
      </c>
      <c r="CD193" s="60">
        <f ca="1">AVERAGE(OFFSET($CC$3,0,0,'Données projet'!$E$12+1,1))-AVERAGE(OFFSET($H$3,0,0,'Données projet'!$E$12+1,1))</f>
        <v>255.59755832175625</v>
      </c>
      <c r="CE193" s="60">
        <f t="shared" si="148"/>
        <v>154.0840647586964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5.6843418860808015E-14</v>
      </c>
      <c r="CU193" s="18">
        <f>CT193*VLOOKUP('Données projet'!$B$13,Paramètres!$A$1:$I$89,3,0)*VLOOKUP('Données projet'!$B$13,Paramètres!$A$1:$I$89,5,0)</f>
        <v>6.1186256061773749E-14</v>
      </c>
      <c r="CV193" s="14">
        <f t="shared" si="173"/>
        <v>9.7328366192051127E-13</v>
      </c>
      <c r="CW193" s="22">
        <f t="shared" si="174"/>
        <v>1.8017017738191463E-12</v>
      </c>
      <c r="CX193" s="60">
        <f t="shared" si="122"/>
        <v>293.33333333333513</v>
      </c>
      <c r="CY193" s="60">
        <f ca="1">AVERAGE(OFFSET($CX$3,0,0,'Données projet'!$E$13+1,1))-AVERAGE(OFFSET($H$3,0,0,'Données projet'!$E$13+1,1))</f>
        <v>280.20599015000306</v>
      </c>
      <c r="CZ193" s="60">
        <f t="shared" si="150"/>
        <v>166.97658184507787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-5.6843418860808015E-14</v>
      </c>
      <c r="DP193" s="18">
        <f>DO193*VLOOKUP('Données projet'!$B$14,Paramètres!$A$1:$I$89,3,0)*VLOOKUP('Données projet'!$B$14,Paramètres!$A$1:$I$89,5,0)</f>
        <v>-3.813056537183002E-14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291.18686311753402</v>
      </c>
      <c r="DU193" s="60">
        <f t="shared" si="152"/>
        <v>215.44422413249839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-1.9895196601282805E-13</v>
      </c>
      <c r="EK193" s="18">
        <f>EJ193*VLOOKUP('Données projet'!$B$15,Paramètres!$A$1:$I$89,3,0)*VLOOKUP('Données projet'!$B$15,Paramètres!$A$1:$I$89,5,0)</f>
        <v>-1.6138983482960614E-13</v>
      </c>
      <c r="EL193" s="14" t="e">
        <f t="shared" si="179"/>
        <v>#NUM!</v>
      </c>
      <c r="EM193" s="22" t="e">
        <f t="shared" si="180"/>
        <v>#NUM!</v>
      </c>
      <c r="EN193" s="60" t="e">
        <f t="shared" si="128"/>
        <v>#NUM!</v>
      </c>
      <c r="EO193" s="60">
        <f ca="1">AVERAGE(OFFSET($EN$3,0,0,'Données projet'!$E$15+1,1))-AVERAGE(OFFSET($H$3,0,0,'Données projet'!$E$15+1,1))</f>
        <v>236.22643401787644</v>
      </c>
      <c r="EP193" s="60">
        <f t="shared" si="154"/>
        <v>188.80444043778022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8">
        <f t="shared" si="110"/>
        <v>256.66666666666669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144.55635559713392</v>
      </c>
      <c r="T194" s="60">
        <f t="shared" si="142"/>
        <v>349.14692715126904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2.5129251745233372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1.288233314741958E-25</v>
      </c>
      <c r="AC194" s="24">
        <f t="shared" si="163"/>
        <v>2.5129251745233372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-9.6633812063373625E-13</v>
      </c>
      <c r="AJ194" s="14">
        <f>AI194*VLOOKUP('Données projet'!$B$10,Paramètres!$A$1:$I$89,3,0)*VLOOKUP('Données projet'!$B$10,Paramètres!$A$1:$I$89,5,0)</f>
        <v>-8.7434273154940449E-13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428.8489304403459</v>
      </c>
      <c r="AO194" s="60">
        <f t="shared" si="144"/>
        <v>247.01165577562966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-9.6633812063373625E-13</v>
      </c>
      <c r="BE194" s="14">
        <f>BD194*VLOOKUP('Données projet'!$B$11,Paramètres!$A$1:$I$89,3,0)*VLOOKUP('Données projet'!$B$11,Paramètres!$A$1:$I$89,5,0)</f>
        <v>-9.7986685432260874E-13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475.47920969424894</v>
      </c>
      <c r="BJ194" s="60">
        <f t="shared" si="146"/>
        <v>271.73544012419364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5.6843418860808015E-14</v>
      </c>
      <c r="BZ194" s="14">
        <f>BY194*VLOOKUP('Données projet'!$B$12,Paramètres!$A$1:$I$89,3,0)*VLOOKUP('Données projet'!$B$12,Paramètres!$A$1:$I$89,5,0)</f>
        <v>5.4978954722173515E-14</v>
      </c>
      <c r="CA194" s="14">
        <f t="shared" si="170"/>
        <v>8.8550225887742724E-13</v>
      </c>
      <c r="CB194" s="22">
        <f t="shared" si="171"/>
        <v>1.6380047803526383E-12</v>
      </c>
      <c r="CC194" s="60">
        <f t="shared" si="119"/>
        <v>293.33333333333496</v>
      </c>
      <c r="CD194" s="60">
        <f ca="1">AVERAGE(OFFSET($CC$3,0,0,'Données projet'!$E$12+1,1))-AVERAGE(OFFSET($H$3,0,0,'Données projet'!$E$12+1,1))</f>
        <v>255.59755832175625</v>
      </c>
      <c r="CE194" s="60">
        <f t="shared" si="148"/>
        <v>154.0840647586964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5.6843418860808015E-14</v>
      </c>
      <c r="CU194" s="18">
        <f>CT194*VLOOKUP('Données projet'!$B$13,Paramètres!$A$1:$I$89,3,0)*VLOOKUP('Données projet'!$B$13,Paramètres!$A$1:$I$89,5,0)</f>
        <v>6.1186256061773749E-14</v>
      </c>
      <c r="CV194" s="14">
        <f t="shared" si="173"/>
        <v>9.7328366192051127E-13</v>
      </c>
      <c r="CW194" s="22">
        <f t="shared" si="174"/>
        <v>1.8017017738191463E-12</v>
      </c>
      <c r="CX194" s="60">
        <f t="shared" si="122"/>
        <v>293.33333333333513</v>
      </c>
      <c r="CY194" s="60">
        <f ca="1">AVERAGE(OFFSET($CX$3,0,0,'Données projet'!$E$13+1,1))-AVERAGE(OFFSET($H$3,0,0,'Données projet'!$E$13+1,1))</f>
        <v>280.20599015000306</v>
      </c>
      <c r="CZ194" s="60">
        <f t="shared" si="150"/>
        <v>166.97658184507787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-5.6843418860808015E-14</v>
      </c>
      <c r="DP194" s="18">
        <f>DO194*VLOOKUP('Données projet'!$B$14,Paramètres!$A$1:$I$89,3,0)*VLOOKUP('Données projet'!$B$14,Paramètres!$A$1:$I$89,5,0)</f>
        <v>-3.813056537183002E-14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291.18686311753402</v>
      </c>
      <c r="DU194" s="60">
        <f t="shared" si="152"/>
        <v>215.44422413249839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-1.9895196601282805E-13</v>
      </c>
      <c r="EK194" s="18">
        <f>EJ194*VLOOKUP('Données projet'!$B$15,Paramètres!$A$1:$I$89,3,0)*VLOOKUP('Données projet'!$B$15,Paramètres!$A$1:$I$89,5,0)</f>
        <v>-1.6138983482960614E-13</v>
      </c>
      <c r="EL194" s="14" t="e">
        <f t="shared" si="179"/>
        <v>#NUM!</v>
      </c>
      <c r="EM194" s="22" t="e">
        <f t="shared" si="180"/>
        <v>#NUM!</v>
      </c>
      <c r="EN194" s="60" t="e">
        <f t="shared" si="128"/>
        <v>#NUM!</v>
      </c>
      <c r="EO194" s="60">
        <f ca="1">AVERAGE(OFFSET($EN$3,0,0,'Données projet'!$E$15+1,1))-AVERAGE(OFFSET($H$3,0,0,'Données projet'!$E$15+1,1))</f>
        <v>236.22643401787644</v>
      </c>
      <c r="EP194" s="60">
        <f t="shared" si="154"/>
        <v>188.80444043778022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8">
        <f t="shared" si="110"/>
        <v>256.66666666666669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144.55635559713392</v>
      </c>
      <c r="T195" s="60">
        <f t="shared" si="142"/>
        <v>349.14692715126904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2.463648244583946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9.1091851260446253E-26</v>
      </c>
      <c r="AC195" s="24">
        <f t="shared" si="163"/>
        <v>2.463648244583946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-9.6633812063373625E-13</v>
      </c>
      <c r="AJ195" s="14">
        <f>AI195*VLOOKUP('Données projet'!$B$10,Paramètres!$A$1:$I$89,3,0)*VLOOKUP('Données projet'!$B$10,Paramètres!$A$1:$I$89,5,0)</f>
        <v>-8.7434273154940449E-13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428.8489304403459</v>
      </c>
      <c r="AO195" s="60">
        <f t="shared" si="144"/>
        <v>247.01165577562966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-9.6633812063373625E-13</v>
      </c>
      <c r="BE195" s="14">
        <f>BD195*VLOOKUP('Données projet'!$B$11,Paramètres!$A$1:$I$89,3,0)*VLOOKUP('Données projet'!$B$11,Paramètres!$A$1:$I$89,5,0)</f>
        <v>-9.7986685432260874E-13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475.47920969424894</v>
      </c>
      <c r="BJ195" s="60">
        <f t="shared" si="146"/>
        <v>271.73544012419364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5.6843418860808015E-14</v>
      </c>
      <c r="BZ195" s="14">
        <f>BY195*VLOOKUP('Données projet'!$B$12,Paramètres!$A$1:$I$89,3,0)*VLOOKUP('Données projet'!$B$12,Paramètres!$A$1:$I$89,5,0)</f>
        <v>5.4978954722173515E-14</v>
      </c>
      <c r="CA195" s="14">
        <f t="shared" si="170"/>
        <v>8.8550225887742724E-13</v>
      </c>
      <c r="CB195" s="22">
        <f t="shared" si="171"/>
        <v>1.6380047803526383E-12</v>
      </c>
      <c r="CC195" s="60">
        <f t="shared" si="119"/>
        <v>293.33333333333496</v>
      </c>
      <c r="CD195" s="60">
        <f ca="1">AVERAGE(OFFSET($CC$3,0,0,'Données projet'!$E$12+1,1))-AVERAGE(OFFSET($H$3,0,0,'Données projet'!$E$12+1,1))</f>
        <v>255.59755832175625</v>
      </c>
      <c r="CE195" s="60">
        <f t="shared" si="148"/>
        <v>154.0840647586964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5.6843418860808015E-14</v>
      </c>
      <c r="CU195" s="18">
        <f>CT195*VLOOKUP('Données projet'!$B$13,Paramètres!$A$1:$I$89,3,0)*VLOOKUP('Données projet'!$B$13,Paramètres!$A$1:$I$89,5,0)</f>
        <v>6.1186256061773749E-14</v>
      </c>
      <c r="CV195" s="14">
        <f t="shared" si="173"/>
        <v>9.7328366192051127E-13</v>
      </c>
      <c r="CW195" s="22">
        <f t="shared" si="174"/>
        <v>1.8017017738191463E-12</v>
      </c>
      <c r="CX195" s="60">
        <f t="shared" si="122"/>
        <v>293.33333333333513</v>
      </c>
      <c r="CY195" s="60">
        <f ca="1">AVERAGE(OFFSET($CX$3,0,0,'Données projet'!$E$13+1,1))-AVERAGE(OFFSET($H$3,0,0,'Données projet'!$E$13+1,1))</f>
        <v>280.20599015000306</v>
      </c>
      <c r="CZ195" s="60">
        <f t="shared" si="150"/>
        <v>166.97658184507787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-5.6843418860808015E-14</v>
      </c>
      <c r="DP195" s="18">
        <f>DO195*VLOOKUP('Données projet'!$B$14,Paramètres!$A$1:$I$89,3,0)*VLOOKUP('Données projet'!$B$14,Paramètres!$A$1:$I$89,5,0)</f>
        <v>-3.813056537183002E-14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291.18686311753402</v>
      </c>
      <c r="DU195" s="60">
        <f t="shared" si="152"/>
        <v>215.44422413249839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-1.9895196601282805E-13</v>
      </c>
      <c r="EK195" s="18">
        <f>EJ195*VLOOKUP('Données projet'!$B$15,Paramètres!$A$1:$I$89,3,0)*VLOOKUP('Données projet'!$B$15,Paramètres!$A$1:$I$89,5,0)</f>
        <v>-1.6138983482960614E-13</v>
      </c>
      <c r="EL195" s="14" t="e">
        <f t="shared" si="179"/>
        <v>#NUM!</v>
      </c>
      <c r="EM195" s="22" t="e">
        <f t="shared" si="180"/>
        <v>#NUM!</v>
      </c>
      <c r="EN195" s="60" t="e">
        <f t="shared" si="128"/>
        <v>#NUM!</v>
      </c>
      <c r="EO195" s="60">
        <f ca="1">AVERAGE(OFFSET($EN$3,0,0,'Données projet'!$E$15+1,1))-AVERAGE(OFFSET($H$3,0,0,'Données projet'!$E$15+1,1))</f>
        <v>236.22643401787644</v>
      </c>
      <c r="EP195" s="60">
        <f t="shared" si="154"/>
        <v>188.80444043778022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8">
        <f t="shared" ref="H196:H203" si="192">(B196+E196+F196)*44/12+(C196+D196)*0.475*44/12</f>
        <v>256.66666666666669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144.55635559713392</v>
      </c>
      <c r="T196" s="60">
        <f t="shared" si="142"/>
        <v>349.14692715126904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2.4153376051847069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6.4411665737097901E-26</v>
      </c>
      <c r="AC196" s="24">
        <f t="shared" si="163"/>
        <v>2.4153376051847069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-9.6633812063373625E-13</v>
      </c>
      <c r="AJ196" s="14">
        <f>AI196*VLOOKUP('Données projet'!$B$10,Paramètres!$A$1:$I$89,3,0)*VLOOKUP('Données projet'!$B$10,Paramètres!$A$1:$I$89,5,0)</f>
        <v>-8.7434273154940449E-13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428.8489304403459</v>
      </c>
      <c r="AO196" s="60">
        <f t="shared" si="144"/>
        <v>247.01165577562966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-9.6633812063373625E-13</v>
      </c>
      <c r="BE196" s="14">
        <f>BD196*VLOOKUP('Données projet'!$B$11,Paramètres!$A$1:$I$89,3,0)*VLOOKUP('Données projet'!$B$11,Paramètres!$A$1:$I$89,5,0)</f>
        <v>-9.7986685432260874E-13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475.47920969424894</v>
      </c>
      <c r="BJ196" s="60">
        <f t="shared" si="146"/>
        <v>271.73544012419364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5.6843418860808015E-14</v>
      </c>
      <c r="BZ196" s="14">
        <f>BY196*VLOOKUP('Données projet'!$B$12,Paramètres!$A$1:$I$89,3,0)*VLOOKUP('Données projet'!$B$12,Paramètres!$A$1:$I$89,5,0)</f>
        <v>5.4978954722173515E-14</v>
      </c>
      <c r="CA196" s="14">
        <f t="shared" si="170"/>
        <v>8.8550225887742724E-13</v>
      </c>
      <c r="CB196" s="22">
        <f t="shared" si="171"/>
        <v>1.6380047803526383E-12</v>
      </c>
      <c r="CC196" s="60">
        <f t="shared" ref="CC196:CC203" si="195">CB196+(BT196+BU196)*44/12</f>
        <v>293.33333333333496</v>
      </c>
      <c r="CD196" s="60">
        <f ca="1">AVERAGE(OFFSET($CC$3,0,0,'Données projet'!$E$12+1,1))-AVERAGE(OFFSET($H$3,0,0,'Données projet'!$E$12+1,1))</f>
        <v>255.59755832175625</v>
      </c>
      <c r="CE196" s="60">
        <f t="shared" si="148"/>
        <v>154.0840647586964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5.6843418860808015E-14</v>
      </c>
      <c r="CU196" s="18">
        <f>CT196*VLOOKUP('Données projet'!$B$13,Paramètres!$A$1:$I$89,3,0)*VLOOKUP('Données projet'!$B$13,Paramètres!$A$1:$I$89,5,0)</f>
        <v>6.1186256061773749E-14</v>
      </c>
      <c r="CV196" s="14">
        <f t="shared" si="173"/>
        <v>9.7328366192051127E-13</v>
      </c>
      <c r="CW196" s="22">
        <f t="shared" si="174"/>
        <v>1.8017017738191463E-12</v>
      </c>
      <c r="CX196" s="60">
        <f t="shared" ref="CX196:CX203" si="196">CW196+(CO196+CP196)*44/12</f>
        <v>293.33333333333513</v>
      </c>
      <c r="CY196" s="60">
        <f ca="1">AVERAGE(OFFSET($CX$3,0,0,'Données projet'!$E$13+1,1))-AVERAGE(OFFSET($H$3,0,0,'Données projet'!$E$13+1,1))</f>
        <v>280.20599015000306</v>
      </c>
      <c r="CZ196" s="60">
        <f t="shared" si="150"/>
        <v>166.97658184507787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-5.6843418860808015E-14</v>
      </c>
      <c r="DP196" s="18">
        <f>DO196*VLOOKUP('Données projet'!$B$14,Paramètres!$A$1:$I$89,3,0)*VLOOKUP('Données projet'!$B$14,Paramètres!$A$1:$I$89,5,0)</f>
        <v>-3.813056537183002E-14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291.18686311753402</v>
      </c>
      <c r="DU196" s="60">
        <f t="shared" si="152"/>
        <v>215.44422413249839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-1.9895196601282805E-13</v>
      </c>
      <c r="EK196" s="18">
        <f>EJ196*VLOOKUP('Données projet'!$B$15,Paramètres!$A$1:$I$89,3,0)*VLOOKUP('Données projet'!$B$15,Paramètres!$A$1:$I$89,5,0)</f>
        <v>-1.6138983482960614E-13</v>
      </c>
      <c r="EL196" s="14" t="e">
        <f t="shared" si="179"/>
        <v>#NUM!</v>
      </c>
      <c r="EM196" s="22" t="e">
        <f t="shared" si="180"/>
        <v>#NUM!</v>
      </c>
      <c r="EN196" s="60" t="e">
        <f t="shared" ref="EN196:EN203" si="198">EM196+(EE196+EF196)*44/12</f>
        <v>#NUM!</v>
      </c>
      <c r="EO196" s="60">
        <f ca="1">AVERAGE(OFFSET($EN$3,0,0,'Données projet'!$E$15+1,1))-AVERAGE(OFFSET($H$3,0,0,'Données projet'!$E$15+1,1))</f>
        <v>236.22643401787644</v>
      </c>
      <c r="EP196" s="60">
        <f t="shared" si="154"/>
        <v>188.80444043778022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8">
        <f t="shared" si="192"/>
        <v>256.66666666666669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144.55635559713392</v>
      </c>
      <c r="T197" s="60">
        <f t="shared" ref="T197:T203" si="204">$T$3</f>
        <v>349.14692715126904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2.3679743079575064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4.5545925630223126E-26</v>
      </c>
      <c r="AC197" s="24">
        <f t="shared" si="163"/>
        <v>2.3679743079575064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-9.6633812063373625E-13</v>
      </c>
      <c r="AJ197" s="14">
        <f>AI197*VLOOKUP('Données projet'!$B$10,Paramètres!$A$1:$I$89,3,0)*VLOOKUP('Données projet'!$B$10,Paramètres!$A$1:$I$89,5,0)</f>
        <v>-8.7434273154940449E-13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428.8489304403459</v>
      </c>
      <c r="AO197" s="60">
        <f t="shared" ref="AO197:AO203" si="205">$AO$3</f>
        <v>247.01165577562966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-9.6633812063373625E-13</v>
      </c>
      <c r="BE197" s="14">
        <f>BD197*VLOOKUP('Données projet'!$B$11,Paramètres!$A$1:$I$89,3,0)*VLOOKUP('Données projet'!$B$11,Paramètres!$A$1:$I$89,5,0)</f>
        <v>-9.7986685432260874E-13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475.47920969424894</v>
      </c>
      <c r="BJ197" s="60">
        <f t="shared" ref="BJ197:BJ203" si="206">$BJ$3</f>
        <v>271.73544012419364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5.6843418860808015E-14</v>
      </c>
      <c r="BZ197" s="14">
        <f>BY197*VLOOKUP('Données projet'!$B$12,Paramètres!$A$1:$I$89,3,0)*VLOOKUP('Données projet'!$B$12,Paramètres!$A$1:$I$89,5,0)</f>
        <v>5.4978954722173515E-14</v>
      </c>
      <c r="CA197" s="14">
        <f t="shared" si="170"/>
        <v>8.8550225887742724E-13</v>
      </c>
      <c r="CB197" s="22">
        <f t="shared" si="171"/>
        <v>1.6380047803526383E-12</v>
      </c>
      <c r="CC197" s="60">
        <f t="shared" si="195"/>
        <v>293.33333333333496</v>
      </c>
      <c r="CD197" s="60">
        <f ca="1">AVERAGE(OFFSET($CC$3,0,0,'Données projet'!$E$12+1,1))-AVERAGE(OFFSET($H$3,0,0,'Données projet'!$E$12+1,1))</f>
        <v>255.59755832175625</v>
      </c>
      <c r="CE197" s="60">
        <f t="shared" ref="CE197:CE203" si="207">$CE$3</f>
        <v>154.0840647586964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5.6843418860808015E-14</v>
      </c>
      <c r="CU197" s="18">
        <f>CT197*VLOOKUP('Données projet'!$B$13,Paramètres!$A$1:$I$89,3,0)*VLOOKUP('Données projet'!$B$13,Paramètres!$A$1:$I$89,5,0)</f>
        <v>6.1186256061773749E-14</v>
      </c>
      <c r="CV197" s="14">
        <f t="shared" si="173"/>
        <v>9.7328366192051127E-13</v>
      </c>
      <c r="CW197" s="22">
        <f t="shared" si="174"/>
        <v>1.8017017738191463E-12</v>
      </c>
      <c r="CX197" s="60">
        <f t="shared" si="196"/>
        <v>293.33333333333513</v>
      </c>
      <c r="CY197" s="60">
        <f ca="1">AVERAGE(OFFSET($CX$3,0,0,'Données projet'!$E$13+1,1))-AVERAGE(OFFSET($H$3,0,0,'Données projet'!$E$13+1,1))</f>
        <v>280.20599015000306</v>
      </c>
      <c r="CZ197" s="60">
        <f t="shared" ref="CZ197:CZ203" si="208">$CZ$3</f>
        <v>166.97658184507787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-5.6843418860808015E-14</v>
      </c>
      <c r="DP197" s="18">
        <f>DO197*VLOOKUP('Données projet'!$B$14,Paramètres!$A$1:$I$89,3,0)*VLOOKUP('Données projet'!$B$14,Paramètres!$A$1:$I$89,5,0)</f>
        <v>-3.813056537183002E-14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291.18686311753402</v>
      </c>
      <c r="DU197" s="60">
        <f t="shared" ref="DU197:DU203" si="209">$DU$3</f>
        <v>215.44422413249839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-1.9895196601282805E-13</v>
      </c>
      <c r="EK197" s="18">
        <f>EJ197*VLOOKUP('Données projet'!$B$15,Paramètres!$A$1:$I$89,3,0)*VLOOKUP('Données projet'!$B$15,Paramètres!$A$1:$I$89,5,0)</f>
        <v>-1.6138983482960614E-13</v>
      </c>
      <c r="EL197" s="14" t="e">
        <f t="shared" si="179"/>
        <v>#NUM!</v>
      </c>
      <c r="EM197" s="22" t="e">
        <f t="shared" si="180"/>
        <v>#NUM!</v>
      </c>
      <c r="EN197" s="60" t="e">
        <f t="shared" si="198"/>
        <v>#NUM!</v>
      </c>
      <c r="EO197" s="60">
        <f ca="1">AVERAGE(OFFSET($EN$3,0,0,'Données projet'!$E$15+1,1))-AVERAGE(OFFSET($H$3,0,0,'Données projet'!$E$15+1,1))</f>
        <v>236.22643401787644</v>
      </c>
      <c r="EP197" s="60">
        <f t="shared" ref="EP197:EP203" si="210">$EP$3</f>
        <v>188.80444043778022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8">
        <f t="shared" si="192"/>
        <v>256.66666666666669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144.55635559713392</v>
      </c>
      <c r="T198" s="60">
        <f t="shared" si="204"/>
        <v>349.14692715126904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2.3215397761001726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3.2205832868548951E-26</v>
      </c>
      <c r="AC198" s="24">
        <f t="shared" si="163"/>
        <v>2.3215397761001726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-9.6633812063373625E-13</v>
      </c>
      <c r="AJ198" s="14">
        <f>AI198*VLOOKUP('Données projet'!$B$10,Paramètres!$A$1:$I$89,3,0)*VLOOKUP('Données projet'!$B$10,Paramètres!$A$1:$I$89,5,0)</f>
        <v>-8.7434273154940449E-13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428.8489304403459</v>
      </c>
      <c r="AO198" s="60">
        <f t="shared" si="205"/>
        <v>247.01165577562966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-9.6633812063373625E-13</v>
      </c>
      <c r="BE198" s="14">
        <f>BD198*VLOOKUP('Données projet'!$B$11,Paramètres!$A$1:$I$89,3,0)*VLOOKUP('Données projet'!$B$11,Paramètres!$A$1:$I$89,5,0)</f>
        <v>-9.7986685432260874E-13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475.47920969424894</v>
      </c>
      <c r="BJ198" s="60">
        <f t="shared" si="206"/>
        <v>271.73544012419364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5.6843418860808015E-14</v>
      </c>
      <c r="BZ198" s="14">
        <f>BY198*VLOOKUP('Données projet'!$B$12,Paramètres!$A$1:$I$89,3,0)*VLOOKUP('Données projet'!$B$12,Paramètres!$A$1:$I$89,5,0)</f>
        <v>5.4978954722173515E-14</v>
      </c>
      <c r="CA198" s="14">
        <f t="shared" si="170"/>
        <v>8.8550225887742724E-13</v>
      </c>
      <c r="CB198" s="22">
        <f t="shared" si="171"/>
        <v>1.6380047803526383E-12</v>
      </c>
      <c r="CC198" s="60">
        <f t="shared" si="195"/>
        <v>293.33333333333496</v>
      </c>
      <c r="CD198" s="60">
        <f ca="1">AVERAGE(OFFSET($CC$3,0,0,'Données projet'!$E$12+1,1))-AVERAGE(OFFSET($H$3,0,0,'Données projet'!$E$12+1,1))</f>
        <v>255.59755832175625</v>
      </c>
      <c r="CE198" s="60">
        <f t="shared" si="207"/>
        <v>154.0840647586964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5.6843418860808015E-14</v>
      </c>
      <c r="CU198" s="18">
        <f>CT198*VLOOKUP('Données projet'!$B$13,Paramètres!$A$1:$I$89,3,0)*VLOOKUP('Données projet'!$B$13,Paramètres!$A$1:$I$89,5,0)</f>
        <v>6.1186256061773749E-14</v>
      </c>
      <c r="CV198" s="14">
        <f t="shared" si="173"/>
        <v>9.7328366192051127E-13</v>
      </c>
      <c r="CW198" s="22">
        <f t="shared" si="174"/>
        <v>1.8017017738191463E-12</v>
      </c>
      <c r="CX198" s="60">
        <f t="shared" si="196"/>
        <v>293.33333333333513</v>
      </c>
      <c r="CY198" s="60">
        <f ca="1">AVERAGE(OFFSET($CX$3,0,0,'Données projet'!$E$13+1,1))-AVERAGE(OFFSET($H$3,0,0,'Données projet'!$E$13+1,1))</f>
        <v>280.20599015000306</v>
      </c>
      <c r="CZ198" s="60">
        <f t="shared" si="208"/>
        <v>166.97658184507787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-5.6843418860808015E-14</v>
      </c>
      <c r="DP198" s="18">
        <f>DO198*VLOOKUP('Données projet'!$B$14,Paramètres!$A$1:$I$89,3,0)*VLOOKUP('Données projet'!$B$14,Paramètres!$A$1:$I$89,5,0)</f>
        <v>-3.813056537183002E-14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291.18686311753402</v>
      </c>
      <c r="DU198" s="60">
        <f t="shared" si="209"/>
        <v>215.44422413249839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-1.9895196601282805E-13</v>
      </c>
      <c r="EK198" s="18">
        <f>EJ198*VLOOKUP('Données projet'!$B$15,Paramètres!$A$1:$I$89,3,0)*VLOOKUP('Données projet'!$B$15,Paramètres!$A$1:$I$89,5,0)</f>
        <v>-1.6138983482960614E-13</v>
      </c>
      <c r="EL198" s="14" t="e">
        <f t="shared" si="179"/>
        <v>#NUM!</v>
      </c>
      <c r="EM198" s="22" t="e">
        <f t="shared" si="180"/>
        <v>#NUM!</v>
      </c>
      <c r="EN198" s="60" t="e">
        <f t="shared" si="198"/>
        <v>#NUM!</v>
      </c>
      <c r="EO198" s="60">
        <f ca="1">AVERAGE(OFFSET($EN$3,0,0,'Données projet'!$E$15+1,1))-AVERAGE(OFFSET($H$3,0,0,'Données projet'!$E$15+1,1))</f>
        <v>236.22643401787644</v>
      </c>
      <c r="EP198" s="60">
        <f t="shared" si="210"/>
        <v>188.80444043778022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8">
        <f t="shared" si="192"/>
        <v>256.66666666666669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144.55635559713392</v>
      </c>
      <c r="T199" s="60">
        <f t="shared" si="204"/>
        <v>349.14692715126904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2.2760157970902934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2.2772962815111563E-26</v>
      </c>
      <c r="AC199" s="24">
        <f t="shared" si="163"/>
        <v>2.2760157970902934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-9.6633812063373625E-13</v>
      </c>
      <c r="AJ199" s="14">
        <f>AI199*VLOOKUP('Données projet'!$B$10,Paramètres!$A$1:$I$89,3,0)*VLOOKUP('Données projet'!$B$10,Paramètres!$A$1:$I$89,5,0)</f>
        <v>-8.7434273154940449E-13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428.8489304403459</v>
      </c>
      <c r="AO199" s="60">
        <f t="shared" si="205"/>
        <v>247.01165577562966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-9.6633812063373625E-13</v>
      </c>
      <c r="BE199" s="14">
        <f>BD199*VLOOKUP('Données projet'!$B$11,Paramètres!$A$1:$I$89,3,0)*VLOOKUP('Données projet'!$B$11,Paramètres!$A$1:$I$89,5,0)</f>
        <v>-9.7986685432260874E-13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475.47920969424894</v>
      </c>
      <c r="BJ199" s="60">
        <f t="shared" si="206"/>
        <v>271.73544012419364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5.6843418860808015E-14</v>
      </c>
      <c r="BZ199" s="14">
        <f>BY199*VLOOKUP('Données projet'!$B$12,Paramètres!$A$1:$I$89,3,0)*VLOOKUP('Données projet'!$B$12,Paramètres!$A$1:$I$89,5,0)</f>
        <v>5.4978954722173515E-14</v>
      </c>
      <c r="CA199" s="14">
        <f t="shared" si="170"/>
        <v>8.8550225887742724E-13</v>
      </c>
      <c r="CB199" s="22">
        <f t="shared" si="171"/>
        <v>1.6380047803526383E-12</v>
      </c>
      <c r="CC199" s="60">
        <f t="shared" si="195"/>
        <v>293.33333333333496</v>
      </c>
      <c r="CD199" s="60">
        <f ca="1">AVERAGE(OFFSET($CC$3,0,0,'Données projet'!$E$12+1,1))-AVERAGE(OFFSET($H$3,0,0,'Données projet'!$E$12+1,1))</f>
        <v>255.59755832175625</v>
      </c>
      <c r="CE199" s="60">
        <f t="shared" si="207"/>
        <v>154.0840647586964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5.6843418860808015E-14</v>
      </c>
      <c r="CU199" s="18">
        <f>CT199*VLOOKUP('Données projet'!$B$13,Paramètres!$A$1:$I$89,3,0)*VLOOKUP('Données projet'!$B$13,Paramètres!$A$1:$I$89,5,0)</f>
        <v>6.1186256061773749E-14</v>
      </c>
      <c r="CV199" s="14">
        <f t="shared" si="173"/>
        <v>9.7328366192051127E-13</v>
      </c>
      <c r="CW199" s="22">
        <f t="shared" si="174"/>
        <v>1.8017017738191463E-12</v>
      </c>
      <c r="CX199" s="60">
        <f t="shared" si="196"/>
        <v>293.33333333333513</v>
      </c>
      <c r="CY199" s="60">
        <f ca="1">AVERAGE(OFFSET($CX$3,0,0,'Données projet'!$E$13+1,1))-AVERAGE(OFFSET($H$3,0,0,'Données projet'!$E$13+1,1))</f>
        <v>280.20599015000306</v>
      </c>
      <c r="CZ199" s="60">
        <f t="shared" si="208"/>
        <v>166.97658184507787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-5.6843418860808015E-14</v>
      </c>
      <c r="DP199" s="18">
        <f>DO199*VLOOKUP('Données projet'!$B$14,Paramètres!$A$1:$I$89,3,0)*VLOOKUP('Données projet'!$B$14,Paramètres!$A$1:$I$89,5,0)</f>
        <v>-3.813056537183002E-14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291.18686311753402</v>
      </c>
      <c r="DU199" s="60">
        <f t="shared" si="209"/>
        <v>215.44422413249839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-1.9895196601282805E-13</v>
      </c>
      <c r="EK199" s="18">
        <f>EJ199*VLOOKUP('Données projet'!$B$15,Paramètres!$A$1:$I$89,3,0)*VLOOKUP('Données projet'!$B$15,Paramètres!$A$1:$I$89,5,0)</f>
        <v>-1.6138983482960614E-13</v>
      </c>
      <c r="EL199" s="14" t="e">
        <f t="shared" si="179"/>
        <v>#NUM!</v>
      </c>
      <c r="EM199" s="22" t="e">
        <f t="shared" si="180"/>
        <v>#NUM!</v>
      </c>
      <c r="EN199" s="60" t="e">
        <f t="shared" si="198"/>
        <v>#NUM!</v>
      </c>
      <c r="EO199" s="60">
        <f ca="1">AVERAGE(OFFSET($EN$3,0,0,'Données projet'!$E$15+1,1))-AVERAGE(OFFSET($H$3,0,0,'Données projet'!$E$15+1,1))</f>
        <v>236.22643401787644</v>
      </c>
      <c r="EP199" s="60">
        <f t="shared" si="210"/>
        <v>188.80444043778022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8">
        <f t="shared" si="192"/>
        <v>256.66666666666669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144.55635559713392</v>
      </c>
      <c r="T200" s="60">
        <f t="shared" si="204"/>
        <v>349.14692715126904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2.2313845155419125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1.6102916434274475E-26</v>
      </c>
      <c r="AC200" s="24">
        <f t="shared" si="163"/>
        <v>2.2313845155419125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-9.6633812063373625E-13</v>
      </c>
      <c r="AJ200" s="14">
        <f>AI200*VLOOKUP('Données projet'!$B$10,Paramètres!$A$1:$I$89,3,0)*VLOOKUP('Données projet'!$B$10,Paramètres!$A$1:$I$89,5,0)</f>
        <v>-8.7434273154940449E-13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428.8489304403459</v>
      </c>
      <c r="AO200" s="60">
        <f t="shared" si="205"/>
        <v>247.01165577562966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-9.6633812063373625E-13</v>
      </c>
      <c r="BE200" s="14">
        <f>BD200*VLOOKUP('Données projet'!$B$11,Paramètres!$A$1:$I$89,3,0)*VLOOKUP('Données projet'!$B$11,Paramètres!$A$1:$I$89,5,0)</f>
        <v>-9.7986685432260874E-13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475.47920969424894</v>
      </c>
      <c r="BJ200" s="60">
        <f t="shared" si="206"/>
        <v>271.73544012419364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5.6843418860808015E-14</v>
      </c>
      <c r="BZ200" s="14">
        <f>BY200*VLOOKUP('Données projet'!$B$12,Paramètres!$A$1:$I$89,3,0)*VLOOKUP('Données projet'!$B$12,Paramètres!$A$1:$I$89,5,0)</f>
        <v>5.4978954722173515E-14</v>
      </c>
      <c r="CA200" s="14">
        <f t="shared" si="170"/>
        <v>8.8550225887742724E-13</v>
      </c>
      <c r="CB200" s="22">
        <f t="shared" si="171"/>
        <v>1.6380047803526383E-12</v>
      </c>
      <c r="CC200" s="60">
        <f t="shared" si="195"/>
        <v>293.33333333333496</v>
      </c>
      <c r="CD200" s="60">
        <f ca="1">AVERAGE(OFFSET($CC$3,0,0,'Données projet'!$E$12+1,1))-AVERAGE(OFFSET($H$3,0,0,'Données projet'!$E$12+1,1))</f>
        <v>255.59755832175625</v>
      </c>
      <c r="CE200" s="60">
        <f t="shared" si="207"/>
        <v>154.0840647586964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5.6843418860808015E-14</v>
      </c>
      <c r="CU200" s="18">
        <f>CT200*VLOOKUP('Données projet'!$B$13,Paramètres!$A$1:$I$89,3,0)*VLOOKUP('Données projet'!$B$13,Paramètres!$A$1:$I$89,5,0)</f>
        <v>6.1186256061773749E-14</v>
      </c>
      <c r="CV200" s="14">
        <f t="shared" si="173"/>
        <v>9.7328366192051127E-13</v>
      </c>
      <c r="CW200" s="22">
        <f t="shared" si="174"/>
        <v>1.8017017738191463E-12</v>
      </c>
      <c r="CX200" s="60">
        <f t="shared" si="196"/>
        <v>293.33333333333513</v>
      </c>
      <c r="CY200" s="60">
        <f ca="1">AVERAGE(OFFSET($CX$3,0,0,'Données projet'!$E$13+1,1))-AVERAGE(OFFSET($H$3,0,0,'Données projet'!$E$13+1,1))</f>
        <v>280.20599015000306</v>
      </c>
      <c r="CZ200" s="60">
        <f t="shared" si="208"/>
        <v>166.97658184507787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-5.6843418860808015E-14</v>
      </c>
      <c r="DP200" s="18">
        <f>DO200*VLOOKUP('Données projet'!$B$14,Paramètres!$A$1:$I$89,3,0)*VLOOKUP('Données projet'!$B$14,Paramètres!$A$1:$I$89,5,0)</f>
        <v>-3.813056537183002E-14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291.18686311753402</v>
      </c>
      <c r="DU200" s="60">
        <f t="shared" si="209"/>
        <v>215.44422413249839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-1.9895196601282805E-13</v>
      </c>
      <c r="EK200" s="18">
        <f>EJ200*VLOOKUP('Données projet'!$B$15,Paramètres!$A$1:$I$89,3,0)*VLOOKUP('Données projet'!$B$15,Paramètres!$A$1:$I$89,5,0)</f>
        <v>-1.6138983482960614E-13</v>
      </c>
      <c r="EL200" s="14" t="e">
        <f t="shared" si="179"/>
        <v>#NUM!</v>
      </c>
      <c r="EM200" s="22" t="e">
        <f t="shared" si="180"/>
        <v>#NUM!</v>
      </c>
      <c r="EN200" s="60" t="e">
        <f t="shared" si="198"/>
        <v>#NUM!</v>
      </c>
      <c r="EO200" s="60">
        <f ca="1">AVERAGE(OFFSET($EN$3,0,0,'Données projet'!$E$15+1,1))-AVERAGE(OFFSET($H$3,0,0,'Données projet'!$E$15+1,1))</f>
        <v>236.22643401787644</v>
      </c>
      <c r="EP200" s="60">
        <f t="shared" si="210"/>
        <v>188.80444043778022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8">
        <f t="shared" si="192"/>
        <v>256.66666666666669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144.55635559713392</v>
      </c>
      <c r="T201" s="60">
        <f t="shared" si="204"/>
        <v>349.14692715126904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2.1876284262023016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1.1386481407555782E-26</v>
      </c>
      <c r="AC201" s="24">
        <f t="shared" si="163"/>
        <v>2.1876284262023016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-9.6633812063373625E-13</v>
      </c>
      <c r="AJ201" s="14">
        <f>AI201*VLOOKUP('Données projet'!$B$10,Paramètres!$A$1:$I$89,3,0)*VLOOKUP('Données projet'!$B$10,Paramètres!$A$1:$I$89,5,0)</f>
        <v>-8.7434273154940449E-13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428.8489304403459</v>
      </c>
      <c r="AO201" s="60">
        <f t="shared" si="205"/>
        <v>247.01165577562966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-9.6633812063373625E-13</v>
      </c>
      <c r="BE201" s="14">
        <f>BD201*VLOOKUP('Données projet'!$B$11,Paramètres!$A$1:$I$89,3,0)*VLOOKUP('Données projet'!$B$11,Paramètres!$A$1:$I$89,5,0)</f>
        <v>-9.7986685432260874E-13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475.47920969424894</v>
      </c>
      <c r="BJ201" s="60">
        <f t="shared" si="206"/>
        <v>271.73544012419364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5.6843418860808015E-14</v>
      </c>
      <c r="BZ201" s="14">
        <f>BY201*VLOOKUP('Données projet'!$B$12,Paramètres!$A$1:$I$89,3,0)*VLOOKUP('Données projet'!$B$12,Paramètres!$A$1:$I$89,5,0)</f>
        <v>5.4978954722173515E-14</v>
      </c>
      <c r="CA201" s="14">
        <f t="shared" si="170"/>
        <v>8.8550225887742724E-13</v>
      </c>
      <c r="CB201" s="22">
        <f t="shared" si="171"/>
        <v>1.6380047803526383E-12</v>
      </c>
      <c r="CC201" s="60">
        <f t="shared" si="195"/>
        <v>293.33333333333496</v>
      </c>
      <c r="CD201" s="60">
        <f ca="1">AVERAGE(OFFSET($CC$3,0,0,'Données projet'!$E$12+1,1))-AVERAGE(OFFSET($H$3,0,0,'Données projet'!$E$12+1,1))</f>
        <v>255.59755832175625</v>
      </c>
      <c r="CE201" s="60">
        <f t="shared" si="207"/>
        <v>154.0840647586964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5.6843418860808015E-14</v>
      </c>
      <c r="CU201" s="18">
        <f>CT201*VLOOKUP('Données projet'!$B$13,Paramètres!$A$1:$I$89,3,0)*VLOOKUP('Données projet'!$B$13,Paramètres!$A$1:$I$89,5,0)</f>
        <v>6.1186256061773749E-14</v>
      </c>
      <c r="CV201" s="14">
        <f t="shared" si="173"/>
        <v>9.7328366192051127E-13</v>
      </c>
      <c r="CW201" s="22">
        <f t="shared" si="174"/>
        <v>1.8017017738191463E-12</v>
      </c>
      <c r="CX201" s="60">
        <f t="shared" si="196"/>
        <v>293.33333333333513</v>
      </c>
      <c r="CY201" s="60">
        <f ca="1">AVERAGE(OFFSET($CX$3,0,0,'Données projet'!$E$13+1,1))-AVERAGE(OFFSET($H$3,0,0,'Données projet'!$E$13+1,1))</f>
        <v>280.20599015000306</v>
      </c>
      <c r="CZ201" s="60">
        <f t="shared" si="208"/>
        <v>166.97658184507787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-5.6843418860808015E-14</v>
      </c>
      <c r="DP201" s="18">
        <f>DO201*VLOOKUP('Données projet'!$B$14,Paramètres!$A$1:$I$89,3,0)*VLOOKUP('Données projet'!$B$14,Paramètres!$A$1:$I$89,5,0)</f>
        <v>-3.813056537183002E-14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291.18686311753402</v>
      </c>
      <c r="DU201" s="60">
        <f t="shared" si="209"/>
        <v>215.44422413249839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-1.9895196601282805E-13</v>
      </c>
      <c r="EK201" s="18">
        <f>EJ201*VLOOKUP('Données projet'!$B$15,Paramètres!$A$1:$I$89,3,0)*VLOOKUP('Données projet'!$B$15,Paramètres!$A$1:$I$89,5,0)</f>
        <v>-1.6138983482960614E-13</v>
      </c>
      <c r="EL201" s="14" t="e">
        <f t="shared" si="179"/>
        <v>#NUM!</v>
      </c>
      <c r="EM201" s="22" t="e">
        <f t="shared" si="180"/>
        <v>#NUM!</v>
      </c>
      <c r="EN201" s="60" t="e">
        <f t="shared" si="198"/>
        <v>#NUM!</v>
      </c>
      <c r="EO201" s="60">
        <f ca="1">AVERAGE(OFFSET($EN$3,0,0,'Données projet'!$E$15+1,1))-AVERAGE(OFFSET($H$3,0,0,'Données projet'!$E$15+1,1))</f>
        <v>236.22643401787644</v>
      </c>
      <c r="EP201" s="60">
        <f t="shared" si="210"/>
        <v>188.80444043778022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8">
        <f t="shared" si="192"/>
        <v>256.66666666666669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144.55635559713392</v>
      </c>
      <c r="T202" s="60">
        <f t="shared" si="204"/>
        <v>349.14692715126904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2.1447303670860611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8.0514582171372377E-27</v>
      </c>
      <c r="AC202" s="24">
        <f t="shared" si="163"/>
        <v>2.1447303670860611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-9.6633812063373625E-13</v>
      </c>
      <c r="AJ202" s="14">
        <f>AI202*VLOOKUP('Données projet'!$B$10,Paramètres!$A$1:$I$89,3,0)*VLOOKUP('Données projet'!$B$10,Paramètres!$A$1:$I$89,5,0)</f>
        <v>-8.7434273154940449E-13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428.8489304403459</v>
      </c>
      <c r="AO202" s="60">
        <f t="shared" si="205"/>
        <v>247.01165577562966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-9.6633812063373625E-13</v>
      </c>
      <c r="BE202" s="14">
        <f>BD202*VLOOKUP('Données projet'!$B$11,Paramètres!$A$1:$I$89,3,0)*VLOOKUP('Données projet'!$B$11,Paramètres!$A$1:$I$89,5,0)</f>
        <v>-9.7986685432260874E-13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475.47920969424894</v>
      </c>
      <c r="BJ202" s="60">
        <f t="shared" si="206"/>
        <v>271.73544012419364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5.6843418860808015E-14</v>
      </c>
      <c r="BZ202" s="14">
        <f>BY202*VLOOKUP('Données projet'!$B$12,Paramètres!$A$1:$I$89,3,0)*VLOOKUP('Données projet'!$B$12,Paramètres!$A$1:$I$89,5,0)</f>
        <v>5.4978954722173515E-14</v>
      </c>
      <c r="CA202" s="14">
        <f t="shared" si="170"/>
        <v>8.8550225887742724E-13</v>
      </c>
      <c r="CB202" s="22">
        <f t="shared" si="171"/>
        <v>1.6380047803526383E-12</v>
      </c>
      <c r="CC202" s="60">
        <f t="shared" si="195"/>
        <v>293.33333333333496</v>
      </c>
      <c r="CD202" s="60">
        <f ca="1">AVERAGE(OFFSET($CC$3,0,0,'Données projet'!$E$12+1,1))-AVERAGE(OFFSET($H$3,0,0,'Données projet'!$E$12+1,1))</f>
        <v>255.59755832175625</v>
      </c>
      <c r="CE202" s="60">
        <f t="shared" si="207"/>
        <v>154.0840647586964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5.6843418860808015E-14</v>
      </c>
      <c r="CU202" s="18">
        <f>CT202*VLOOKUP('Données projet'!$B$13,Paramètres!$A$1:$I$89,3,0)*VLOOKUP('Données projet'!$B$13,Paramètres!$A$1:$I$89,5,0)</f>
        <v>6.1186256061773749E-14</v>
      </c>
      <c r="CV202" s="14">
        <f t="shared" si="173"/>
        <v>9.7328366192051127E-13</v>
      </c>
      <c r="CW202" s="22">
        <f t="shared" si="174"/>
        <v>1.8017017738191463E-12</v>
      </c>
      <c r="CX202" s="60">
        <f t="shared" si="196"/>
        <v>293.33333333333513</v>
      </c>
      <c r="CY202" s="60">
        <f ca="1">AVERAGE(OFFSET($CX$3,0,0,'Données projet'!$E$13+1,1))-AVERAGE(OFFSET($H$3,0,0,'Données projet'!$E$13+1,1))</f>
        <v>280.20599015000306</v>
      </c>
      <c r="CZ202" s="60">
        <f t="shared" si="208"/>
        <v>166.97658184507787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-5.6843418860808015E-14</v>
      </c>
      <c r="DP202" s="18">
        <f>DO202*VLOOKUP('Données projet'!$B$14,Paramètres!$A$1:$I$89,3,0)*VLOOKUP('Données projet'!$B$14,Paramètres!$A$1:$I$89,5,0)</f>
        <v>-3.813056537183002E-14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291.18686311753402</v>
      </c>
      <c r="DU202" s="60">
        <f t="shared" si="209"/>
        <v>215.44422413249839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-1.9895196601282805E-13</v>
      </c>
      <c r="EK202" s="18">
        <f>EJ202*VLOOKUP('Données projet'!$B$15,Paramètres!$A$1:$I$89,3,0)*VLOOKUP('Données projet'!$B$15,Paramètres!$A$1:$I$89,5,0)</f>
        <v>-1.6138983482960614E-13</v>
      </c>
      <c r="EL202" s="14" t="e">
        <f t="shared" si="179"/>
        <v>#NUM!</v>
      </c>
      <c r="EM202" s="22" t="e">
        <f t="shared" si="180"/>
        <v>#NUM!</v>
      </c>
      <c r="EN202" s="60" t="e">
        <f t="shared" si="198"/>
        <v>#NUM!</v>
      </c>
      <c r="EO202" s="60">
        <f ca="1">AVERAGE(OFFSET($EN$3,0,0,'Données projet'!$E$15+1,1))-AVERAGE(OFFSET($H$3,0,0,'Données projet'!$E$15+1,1))</f>
        <v>236.22643401787644</v>
      </c>
      <c r="EP202" s="60">
        <f t="shared" si="210"/>
        <v>188.80444043778022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8">
        <f t="shared" si="192"/>
        <v>256.66666666666669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144.55635559713392</v>
      </c>
      <c r="T203" s="60">
        <f t="shared" si="204"/>
        <v>349.14692715126904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2.1026735127438578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5.6932407037778908E-27</v>
      </c>
      <c r="AC203" s="24">
        <f t="shared" si="163"/>
        <v>2.1026735127438578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-9.6633812063373625E-13</v>
      </c>
      <c r="AJ203" s="14">
        <f>AI203*VLOOKUP('Données projet'!$B$10,Paramètres!$A$1:$I$89,3,0)*VLOOKUP('Données projet'!$B$10,Paramètres!$A$1:$I$89,5,0)</f>
        <v>-8.7434273154940449E-13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428.8489304403459</v>
      </c>
      <c r="AO203" s="60">
        <f t="shared" si="205"/>
        <v>247.01165577562966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-9.6633812063373625E-13</v>
      </c>
      <c r="BE203" s="14">
        <f>BD203*VLOOKUP('Données projet'!$B$11,Paramètres!$A$1:$I$89,3,0)*VLOOKUP('Données projet'!$B$11,Paramètres!$A$1:$I$89,5,0)</f>
        <v>-9.7986685432260874E-13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475.47920969424894</v>
      </c>
      <c r="BJ203" s="60">
        <f t="shared" si="206"/>
        <v>271.73544012419364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5.6843418860808015E-14</v>
      </c>
      <c r="BZ203" s="14">
        <f>BY203*VLOOKUP('Données projet'!$B$12,Paramètres!$A$1:$I$89,3,0)*VLOOKUP('Données projet'!$B$12,Paramètres!$A$1:$I$89,5,0)</f>
        <v>5.4978954722173515E-14</v>
      </c>
      <c r="CA203" s="14">
        <f t="shared" si="170"/>
        <v>8.8550225887742724E-13</v>
      </c>
      <c r="CB203" s="22">
        <f t="shared" si="171"/>
        <v>1.6380047803526383E-12</v>
      </c>
      <c r="CC203" s="60">
        <f t="shared" si="195"/>
        <v>293.33333333333496</v>
      </c>
      <c r="CD203" s="60">
        <f ca="1">AVERAGE(OFFSET($CC$3,0,0,'Données projet'!$E$12+1,1))-AVERAGE(OFFSET($H$3,0,0,'Données projet'!$E$12+1,1))</f>
        <v>255.59755832175625</v>
      </c>
      <c r="CE203" s="60">
        <f t="shared" si="207"/>
        <v>154.0840647586964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5.6843418860808015E-14</v>
      </c>
      <c r="CU203" s="18">
        <f>CT203*VLOOKUP('Données projet'!$B$13,Paramètres!$A$1:$I$89,3,0)*VLOOKUP('Données projet'!$B$13,Paramètres!$A$1:$I$89,5,0)</f>
        <v>6.1186256061773749E-14</v>
      </c>
      <c r="CV203" s="14">
        <f t="shared" si="173"/>
        <v>9.7328366192051127E-13</v>
      </c>
      <c r="CW203" s="22">
        <f t="shared" si="174"/>
        <v>1.8017017738191463E-12</v>
      </c>
      <c r="CX203" s="60">
        <f t="shared" si="196"/>
        <v>293.33333333333513</v>
      </c>
      <c r="CY203" s="60">
        <f ca="1">AVERAGE(OFFSET($CX$3,0,0,'Données projet'!$E$13+1,1))-AVERAGE(OFFSET($H$3,0,0,'Données projet'!$E$13+1,1))</f>
        <v>280.20599015000306</v>
      </c>
      <c r="CZ203" s="60">
        <f t="shared" si="208"/>
        <v>166.97658184507787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-5.6843418860808015E-14</v>
      </c>
      <c r="DP203" s="18">
        <f>DO203*VLOOKUP('Données projet'!$B$14,Paramètres!$A$1:$I$89,3,0)*VLOOKUP('Données projet'!$B$14,Paramètres!$A$1:$I$89,5,0)</f>
        <v>-3.813056537183002E-14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291.18686311753402</v>
      </c>
      <c r="DU203" s="60">
        <f t="shared" si="209"/>
        <v>215.44422413249839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-1.9895196601282805E-13</v>
      </c>
      <c r="EK203" s="18">
        <f>EJ203*VLOOKUP('Données projet'!$B$15,Paramètres!$A$1:$I$89,3,0)*VLOOKUP('Données projet'!$B$15,Paramètres!$A$1:$I$89,5,0)</f>
        <v>-1.6138983482960614E-13</v>
      </c>
      <c r="EL203" s="14" t="e">
        <f t="shared" si="179"/>
        <v>#NUM!</v>
      </c>
      <c r="EM203" s="22" t="e">
        <f t="shared" si="180"/>
        <v>#NUM!</v>
      </c>
      <c r="EN203" s="60" t="e">
        <f t="shared" si="198"/>
        <v>#NUM!</v>
      </c>
      <c r="EO203" s="60">
        <f ca="1">AVERAGE(OFFSET($EN$3,0,0,'Données projet'!$E$15+1,1))-AVERAGE(OFFSET($H$3,0,0,'Données projet'!$E$15+1,1))</f>
        <v>236.22643401787644</v>
      </c>
      <c r="EP203" s="60">
        <f t="shared" si="210"/>
        <v>188.80444043778022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" thickBot="1" x14ac:dyDescent="0.35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1.59264882574722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1.2054868146447177</v>
      </c>
      <c r="BA205" s="86">
        <f>EXP(LN('Données projet'!B88)/'Données projet'!A88)</f>
        <v>1.2054868146447177</v>
      </c>
      <c r="BV205" s="86">
        <f>EXP(LN('Données projet'!B114)/'Données projet'!A114)</f>
        <v>1.1644235083052243</v>
      </c>
      <c r="CQ205" s="86">
        <f>EXP(LN('Données projet'!B140)/'Données projet'!A140)</f>
        <v>1.1644235083052243</v>
      </c>
      <c r="DL205" s="86">
        <f>EXP(LN('Données projet'!B166)/'Données projet'!A166)</f>
        <v>1.2822890014514785</v>
      </c>
      <c r="EG205" s="86">
        <f>EXP(LN('Données projet'!B192)/'Données projet'!A192)</f>
        <v>1.2599210498948732</v>
      </c>
      <c r="FB205" s="86" t="e">
        <f>EXP(LN('Données projet'!B218)/'Données projet'!A218)</f>
        <v>#NUM!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H11" sqref="H11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>Peuplier Koster</v>
      </c>
      <c r="B6" s="153">
        <f>'Données projet'!D9</f>
        <v>2</v>
      </c>
      <c r="C6" s="154">
        <f ca="1">IF(OR('Données projet'!B9="",'Données projet'!C9="",'Données projet'!C9=0%),0,Calculateur!S3)</f>
        <v>144.55635559713392</v>
      </c>
      <c r="D6" s="154">
        <f>IF(OR('Données projet'!B9="",'Données projet'!C9="",'Données projet'!C9=0%),0,Calculateur!T3)</f>
        <v>349.14692715126904</v>
      </c>
      <c r="E6" s="154">
        <f ca="1">MIN(C6,D6)</f>
        <v>144.55635559713392</v>
      </c>
      <c r="F6" s="154">
        <f ca="1">E6*B6</f>
        <v>289.11271119426783</v>
      </c>
      <c r="G6" s="154">
        <f ca="1">F6*(100%-'Données projet'!$C$24)*(100%-'Données projet'!$C$25)*(100%-'Données projet'!$C$26)*(100%-'Données projet'!$C$27)</f>
        <v>234.18129606735695</v>
      </c>
      <c r="H6" s="155">
        <f>IF(OR('Données projet'!B9="",'Données projet'!C9="",'Données projet'!C9=0%),0,AVERAGE(Calculateur!$AC$3:$AC$33)*B6)</f>
        <v>60.790556671483891</v>
      </c>
      <c r="I6" s="156">
        <f>H6*(100%-'Données projet'!$C$24)*(100%-'Données projet'!$C$25)*(100%-'Données projet'!$C$26)*(100%-'Données projet'!$C$27)</f>
        <v>49.240350903901955</v>
      </c>
      <c r="J6" s="157">
        <f>IF(OR('Données projet'!B9="",'Données projet'!C9="",'Données projet'!C9=0%),0,SUM(Calculateur!$V$3:$V$33)*VLOOKUP('Données projet'!$B$9,Paramètres!$A$1:$I$89,9,0)*B6)</f>
        <v>605.14559999999994</v>
      </c>
      <c r="K6" s="158">
        <f>J6*(100%-'Données projet'!$C$24)*(100%-'Données projet'!$C$25)*(100%-'Données projet'!$C$26)*(100%-'Données projet'!$C$27)</f>
        <v>490.167936</v>
      </c>
      <c r="L6" s="159">
        <f ca="1">G6+I6+K6</f>
        <v>773.58958297125889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Chêne sessile</v>
      </c>
      <c r="B7" s="161">
        <f>'Données projet'!D10</f>
        <v>0.8</v>
      </c>
      <c r="C7" s="154">
        <f ca="1">IF(OR('Données projet'!B10="",'Données projet'!C10="",'Données projet'!C10=0%),0,Calculateur!AN3)</f>
        <v>428.8489304403459</v>
      </c>
      <c r="D7" s="154">
        <f>IF(OR('Données projet'!B10="",'Données projet'!C10="",'Données projet'!C10=0%),0,Calculateur!AO3)</f>
        <v>247.01165577562966</v>
      </c>
      <c r="E7" s="154">
        <f t="shared" ref="E7:E15" ca="1" si="0">MIN(C7,D7)</f>
        <v>247.01165577562966</v>
      </c>
      <c r="F7" s="154">
        <f t="shared" ref="F7:F15" ca="1" si="1">E7*B7</f>
        <v>197.60932462050374</v>
      </c>
      <c r="G7" s="154">
        <f ca="1">F7*(100%-'Données projet'!$C$24)*(100%-'Données projet'!$C$25)*(100%-'Données projet'!$C$26)*(100%-'Données projet'!$C$27)</f>
        <v>160.06355294260806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5.8000000000000007</v>
      </c>
      <c r="K7" s="158">
        <f>J7*(100%-'Données projet'!$C$24)*(100%-'Données projet'!$C$25)*(100%-'Données projet'!$C$26)*(100%-'Données projet'!$C$27)</f>
        <v>4.6980000000000004</v>
      </c>
      <c r="L7" s="159">
        <f t="shared" ref="L7:L15" ca="1" si="2">G7+I7+K7</f>
        <v>164.76155294260806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Chêne pubescent</v>
      </c>
      <c r="B8" s="161">
        <f>'Données projet'!D11</f>
        <v>0.8</v>
      </c>
      <c r="C8" s="154">
        <f ca="1">IF(OR('Données projet'!B11="",'Données projet'!C11="",'Données projet'!C11=0%),0,Calculateur!BI3)</f>
        <v>475.47920969424894</v>
      </c>
      <c r="D8" s="154">
        <f>IF(OR('Données projet'!B11="",'Données projet'!C11="",'Données projet'!C11=0%),0,Calculateur!BJ3)</f>
        <v>271.73544012419364</v>
      </c>
      <c r="E8" s="154">
        <f t="shared" ca="1" si="0"/>
        <v>271.73544012419364</v>
      </c>
      <c r="F8" s="154">
        <f t="shared" ca="1" si="1"/>
        <v>217.38835209935493</v>
      </c>
      <c r="G8" s="154">
        <f ca="1">F8*(100%-'Données projet'!$C$24)*(100%-'Données projet'!$C$25)*(100%-'Données projet'!$C$26)*(100%-'Données projet'!$C$27)</f>
        <v>176.0845652004775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5.8000000000000007</v>
      </c>
      <c r="K8" s="158">
        <f>J8*(100%-'Données projet'!$C$24)*(100%-'Données projet'!$C$25)*(100%-'Données projet'!$C$26)*(100%-'Données projet'!$C$27)</f>
        <v>4.6980000000000004</v>
      </c>
      <c r="L8" s="159">
        <f t="shared" ca="1" si="2"/>
        <v>180.78256520047751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>Alisier torminal</v>
      </c>
      <c r="B9" s="161">
        <f>'Données projet'!D12</f>
        <v>0.16</v>
      </c>
      <c r="C9" s="154">
        <f ca="1">IF(OR('Données projet'!B12="",'Données projet'!C12="",'Données projet'!C12=0%),0,Calculateur!CD3)</f>
        <v>255.59755832175625</v>
      </c>
      <c r="D9" s="154">
        <f>IF(OR('Données projet'!B12="",'Données projet'!C12="",'Données projet'!C12=0%),0,Calculateur!CE3)</f>
        <v>154.0840647586964</v>
      </c>
      <c r="E9" s="154">
        <f t="shared" ca="1" si="0"/>
        <v>154.0840647586964</v>
      </c>
      <c r="F9" s="154">
        <f t="shared" ca="1" si="1"/>
        <v>24.653450361391425</v>
      </c>
      <c r="G9" s="154">
        <f ca="1">F9*(100%-'Données projet'!$C$24)*(100%-'Données projet'!$C$25)*(100%-'Données projet'!$C$26)*(100%-'Données projet'!$C$27)</f>
        <v>19.969294792727055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</v>
      </c>
      <c r="K9" s="158">
        <f>J9*(100%-'Données projet'!$C$24)*(100%-'Données projet'!$C$25)*(100%-'Données projet'!$C$26)*(100%-'Données projet'!$C$27)</f>
        <v>0</v>
      </c>
      <c r="L9" s="159">
        <f t="shared" ca="1" si="2"/>
        <v>19.969294792727055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>Cormier</v>
      </c>
      <c r="B10" s="161">
        <f>'Données projet'!D13</f>
        <v>0.11600000000000001</v>
      </c>
      <c r="C10" s="154">
        <f ca="1">IF(OR('Données projet'!B13="",'Données projet'!C13="",'Données projet'!C13=0%),0,Calculateur!CY3)</f>
        <v>280.20599015000306</v>
      </c>
      <c r="D10" s="154">
        <f>IF(OR('Données projet'!B13="",'Données projet'!C13="",'Données projet'!C13=0%),0,Calculateur!CZ3)</f>
        <v>166.97658184507787</v>
      </c>
      <c r="E10" s="154">
        <f t="shared" ca="1" si="0"/>
        <v>166.97658184507787</v>
      </c>
      <c r="F10" s="154">
        <f t="shared" ca="1" si="1"/>
        <v>19.369283494029034</v>
      </c>
      <c r="G10" s="154">
        <f ca="1">F10*(100%-'Données projet'!$C$24)*(100%-'Données projet'!$C$25)*(100%-'Données projet'!$C$26)*(100%-'Données projet'!$C$27)</f>
        <v>15.689119630163519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0</v>
      </c>
      <c r="K10" s="158">
        <f>J10*(100%-'Données projet'!$C$24)*(100%-'Données projet'!$C$25)*(100%-'Données projet'!$C$26)*(100%-'Données projet'!$C$27)</f>
        <v>0</v>
      </c>
      <c r="L10" s="159">
        <f t="shared" ca="1" si="2"/>
        <v>15.689119630163519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>Tilleul</v>
      </c>
      <c r="B11" s="161">
        <f>'Données projet'!D14</f>
        <v>5.6000000000000001E-2</v>
      </c>
      <c r="C11" s="154">
        <f ca="1">IF(OR('Données projet'!B14="",'Données projet'!C14="",'Données projet'!C14=0%),0,Calculateur!DT3)</f>
        <v>291.18686311753402</v>
      </c>
      <c r="D11" s="154">
        <f>IF(OR('Données projet'!B14="",'Données projet'!C14="",'Données projet'!C14=0%),0,Calculateur!DU3)</f>
        <v>215.44422413249839</v>
      </c>
      <c r="E11" s="154">
        <f t="shared" ca="1" si="0"/>
        <v>215.44422413249839</v>
      </c>
      <c r="F11" s="154">
        <f t="shared" ca="1" si="1"/>
        <v>12.064876551419911</v>
      </c>
      <c r="G11" s="154">
        <f ca="1">F11*(100%-'Données projet'!$C$24)*(100%-'Données projet'!$C$25)*(100%-'Données projet'!$C$26)*(100%-'Données projet'!$C$27)</f>
        <v>9.7725500066501283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0.51153846153846161</v>
      </c>
      <c r="K11" s="158">
        <f>J11*(100%-'Données projet'!$C$24)*(100%-'Données projet'!$C$25)*(100%-'Données projet'!$C$26)*(100%-'Données projet'!$C$27)</f>
        <v>0.41434615384615392</v>
      </c>
      <c r="L11" s="159">
        <f t="shared" ca="1" si="2"/>
        <v>10.186896160496282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>Bouleau verruqueux</v>
      </c>
      <c r="B12" s="161">
        <f>'Données projet'!D15</f>
        <v>5.6000000000000001E-2</v>
      </c>
      <c r="C12" s="154">
        <f ca="1">IF(OR('Données projet'!B15="",'Données projet'!C15="",'Données projet'!C15=0%),0,Calculateur!EO3)</f>
        <v>236.22643401787644</v>
      </c>
      <c r="D12" s="154">
        <f>IF(OR('Données projet'!B15="",'Données projet'!C15="",'Données projet'!C15=0%),0,Calculateur!EP3)</f>
        <v>188.80444043778022</v>
      </c>
      <c r="E12" s="154">
        <f t="shared" ca="1" si="0"/>
        <v>188.80444043778022</v>
      </c>
      <c r="F12" s="154">
        <f t="shared" ca="1" si="1"/>
        <v>10.573048664515692</v>
      </c>
      <c r="G12" s="154">
        <f ca="1">F12*(100%-'Données projet'!$C$24)*(100%-'Données projet'!$C$25)*(100%-'Données projet'!$C$26)*(100%-'Données projet'!$C$27)</f>
        <v>8.5641694182577108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0.182</v>
      </c>
      <c r="K12" s="158">
        <f>J12*(100%-'Données projet'!$C$24)*(100%-'Données projet'!$C$25)*(100%-'Données projet'!$C$26)*(100%-'Données projet'!$C$27)</f>
        <v>0.14742</v>
      </c>
      <c r="L12" s="159">
        <f t="shared" ca="1" si="2"/>
        <v>8.7115894182577112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4"/>
      <c r="B16" s="231"/>
      <c r="C16" s="232"/>
      <c r="D16" s="25"/>
      <c r="E16" s="25"/>
      <c r="F16" s="172">
        <f t="shared" ref="F16:L16" ca="1" si="3">SUM(F6:F15)</f>
        <v>770.77104698548249</v>
      </c>
      <c r="G16" s="173">
        <f t="shared" ca="1" si="3"/>
        <v>624.32454805824102</v>
      </c>
      <c r="H16" s="174">
        <f t="shared" si="3"/>
        <v>60.790556671483891</v>
      </c>
      <c r="I16" s="174">
        <f t="shared" si="3"/>
        <v>49.240350903901955</v>
      </c>
      <c r="J16" s="175">
        <f t="shared" si="3"/>
        <v>617.43913846153828</v>
      </c>
      <c r="K16" s="175">
        <f t="shared" si="3"/>
        <v>500.12570215384613</v>
      </c>
      <c r="L16" s="176">
        <f t="shared" ca="1" si="3"/>
        <v>1173.690601115989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4"/>
      <c r="B17" s="231"/>
      <c r="C17" s="232"/>
      <c r="D17" s="229"/>
      <c r="E17" s="229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4"/>
      <c r="B18" s="231"/>
      <c r="C18" s="232"/>
      <c r="D18" s="229"/>
      <c r="E18" s="229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>Peuplier Koster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Chêne sessile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Chêne pubescent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>Alisier torminal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>Cormier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>Tilleul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>Bouleau verruqueux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D1" zoomScale="80" zoomScaleNormal="80" workbookViewId="0">
      <selection activeCell="T25" sqref="T25:V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24" t="s">
        <v>315</v>
      </c>
      <c r="I4" s="324"/>
      <c r="K4" s="321" t="s">
        <v>253</v>
      </c>
      <c r="L4" s="322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32" t="s">
        <v>310</v>
      </c>
      <c r="S7" s="333"/>
      <c r="T7" s="333"/>
      <c r="U7" s="333"/>
      <c r="V7" s="334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Peuplier Koster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5985.6586358630329</v>
      </c>
      <c r="U10" s="188">
        <f>'Données projet'!D9</f>
        <v>2</v>
      </c>
      <c r="V10" s="187">
        <f>U10*T10</f>
        <v>11971.317271726066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Chêne sessile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795.9366756344125</v>
      </c>
      <c r="U11" s="188">
        <f>'Données projet'!D10</f>
        <v>0.8</v>
      </c>
      <c r="V11" s="187">
        <f t="shared" ref="V11" si="0">U11*T11</f>
        <v>636.74934050753006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Chêne pubescent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795.9366756344125</v>
      </c>
      <c r="U12" s="188">
        <f>'Données projet'!D11</f>
        <v>0.8</v>
      </c>
      <c r="V12" s="187">
        <f t="shared" ref="V12:V19" si="1">U12*T12</f>
        <v>636.74934050753006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Alisier torminal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458.80388192702992</v>
      </c>
      <c r="U13" s="188">
        <f>'Données projet'!D12</f>
        <v>0.16</v>
      </c>
      <c r="V13" s="187">
        <f t="shared" si="1"/>
        <v>73.408621108324795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>Peuplier Koster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Cormier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458.80388192702992</v>
      </c>
      <c r="U14" s="188">
        <f>'Données projet'!D13</f>
        <v>0.11600000000000001</v>
      </c>
      <c r="V14" s="187">
        <f t="shared" si="1"/>
        <v>53.22125030353547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9"/>
      <c r="G15" s="325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Tilleul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910.21704751986169</v>
      </c>
      <c r="U15" s="188">
        <f>'Données projet'!D14</f>
        <v>5.6000000000000001E-2</v>
      </c>
      <c r="V15" s="187">
        <f t="shared" si="1"/>
        <v>50.972154661112256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25"/>
      <c r="H16" s="201"/>
      <c r="I16" s="202"/>
      <c r="J16" s="214"/>
      <c r="K16" s="223"/>
      <c r="L16" s="321" t="s">
        <v>254</v>
      </c>
      <c r="M16" s="322"/>
      <c r="N16" s="2"/>
      <c r="O16" s="25"/>
      <c r="P16" s="25"/>
      <c r="Q16" s="263"/>
      <c r="R16" s="25"/>
      <c r="S16" s="183" t="str">
        <f>B200</f>
        <v>Bouleau verruqueux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743.46193353734941</v>
      </c>
      <c r="U16" s="188">
        <f>'Données projet'!D15</f>
        <v>5.6000000000000001E-2</v>
      </c>
      <c r="V16" s="187">
        <f t="shared" si="1"/>
        <v>41.633868278091569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25"/>
      <c r="J17" s="214"/>
      <c r="K17" s="223"/>
      <c r="L17" s="292" t="s">
        <v>289</v>
      </c>
      <c r="M17" s="294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25"/>
      <c r="J18" s="214"/>
      <c r="K18" s="223"/>
      <c r="L18" s="292" t="s">
        <v>255</v>
      </c>
      <c r="M18" s="294"/>
      <c r="N18" s="203"/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25"/>
      <c r="H19" s="230" t="s">
        <v>178</v>
      </c>
      <c r="I19" s="230" t="s">
        <v>287</v>
      </c>
      <c r="J19" s="258"/>
      <c r="K19" s="181"/>
      <c r="L19" s="321" t="s">
        <v>288</v>
      </c>
      <c r="M19" s="322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25"/>
      <c r="H20" s="201"/>
      <c r="I20" s="202">
        <v>9598.5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6</v>
      </c>
      <c r="B23" s="191">
        <f>'Données projet'!D36</f>
        <v>0</v>
      </c>
      <c r="C23" s="204">
        <v>0</v>
      </c>
      <c r="D23" s="192">
        <f>B23*C23</f>
        <v>0</v>
      </c>
      <c r="E23" s="204"/>
      <c r="F23" s="259"/>
      <c r="H23" s="201"/>
      <c r="I23" s="202"/>
      <c r="K23" s="223"/>
      <c r="L23" s="323" t="s">
        <v>260</v>
      </c>
      <c r="M23" s="323"/>
      <c r="N23" s="323"/>
      <c r="O23" s="25"/>
      <c r="P23" s="25"/>
      <c r="Q23" s="263"/>
      <c r="R23" s="25"/>
      <c r="S23" s="183" t="s">
        <v>264</v>
      </c>
      <c r="T23" s="33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-24929.948152907811</v>
      </c>
      <c r="U23" s="337"/>
      <c r="V23" s="33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7</v>
      </c>
      <c r="B24" s="191">
        <f>'Données projet'!D37</f>
        <v>0</v>
      </c>
      <c r="C24" s="204">
        <v>0</v>
      </c>
      <c r="D24" s="192">
        <f t="shared" ref="D24:D42" si="2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8"/>
      <c r="V24" s="338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8</v>
      </c>
      <c r="B25" s="191">
        <f>'Données projet'!D38</f>
        <v>0</v>
      </c>
      <c r="C25" s="204">
        <v>0</v>
      </c>
      <c r="D25" s="192">
        <f t="shared" si="2"/>
        <v>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0</v>
      </c>
      <c r="Q25" s="263"/>
      <c r="R25" s="25"/>
      <c r="S25" s="196" t="s">
        <v>266</v>
      </c>
      <c r="T25" s="339">
        <f ca="1">T23-T24</f>
        <v>-24929.948152907811</v>
      </c>
      <c r="U25" s="339"/>
      <c r="V25" s="339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9</v>
      </c>
      <c r="B26" s="191">
        <f>'Données projet'!D39</f>
        <v>0</v>
      </c>
      <c r="C26" s="204">
        <v>0</v>
      </c>
      <c r="D26" s="192">
        <f t="shared" si="2"/>
        <v>0</v>
      </c>
      <c r="E26" s="204"/>
      <c r="F26" s="262"/>
      <c r="G26" s="257"/>
      <c r="H26" s="201"/>
      <c r="I26" s="202"/>
      <c r="K26" s="223"/>
      <c r="L26" s="326" t="s">
        <v>258</v>
      </c>
      <c r="M26" s="327"/>
      <c r="N26" s="327"/>
      <c r="O26" s="327"/>
      <c r="P26" s="328"/>
      <c r="Q26" s="263"/>
      <c r="R26" s="25"/>
      <c r="S26" s="196" t="s">
        <v>265</v>
      </c>
      <c r="T26" s="336" t="str">
        <f ca="1">IF(T25&lt;0,"Votre projet est additionnel","Votre projet n'est pas additionnel")</f>
        <v>Votre projet est additionnel</v>
      </c>
      <c r="U26" s="336"/>
      <c r="V26" s="336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10</v>
      </c>
      <c r="B27" s="191">
        <f>'Données projet'!D40</f>
        <v>0</v>
      </c>
      <c r="C27" s="204">
        <v>0</v>
      </c>
      <c r="D27" s="192">
        <f t="shared" si="2"/>
        <v>0</v>
      </c>
      <c r="E27" s="204"/>
      <c r="F27" s="262"/>
      <c r="G27" s="257"/>
      <c r="H27" s="201"/>
      <c r="I27" s="202"/>
      <c r="K27" s="223"/>
      <c r="L27" s="329"/>
      <c r="M27" s="330"/>
      <c r="N27" s="330"/>
      <c r="O27" s="330"/>
      <c r="P27" s="331"/>
      <c r="Q27" s="263"/>
      <c r="R27" s="25"/>
      <c r="S27" s="335" t="s">
        <v>267</v>
      </c>
      <c r="T27" s="335"/>
      <c r="U27" s="335"/>
      <c r="V27" s="33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11</v>
      </c>
      <c r="B28" s="191">
        <f>'Données projet'!D41</f>
        <v>0</v>
      </c>
      <c r="C28" s="204">
        <v>0</v>
      </c>
      <c r="D28" s="192">
        <f t="shared" si="2"/>
        <v>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12</v>
      </c>
      <c r="B29" s="191">
        <f>'Données projet'!D42</f>
        <v>0</v>
      </c>
      <c r="C29" s="204">
        <v>0</v>
      </c>
      <c r="D29" s="192">
        <f t="shared" si="2"/>
        <v>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13</v>
      </c>
      <c r="B30" s="191">
        <f>'Données projet'!D43</f>
        <v>0</v>
      </c>
      <c r="C30" s="204">
        <v>0</v>
      </c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14</v>
      </c>
      <c r="B31" s="191">
        <f>'Données projet'!D44</f>
        <v>0</v>
      </c>
      <c r="C31" s="204">
        <v>0</v>
      </c>
      <c r="D31" s="192">
        <f t="shared" si="2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15</v>
      </c>
      <c r="B32" s="191">
        <f>'Données projet'!D45</f>
        <v>0</v>
      </c>
      <c r="C32" s="204">
        <v>0</v>
      </c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16</v>
      </c>
      <c r="B33" s="191">
        <f>'Données projet'!D46</f>
        <v>0</v>
      </c>
      <c r="C33" s="204">
        <v>0</v>
      </c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17</v>
      </c>
      <c r="B34" s="191">
        <f>'Données projet'!D47</f>
        <v>0</v>
      </c>
      <c r="C34" s="204">
        <v>0</v>
      </c>
      <c r="D34" s="192">
        <f t="shared" si="2"/>
        <v>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18</v>
      </c>
      <c r="B35" s="191">
        <f>'Données projet'!D48</f>
        <v>293.76</v>
      </c>
      <c r="C35" s="204">
        <v>45</v>
      </c>
      <c r="D35" s="192">
        <f t="shared" si="2"/>
        <v>13219.199999999999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0</v>
      </c>
      <c r="B36" s="191">
        <f>'Données projet'!D49</f>
        <v>0</v>
      </c>
      <c r="C36" s="204">
        <v>0</v>
      </c>
      <c r="D36" s="192">
        <f t="shared" si="2"/>
        <v>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0</v>
      </c>
      <c r="B37" s="191">
        <f>'Données projet'!D50</f>
        <v>0</v>
      </c>
      <c r="C37" s="204">
        <v>0</v>
      </c>
      <c r="D37" s="192">
        <f t="shared" si="2"/>
        <v>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0</v>
      </c>
      <c r="B38" s="191">
        <f>'Données projet'!D51</f>
        <v>0</v>
      </c>
      <c r="C38" s="204">
        <v>0</v>
      </c>
      <c r="D38" s="192">
        <f t="shared" si="2"/>
        <v>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0</v>
      </c>
      <c r="B39" s="191">
        <f>'Données projet'!D52</f>
        <v>0</v>
      </c>
      <c r="C39" s="204">
        <v>0</v>
      </c>
      <c r="D39" s="192">
        <f t="shared" si="2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0</v>
      </c>
      <c r="B40" s="191">
        <f>'Données projet'!D53</f>
        <v>0</v>
      </c>
      <c r="C40" s="204">
        <v>0</v>
      </c>
      <c r="D40" s="192">
        <f t="shared" si="2"/>
        <v>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0</v>
      </c>
      <c r="B41" s="191">
        <f>'Données projet'!D54</f>
        <v>0</v>
      </c>
      <c r="C41" s="204">
        <v>0</v>
      </c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0</v>
      </c>
      <c r="B42" s="191">
        <f>'Données projet'!D55</f>
        <v>0</v>
      </c>
      <c r="C42" s="204">
        <v>0</v>
      </c>
      <c r="D42" s="192">
        <f t="shared" si="2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>Chêne sessile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 t="str">
        <f>IF(O51+1&lt;=MIN('Données projet'!$E$9:$E$18),O51+1,"STOP")</f>
        <v>STOP</v>
      </c>
      <c r="P52" s="195" t="e">
        <f t="shared" si="3"/>
        <v>#VALUE!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 t="e">
        <f>IF(O52+1&lt;=MIN('Données projet'!$E$9:$E$18),O52+1,"STOP")</f>
        <v>#VALUE!</v>
      </c>
      <c r="P53" s="195" t="e">
        <f t="shared" si="3"/>
        <v>#VALUE!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20</v>
      </c>
      <c r="B54" s="191">
        <f>'Données projet'!D62</f>
        <v>0</v>
      </c>
      <c r="C54" s="202">
        <v>0</v>
      </c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 t="e">
        <f>IF(O53+1&lt;=MIN('Données projet'!$E$9:$E$18),O53+1,"STOP")</f>
        <v>#VALUE!</v>
      </c>
      <c r="P54" s="195" t="e">
        <f t="shared" si="3"/>
        <v>#VALUE!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25</v>
      </c>
      <c r="B55" s="191">
        <f>'Données projet'!D63</f>
        <v>0</v>
      </c>
      <c r="C55" s="204">
        <v>0</v>
      </c>
      <c r="D55" s="189">
        <f t="shared" ref="D55:D73" si="4">B55*C55</f>
        <v>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 t="e">
        <f>IF(O54+1&lt;=MIN('Données projet'!$E$9:$E$18),O54+1,"STOP")</f>
        <v>#VALUE!</v>
      </c>
      <c r="P55" s="195" t="e">
        <f t="shared" si="3"/>
        <v>#VALUE!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30</v>
      </c>
      <c r="B56" s="191">
        <f>'Données projet'!D64</f>
        <v>29</v>
      </c>
      <c r="C56" s="204">
        <v>10</v>
      </c>
      <c r="D56" s="189">
        <f t="shared" si="4"/>
        <v>290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 t="e">
        <f>IF(O55+1&lt;=MIN('Données projet'!$E$9:$E$18),O55+1,"STOP")</f>
        <v>#VALUE!</v>
      </c>
      <c r="P56" s="195" t="e">
        <f t="shared" si="3"/>
        <v>#VALUE!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35</v>
      </c>
      <c r="B57" s="191">
        <f>'Données projet'!D65</f>
        <v>0</v>
      </c>
      <c r="C57" s="204">
        <v>0</v>
      </c>
      <c r="D57" s="189">
        <f t="shared" si="4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 t="e">
        <f>IF(O56+1&lt;=MIN('Données projet'!$E$9:$E$18),O56+1,"STOP")</f>
        <v>#VALUE!</v>
      </c>
      <c r="P57" s="195" t="e">
        <f t="shared" si="3"/>
        <v>#VALUE!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40</v>
      </c>
      <c r="B58" s="191">
        <f>'Données projet'!D66</f>
        <v>42</v>
      </c>
      <c r="C58" s="204">
        <v>10</v>
      </c>
      <c r="D58" s="189">
        <f t="shared" si="4"/>
        <v>420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 t="e">
        <f>IF(O57+1&lt;=MIN('Données projet'!$E$9:$E$18),O57+1,"STOP")</f>
        <v>#VALUE!</v>
      </c>
      <c r="P58" s="195" t="e">
        <f t="shared" si="3"/>
        <v>#VALUE!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45</v>
      </c>
      <c r="B59" s="191">
        <f>'Données projet'!D67</f>
        <v>0</v>
      </c>
      <c r="C59" s="204">
        <v>0</v>
      </c>
      <c r="D59" s="189">
        <f t="shared" si="4"/>
        <v>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 t="e">
        <f>IF(O58+1&lt;=MIN('Données projet'!$E$9:$E$18),O58+1,"STOP")</f>
        <v>#VALUE!</v>
      </c>
      <c r="P59" s="195" t="e">
        <f t="shared" si="3"/>
        <v>#VALUE!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50</v>
      </c>
      <c r="B60" s="191">
        <f>'Données projet'!D68</f>
        <v>42</v>
      </c>
      <c r="C60" s="204">
        <v>20</v>
      </c>
      <c r="D60" s="189">
        <f t="shared" si="4"/>
        <v>840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 t="e">
        <f>IF(O59+1&lt;=MIN('Données projet'!$E$9:$E$18),O59+1,"STOP")</f>
        <v>#VALUE!</v>
      </c>
      <c r="P60" s="195" t="e">
        <f t="shared" si="3"/>
        <v>#VALUE!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55</v>
      </c>
      <c r="B61" s="191">
        <f>'Données projet'!D69</f>
        <v>0</v>
      </c>
      <c r="C61" s="204">
        <v>0</v>
      </c>
      <c r="D61" s="189">
        <f t="shared" si="4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 t="e">
        <f>IF(O60+1&lt;=MIN('Données projet'!$E$9:$E$18),O60+1,"STOP")</f>
        <v>#VALUE!</v>
      </c>
      <c r="P61" s="195" t="e">
        <f t="shared" si="3"/>
        <v>#VALUE!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60</v>
      </c>
      <c r="B62" s="191">
        <f>'Données projet'!D70</f>
        <v>42</v>
      </c>
      <c r="C62" s="204">
        <v>30</v>
      </c>
      <c r="D62" s="189">
        <f t="shared" si="4"/>
        <v>1260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 t="e">
        <f>IF(O61+1&lt;=MIN('Données projet'!$E$9:$E$18),O61+1,"STOP")</f>
        <v>#VALUE!</v>
      </c>
      <c r="P62" s="195" t="e">
        <f t="shared" si="3"/>
        <v>#VALUE!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65</v>
      </c>
      <c r="B63" s="191">
        <f>'Données projet'!D71</f>
        <v>0</v>
      </c>
      <c r="C63" s="204">
        <v>0</v>
      </c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 t="e">
        <f>IF(O62+1&lt;=MIN('Données projet'!$E$9:$E$18),O62+1,"STOP")</f>
        <v>#VALUE!</v>
      </c>
      <c r="P63" s="195" t="e">
        <f t="shared" si="3"/>
        <v>#VALUE!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70</v>
      </c>
      <c r="B64" s="191">
        <f>'Données projet'!D72</f>
        <v>42</v>
      </c>
      <c r="C64" s="204">
        <v>40</v>
      </c>
      <c r="D64" s="189">
        <f t="shared" si="4"/>
        <v>1680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 t="e">
        <f>IF(O63+1&lt;=MIN('Données projet'!$E$9:$E$18),O63+1,"STOP")</f>
        <v>#VALUE!</v>
      </c>
      <c r="P64" s="195" t="e">
        <f t="shared" si="3"/>
        <v>#VALUE!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75</v>
      </c>
      <c r="B65" s="191">
        <f>'Données projet'!D73</f>
        <v>0</v>
      </c>
      <c r="C65" s="204">
        <v>0</v>
      </c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 t="e">
        <f>IF(O64+1&lt;=MIN('Données projet'!$E$9:$E$18),O64+1,"STOP")</f>
        <v>#VALUE!</v>
      </c>
      <c r="P65" s="195" t="e">
        <f t="shared" ref="P65:P96" si="5">$P$25/(1+$M$4)^O65</f>
        <v>#VALUE!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80</v>
      </c>
      <c r="B66" s="191">
        <f>'Données projet'!D74</f>
        <v>42</v>
      </c>
      <c r="C66" s="204">
        <v>70</v>
      </c>
      <c r="D66" s="189">
        <f t="shared" si="4"/>
        <v>2940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 t="e">
        <f>IF(O65+1&lt;=MIN('Données projet'!$E$9:$E$18),O65+1,"STOP")</f>
        <v>#VALUE!</v>
      </c>
      <c r="P66" s="195" t="e">
        <f t="shared" si="5"/>
        <v>#VALUE!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90</v>
      </c>
      <c r="B67" s="191">
        <f>'Données projet'!D75</f>
        <v>42</v>
      </c>
      <c r="C67" s="204">
        <v>100</v>
      </c>
      <c r="D67" s="189">
        <f t="shared" si="4"/>
        <v>4200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 t="e">
        <f>IF(O66+1&lt;=MIN('Données projet'!$E$9:$E$18),O66+1,"STOP")</f>
        <v>#VALUE!</v>
      </c>
      <c r="P67" s="195" t="e">
        <f t="shared" si="5"/>
        <v>#VALUE!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100</v>
      </c>
      <c r="B68" s="191">
        <f>'Données projet'!D76</f>
        <v>42</v>
      </c>
      <c r="C68" s="204">
        <v>110</v>
      </c>
      <c r="D68" s="189">
        <f t="shared" si="4"/>
        <v>4620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 t="e">
        <f>IF(O67+1&lt;=MIN('Données projet'!$E$9:$E$18),O67+1,"STOP")</f>
        <v>#VALUE!</v>
      </c>
      <c r="P68" s="195" t="e">
        <f t="shared" si="5"/>
        <v>#VALUE!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110</v>
      </c>
      <c r="B69" s="191">
        <f>'Données projet'!D77</f>
        <v>39</v>
      </c>
      <c r="C69" s="204">
        <v>120</v>
      </c>
      <c r="D69" s="189">
        <f t="shared" si="4"/>
        <v>4680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 t="e">
        <f>IF(O68+1&lt;=MIN('Données projet'!$E$9:$E$18),O68+1,"STOP")</f>
        <v>#VALUE!</v>
      </c>
      <c r="P69" s="195" t="e">
        <f t="shared" si="5"/>
        <v>#VALUE!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120</v>
      </c>
      <c r="B70" s="191">
        <f>'Données projet'!D78</f>
        <v>35</v>
      </c>
      <c r="C70" s="204">
        <v>130</v>
      </c>
      <c r="D70" s="189">
        <f t="shared" si="4"/>
        <v>4550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 t="e">
        <f>IF(O69+1&lt;=MIN('Données projet'!$E$9:$E$18),O69+1,"STOP")</f>
        <v>#VALUE!</v>
      </c>
      <c r="P70" s="195" t="e">
        <f t="shared" si="5"/>
        <v>#VALUE!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130</v>
      </c>
      <c r="B71" s="191">
        <f>'Données projet'!D79</f>
        <v>31</v>
      </c>
      <c r="C71" s="204">
        <v>140</v>
      </c>
      <c r="D71" s="189">
        <f t="shared" si="4"/>
        <v>4340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 t="e">
        <f>IF(O70+1&lt;=MIN('Données projet'!$E$9:$E$18),O70+1,"STOP")</f>
        <v>#VALUE!</v>
      </c>
      <c r="P71" s="195" t="e">
        <f t="shared" si="5"/>
        <v>#VALUE!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140</v>
      </c>
      <c r="B72" s="191">
        <f>'Données projet'!D80</f>
        <v>27</v>
      </c>
      <c r="C72" s="204">
        <v>160</v>
      </c>
      <c r="D72" s="189">
        <f t="shared" si="4"/>
        <v>4320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 t="e">
        <f>IF(O71+1&lt;=MIN('Données projet'!$E$9:$E$18),O71+1,"STOP")</f>
        <v>#VALUE!</v>
      </c>
      <c r="P72" s="195" t="e">
        <f t="shared" si="5"/>
        <v>#VALUE!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150</v>
      </c>
      <c r="B73" s="191">
        <f>'Données projet'!D81</f>
        <v>293</v>
      </c>
      <c r="C73" s="204">
        <v>200</v>
      </c>
      <c r="D73" s="189">
        <f t="shared" si="4"/>
        <v>58600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 t="e">
        <f>IF(O72+1&lt;=MIN('Données projet'!$E$9:$E$18),O72+1,"STOP")</f>
        <v>#VALUE!</v>
      </c>
      <c r="P73" s="195" t="e">
        <f t="shared" si="5"/>
        <v>#VALUE!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 t="e">
        <f>IF(O73+1&lt;=MIN('Données projet'!$E$9:$E$18),O73+1,"STOP")</f>
        <v>#VALUE!</v>
      </c>
      <c r="P74" s="195" t="e">
        <f t="shared" si="5"/>
        <v>#VALUE!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 t="e">
        <f>IF(O74+1&lt;=MIN('Données projet'!$E$9:$E$18),O74+1,"STOP")</f>
        <v>#VALUE!</v>
      </c>
      <c r="P75" s="195" t="e">
        <f t="shared" si="5"/>
        <v>#VALUE!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>Chêne pubescent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 t="e">
        <f>IF(O75+1&lt;=MIN('Données projet'!$E$9:$E$18),O75+1,"STOP")</f>
        <v>#VALUE!</v>
      </c>
      <c r="P76" s="195" t="e">
        <f t="shared" si="5"/>
        <v>#VALUE!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 t="e">
        <f>IF(O76+1&lt;=MIN('Données projet'!$E$9:$E$18),O76+1,"STOP")</f>
        <v>#VALUE!</v>
      </c>
      <c r="P77" s="195" t="e">
        <f t="shared" si="5"/>
        <v>#VALUE!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 t="e">
        <f>IF(O77+1&lt;=MIN('Données projet'!$E$9:$E$18),O77+1,"STOP")</f>
        <v>#VALUE!</v>
      </c>
      <c r="P78" s="195" t="e">
        <f t="shared" si="5"/>
        <v>#VALUE!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 t="e">
        <f>IF(O78+1&lt;=MIN('Données projet'!$E$9:$E$18),O78+1,"STOP")</f>
        <v>#VALUE!</v>
      </c>
      <c r="P79" s="195" t="e">
        <f t="shared" si="5"/>
        <v>#VALUE!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 t="e">
        <f>IF(O79+1&lt;=MIN('Données projet'!$E$9:$E$18),O79+1,"STOP")</f>
        <v>#VALUE!</v>
      </c>
      <c r="P80" s="195" t="e">
        <f t="shared" si="5"/>
        <v>#VALUE!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 t="e">
        <f>IF(O80+1&lt;=MIN('Données projet'!$E$9:$E$18),O80+1,"STOP")</f>
        <v>#VALUE!</v>
      </c>
      <c r="P81" s="195" t="e">
        <f t="shared" si="5"/>
        <v>#VALUE!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 t="e">
        <f>IF(O81+1&lt;=MIN('Données projet'!$E$9:$E$18),O81+1,"STOP")</f>
        <v>#VALUE!</v>
      </c>
      <c r="P82" s="195" t="e">
        <f t="shared" si="5"/>
        <v>#VALUE!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 t="e">
        <f>IF(O82+1&lt;=MIN('Données projet'!$E$9:$E$18),O82+1,"STOP")</f>
        <v>#VALUE!</v>
      </c>
      <c r="P83" s="195" t="e">
        <f t="shared" si="5"/>
        <v>#VALUE!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 t="e">
        <f>IF(O83+1&lt;=MIN('Données projet'!$E$9:$E$18),O83+1,"STOP")</f>
        <v>#VALUE!</v>
      </c>
      <c r="P84" s="195" t="e">
        <f t="shared" si="5"/>
        <v>#VALUE!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20</v>
      </c>
      <c r="B85" s="191">
        <f>'Données projet'!D88</f>
        <v>0</v>
      </c>
      <c r="C85" s="202">
        <v>0</v>
      </c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 t="e">
        <f>IF(O84+1&lt;=MIN('Données projet'!$E$9:$E$18),O84+1,"STOP")</f>
        <v>#VALUE!</v>
      </c>
      <c r="P85" s="195" t="e">
        <f t="shared" si="5"/>
        <v>#VALUE!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25</v>
      </c>
      <c r="B86" s="191">
        <f>'Données projet'!D89</f>
        <v>0</v>
      </c>
      <c r="C86" s="204">
        <v>0</v>
      </c>
      <c r="D86" s="189">
        <f t="shared" ref="D86:D104" si="6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 t="e">
        <f>IF(O85+1&lt;=MIN('Données projet'!$E$9:$E$18),O85+1,"STOP")</f>
        <v>#VALUE!</v>
      </c>
      <c r="P86" s="195" t="e">
        <f t="shared" si="5"/>
        <v>#VALUE!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30</v>
      </c>
      <c r="B87" s="191">
        <f>'Données projet'!D90</f>
        <v>29</v>
      </c>
      <c r="C87" s="204">
        <v>10</v>
      </c>
      <c r="D87" s="189">
        <f t="shared" si="6"/>
        <v>290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 t="e">
        <f>IF(O86+1&lt;=MIN('Données projet'!$E$9:$E$18),O86+1,"STOP")</f>
        <v>#VALUE!</v>
      </c>
      <c r="P87" s="195" t="e">
        <f t="shared" si="5"/>
        <v>#VALUE!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35</v>
      </c>
      <c r="B88" s="191">
        <f>'Données projet'!D91</f>
        <v>0</v>
      </c>
      <c r="C88" s="204">
        <v>0</v>
      </c>
      <c r="D88" s="189">
        <f t="shared" si="6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 t="e">
        <f>IF(O87+1&lt;=MIN('Données projet'!$E$9:$E$18),O87+1,"STOP")</f>
        <v>#VALUE!</v>
      </c>
      <c r="P88" s="195" t="e">
        <f t="shared" si="5"/>
        <v>#VALUE!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40</v>
      </c>
      <c r="B89" s="191">
        <f>'Données projet'!D92</f>
        <v>42</v>
      </c>
      <c r="C89" s="204">
        <v>10</v>
      </c>
      <c r="D89" s="189">
        <f t="shared" si="6"/>
        <v>420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 t="e">
        <f>IF(O88+1&lt;=MIN('Données projet'!$E$9:$E$18),O88+1,"STOP")</f>
        <v>#VALUE!</v>
      </c>
      <c r="P89" s="195" t="e">
        <f t="shared" si="5"/>
        <v>#VALUE!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45</v>
      </c>
      <c r="B90" s="191">
        <f>'Données projet'!D93</f>
        <v>0</v>
      </c>
      <c r="C90" s="204">
        <v>0</v>
      </c>
      <c r="D90" s="189">
        <f t="shared" si="6"/>
        <v>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 t="e">
        <f>IF(O89+1&lt;=MIN('Données projet'!$E$9:$E$18),O89+1,"STOP")</f>
        <v>#VALUE!</v>
      </c>
      <c r="P90" s="195" t="e">
        <f t="shared" si="5"/>
        <v>#VALUE!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50</v>
      </c>
      <c r="B91" s="191">
        <f>'Données projet'!D94</f>
        <v>42</v>
      </c>
      <c r="C91" s="204">
        <v>20</v>
      </c>
      <c r="D91" s="189">
        <f t="shared" si="6"/>
        <v>840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 t="e">
        <f>IF(O90+1&lt;=MIN('Données projet'!$E$9:$E$18),O90+1,"STOP")</f>
        <v>#VALUE!</v>
      </c>
      <c r="P91" s="195" t="e">
        <f t="shared" si="5"/>
        <v>#VALUE!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55</v>
      </c>
      <c r="B92" s="191">
        <f>'Données projet'!D95</f>
        <v>0</v>
      </c>
      <c r="C92" s="204">
        <v>0</v>
      </c>
      <c r="D92" s="189">
        <f t="shared" si="6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 t="e">
        <f>IF(O91+1&lt;=MIN('Données projet'!$E$9:$E$18),O91+1,"STOP")</f>
        <v>#VALUE!</v>
      </c>
      <c r="P92" s="195" t="e">
        <f t="shared" si="5"/>
        <v>#VALUE!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60</v>
      </c>
      <c r="B93" s="191">
        <f>'Données projet'!D96</f>
        <v>42</v>
      </c>
      <c r="C93" s="204">
        <v>30</v>
      </c>
      <c r="D93" s="189">
        <f t="shared" si="6"/>
        <v>1260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 t="e">
        <f>IF(O92+1&lt;=MIN('Données projet'!$E$9:$E$18),O92+1,"STOP")</f>
        <v>#VALUE!</v>
      </c>
      <c r="P93" s="195" t="e">
        <f t="shared" si="5"/>
        <v>#VALUE!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65</v>
      </c>
      <c r="B94" s="191">
        <f>'Données projet'!D97</f>
        <v>0</v>
      </c>
      <c r="C94" s="204">
        <v>0</v>
      </c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e">
        <f>IF(O93+1&lt;=MIN('Données projet'!$E$9:$E$18),O93+1,"STOP")</f>
        <v>#VALUE!</v>
      </c>
      <c r="P94" s="195" t="e">
        <f t="shared" si="5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70</v>
      </c>
      <c r="B95" s="191">
        <f>'Données projet'!D98</f>
        <v>42</v>
      </c>
      <c r="C95" s="204">
        <v>40</v>
      </c>
      <c r="D95" s="189">
        <f t="shared" si="6"/>
        <v>1680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75</v>
      </c>
      <c r="B96" s="191">
        <f>'Données projet'!D99</f>
        <v>0</v>
      </c>
      <c r="C96" s="204">
        <v>0</v>
      </c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80</v>
      </c>
      <c r="B97" s="191">
        <f>'Données projet'!D100</f>
        <v>42</v>
      </c>
      <c r="C97" s="204">
        <v>70</v>
      </c>
      <c r="D97" s="189">
        <f t="shared" si="6"/>
        <v>2940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90</v>
      </c>
      <c r="B98" s="191">
        <f>'Données projet'!D101</f>
        <v>42</v>
      </c>
      <c r="C98" s="204">
        <v>100</v>
      </c>
      <c r="D98" s="189">
        <f t="shared" si="6"/>
        <v>4200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100</v>
      </c>
      <c r="B99" s="191">
        <f>'Données projet'!D102</f>
        <v>42</v>
      </c>
      <c r="C99" s="204">
        <v>110</v>
      </c>
      <c r="D99" s="189">
        <f t="shared" si="6"/>
        <v>4620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110</v>
      </c>
      <c r="B100" s="191">
        <f>'Données projet'!D103</f>
        <v>39</v>
      </c>
      <c r="C100" s="204">
        <v>120</v>
      </c>
      <c r="D100" s="189">
        <f t="shared" si="6"/>
        <v>4680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120</v>
      </c>
      <c r="B101" s="191">
        <f>'Données projet'!D104</f>
        <v>35</v>
      </c>
      <c r="C101" s="204">
        <v>130</v>
      </c>
      <c r="D101" s="189">
        <f t="shared" si="6"/>
        <v>4550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130</v>
      </c>
      <c r="B102" s="191">
        <f>'Données projet'!D105</f>
        <v>31</v>
      </c>
      <c r="C102" s="204">
        <v>140</v>
      </c>
      <c r="D102" s="189">
        <f t="shared" si="6"/>
        <v>4340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140</v>
      </c>
      <c r="B103" s="191">
        <f>'Données projet'!D106</f>
        <v>27</v>
      </c>
      <c r="C103" s="204">
        <v>160</v>
      </c>
      <c r="D103" s="189">
        <f t="shared" si="6"/>
        <v>4320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150</v>
      </c>
      <c r="B104" s="191">
        <f>'Données projet'!D107</f>
        <v>293</v>
      </c>
      <c r="C104" s="204">
        <v>200</v>
      </c>
      <c r="D104" s="189">
        <f t="shared" si="6"/>
        <v>58600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>Alisier torminal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20</v>
      </c>
      <c r="B116" s="191">
        <f>'Données projet'!D114</f>
        <v>0</v>
      </c>
      <c r="C116" s="202">
        <v>0</v>
      </c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25</v>
      </c>
      <c r="B117" s="191">
        <f>'Données projet'!D115</f>
        <v>0</v>
      </c>
      <c r="C117" s="204">
        <v>0</v>
      </c>
      <c r="D117" s="189">
        <f t="shared" ref="D117:D135" si="8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30</v>
      </c>
      <c r="B118" s="191">
        <f>'Données projet'!D116</f>
        <v>0</v>
      </c>
      <c r="C118" s="204">
        <v>0</v>
      </c>
      <c r="D118" s="189">
        <f t="shared" si="8"/>
        <v>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35</v>
      </c>
      <c r="B119" s="191">
        <f>'Données projet'!D117</f>
        <v>17</v>
      </c>
      <c r="C119" s="204">
        <v>10</v>
      </c>
      <c r="D119" s="189">
        <f t="shared" si="8"/>
        <v>170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40</v>
      </c>
      <c r="B120" s="191">
        <f>'Données projet'!D118</f>
        <v>0</v>
      </c>
      <c r="C120" s="204">
        <v>0</v>
      </c>
      <c r="D120" s="189">
        <f t="shared" si="8"/>
        <v>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45</v>
      </c>
      <c r="B121" s="191">
        <f>'Données projet'!D119</f>
        <v>18</v>
      </c>
      <c r="C121" s="204">
        <v>20</v>
      </c>
      <c r="D121" s="189">
        <f t="shared" si="8"/>
        <v>360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50</v>
      </c>
      <c r="B122" s="191">
        <f>'Données projet'!D120</f>
        <v>0</v>
      </c>
      <c r="C122" s="204">
        <v>0</v>
      </c>
      <c r="D122" s="189">
        <f t="shared" si="8"/>
        <v>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55</v>
      </c>
      <c r="B123" s="191">
        <f>'Données projet'!D121</f>
        <v>19</v>
      </c>
      <c r="C123" s="204">
        <v>30</v>
      </c>
      <c r="D123" s="189">
        <f t="shared" si="8"/>
        <v>570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60</v>
      </c>
      <c r="B124" s="191">
        <f>'Données projet'!D122</f>
        <v>0</v>
      </c>
      <c r="C124" s="204">
        <v>0</v>
      </c>
      <c r="D124" s="189">
        <f t="shared" si="8"/>
        <v>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65</v>
      </c>
      <c r="B125" s="191">
        <f>'Données projet'!D123</f>
        <v>20</v>
      </c>
      <c r="C125" s="204">
        <v>40</v>
      </c>
      <c r="D125" s="189">
        <f t="shared" si="8"/>
        <v>800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70</v>
      </c>
      <c r="B126" s="191">
        <f>'Données projet'!D124</f>
        <v>0</v>
      </c>
      <c r="C126" s="204">
        <v>0</v>
      </c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75</v>
      </c>
      <c r="B127" s="191">
        <f>'Données projet'!D125</f>
        <v>20</v>
      </c>
      <c r="C127" s="204">
        <v>50</v>
      </c>
      <c r="D127" s="189">
        <f t="shared" si="8"/>
        <v>1000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80</v>
      </c>
      <c r="B128" s="191">
        <f>'Données projet'!D126</f>
        <v>0</v>
      </c>
      <c r="C128" s="204">
        <v>0</v>
      </c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85</v>
      </c>
      <c r="B129" s="191">
        <f>'Données projet'!D127</f>
        <v>18</v>
      </c>
      <c r="C129" s="204">
        <v>70</v>
      </c>
      <c r="D129" s="189">
        <f t="shared" si="8"/>
        <v>1260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90</v>
      </c>
      <c r="B130" s="191">
        <f>'Données projet'!D128</f>
        <v>0</v>
      </c>
      <c r="C130" s="204">
        <v>0</v>
      </c>
      <c r="D130" s="189">
        <f t="shared" si="8"/>
        <v>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95</v>
      </c>
      <c r="B131" s="191">
        <f>'Données projet'!D129</f>
        <v>18</v>
      </c>
      <c r="C131" s="204">
        <v>100</v>
      </c>
      <c r="D131" s="189">
        <f t="shared" si="8"/>
        <v>1800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100</v>
      </c>
      <c r="B132" s="191">
        <f>'Données projet'!D130</f>
        <v>0</v>
      </c>
      <c r="C132" s="204">
        <v>0</v>
      </c>
      <c r="D132" s="189">
        <f t="shared" si="8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105</v>
      </c>
      <c r="B133" s="191">
        <f>'Données projet'!D131</f>
        <v>18</v>
      </c>
      <c r="C133" s="204">
        <v>120</v>
      </c>
      <c r="D133" s="189">
        <f t="shared" si="8"/>
        <v>2160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110</v>
      </c>
      <c r="B134" s="191">
        <f>'Données projet'!D132</f>
        <v>0</v>
      </c>
      <c r="C134" s="204">
        <v>0</v>
      </c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120</v>
      </c>
      <c r="B135" s="191">
        <f>'Données projet'!D133</f>
        <v>211</v>
      </c>
      <c r="C135" s="204">
        <v>150</v>
      </c>
      <c r="D135" s="189">
        <f t="shared" si="8"/>
        <v>31650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>Cormier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20</v>
      </c>
      <c r="B147" s="185">
        <f>'Données projet'!D140</f>
        <v>0</v>
      </c>
      <c r="C147" s="202">
        <v>0</v>
      </c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25</v>
      </c>
      <c r="B148" s="185">
        <f>'Données projet'!D141</f>
        <v>0</v>
      </c>
      <c r="C148" s="204">
        <v>0</v>
      </c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30</v>
      </c>
      <c r="B149" s="185">
        <f>'Données projet'!D142</f>
        <v>0</v>
      </c>
      <c r="C149" s="204">
        <v>0</v>
      </c>
      <c r="D149" s="192">
        <f t="shared" si="10"/>
        <v>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35</v>
      </c>
      <c r="B150" s="185">
        <f>'Données projet'!D143</f>
        <v>17</v>
      </c>
      <c r="C150" s="204">
        <v>10</v>
      </c>
      <c r="D150" s="192">
        <f t="shared" si="10"/>
        <v>170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40</v>
      </c>
      <c r="B151" s="185">
        <f>'Données projet'!D144</f>
        <v>0</v>
      </c>
      <c r="C151" s="204">
        <v>0</v>
      </c>
      <c r="D151" s="192">
        <f t="shared" si="10"/>
        <v>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45</v>
      </c>
      <c r="B152" s="185">
        <f>'Données projet'!D145</f>
        <v>18</v>
      </c>
      <c r="C152" s="204">
        <v>20</v>
      </c>
      <c r="D152" s="192">
        <f t="shared" si="10"/>
        <v>360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50</v>
      </c>
      <c r="B153" s="185">
        <f>'Données projet'!D146</f>
        <v>0</v>
      </c>
      <c r="C153" s="204">
        <v>0</v>
      </c>
      <c r="D153" s="192">
        <f t="shared" si="10"/>
        <v>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55</v>
      </c>
      <c r="B154" s="185">
        <f>'Données projet'!D147</f>
        <v>19</v>
      </c>
      <c r="C154" s="204">
        <v>30</v>
      </c>
      <c r="D154" s="192">
        <f t="shared" si="10"/>
        <v>570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60</v>
      </c>
      <c r="B155" s="185">
        <f>'Données projet'!D148</f>
        <v>0</v>
      </c>
      <c r="C155" s="204">
        <v>0</v>
      </c>
      <c r="D155" s="192">
        <f t="shared" si="10"/>
        <v>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65</v>
      </c>
      <c r="B156" s="185">
        <f>'Données projet'!D149</f>
        <v>20</v>
      </c>
      <c r="C156" s="204">
        <v>40</v>
      </c>
      <c r="D156" s="192">
        <f t="shared" si="10"/>
        <v>800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70</v>
      </c>
      <c r="B157" s="185">
        <f>'Données projet'!D150</f>
        <v>0</v>
      </c>
      <c r="C157" s="204">
        <v>0</v>
      </c>
      <c r="D157" s="192">
        <f t="shared" si="10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75</v>
      </c>
      <c r="B158" s="185">
        <f>'Données projet'!D151</f>
        <v>20</v>
      </c>
      <c r="C158" s="204">
        <v>50</v>
      </c>
      <c r="D158" s="192">
        <f t="shared" si="10"/>
        <v>1000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80</v>
      </c>
      <c r="B159" s="185">
        <f>'Données projet'!D152</f>
        <v>0</v>
      </c>
      <c r="C159" s="204">
        <v>0</v>
      </c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85</v>
      </c>
      <c r="B160" s="185">
        <f>'Données projet'!D153</f>
        <v>18</v>
      </c>
      <c r="C160" s="204">
        <v>70</v>
      </c>
      <c r="D160" s="192">
        <f t="shared" si="10"/>
        <v>1260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90</v>
      </c>
      <c r="B161" s="185">
        <f>'Données projet'!D154</f>
        <v>0</v>
      </c>
      <c r="C161" s="204">
        <v>0</v>
      </c>
      <c r="D161" s="192">
        <f t="shared" si="10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95</v>
      </c>
      <c r="B162" s="185">
        <f>'Données projet'!D155</f>
        <v>18</v>
      </c>
      <c r="C162" s="204">
        <v>100</v>
      </c>
      <c r="D162" s="192">
        <f t="shared" si="10"/>
        <v>1800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100</v>
      </c>
      <c r="B163" s="185">
        <f>'Données projet'!D156</f>
        <v>0</v>
      </c>
      <c r="C163" s="204">
        <v>0</v>
      </c>
      <c r="D163" s="192">
        <f t="shared" si="10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105</v>
      </c>
      <c r="B164" s="185">
        <f>'Données projet'!D157</f>
        <v>18</v>
      </c>
      <c r="C164" s="204">
        <v>120</v>
      </c>
      <c r="D164" s="192">
        <f t="shared" si="10"/>
        <v>2160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110</v>
      </c>
      <c r="B165" s="185">
        <f>'Données projet'!D158</f>
        <v>0</v>
      </c>
      <c r="C165" s="204">
        <v>0</v>
      </c>
      <c r="D165" s="192">
        <f t="shared" si="10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120</v>
      </c>
      <c r="B166" s="185">
        <f>'Données projet'!D159</f>
        <v>211</v>
      </c>
      <c r="C166" s="204">
        <v>150</v>
      </c>
      <c r="D166" s="192">
        <f t="shared" si="10"/>
        <v>31650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>Tilleul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15</v>
      </c>
      <c r="B178" s="191">
        <f>'Données projet'!D166</f>
        <v>0</v>
      </c>
      <c r="C178" s="204">
        <v>0</v>
      </c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20</v>
      </c>
      <c r="B179" s="191">
        <f>'Données projet'!D167</f>
        <v>0</v>
      </c>
      <c r="C179" s="204">
        <v>0</v>
      </c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25</v>
      </c>
      <c r="B180" s="191">
        <f>'Données projet'!D168</f>
        <v>36.53846153846154</v>
      </c>
      <c r="C180" s="204">
        <v>10</v>
      </c>
      <c r="D180" s="189">
        <f t="shared" si="11"/>
        <v>365.38461538461542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30</v>
      </c>
      <c r="B181" s="191">
        <f>'Données projet'!D169</f>
        <v>0</v>
      </c>
      <c r="C181" s="204">
        <v>0</v>
      </c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35</v>
      </c>
      <c r="B182" s="191">
        <f>'Données projet'!D170</f>
        <v>31.410256410256409</v>
      </c>
      <c r="C182" s="204">
        <v>20</v>
      </c>
      <c r="D182" s="189">
        <f t="shared" si="11"/>
        <v>628.20512820512818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40</v>
      </c>
      <c r="B183" s="191">
        <f>'Données projet'!D171</f>
        <v>0</v>
      </c>
      <c r="C183" s="204">
        <v>0</v>
      </c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45</v>
      </c>
      <c r="B184" s="191">
        <f>'Données projet'!D172</f>
        <v>31.410256410256409</v>
      </c>
      <c r="C184" s="204">
        <v>30</v>
      </c>
      <c r="D184" s="189">
        <f t="shared" si="11"/>
        <v>942.30769230769226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50</v>
      </c>
      <c r="B185" s="191">
        <f>'Données projet'!D173</f>
        <v>0</v>
      </c>
      <c r="C185" s="204">
        <v>0</v>
      </c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55</v>
      </c>
      <c r="B186" s="191">
        <f>'Données projet'!D174</f>
        <v>30.128205128205128</v>
      </c>
      <c r="C186" s="204">
        <v>40</v>
      </c>
      <c r="D186" s="189">
        <f t="shared" si="11"/>
        <v>1205.1282051282051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60</v>
      </c>
      <c r="B187" s="191">
        <f>'Données projet'!D175</f>
        <v>0</v>
      </c>
      <c r="C187" s="204">
        <v>0</v>
      </c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65</v>
      </c>
      <c r="B188" s="191">
        <f>'Données projet'!D176</f>
        <v>27.564102564102562</v>
      </c>
      <c r="C188" s="204">
        <v>50</v>
      </c>
      <c r="D188" s="189">
        <f t="shared" si="11"/>
        <v>1378.2051282051282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70</v>
      </c>
      <c r="B189" s="191">
        <f>'Données projet'!D177</f>
        <v>0</v>
      </c>
      <c r="C189" s="204">
        <v>0</v>
      </c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75</v>
      </c>
      <c r="B190" s="191">
        <f>'Données projet'!D178</f>
        <v>24.358974358974358</v>
      </c>
      <c r="C190" s="204">
        <v>60</v>
      </c>
      <c r="D190" s="189">
        <f t="shared" si="11"/>
        <v>1461.5384615384614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80</v>
      </c>
      <c r="B191" s="191">
        <f>'Données projet'!D179</f>
        <v>0</v>
      </c>
      <c r="C191" s="204">
        <v>0</v>
      </c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85</v>
      </c>
      <c r="B192" s="191">
        <f>'Données projet'!D180</f>
        <v>23.717948717948715</v>
      </c>
      <c r="C192" s="204">
        <v>70</v>
      </c>
      <c r="D192" s="189">
        <f t="shared" si="11"/>
        <v>1660.2564102564102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90</v>
      </c>
      <c r="B193" s="191">
        <f>'Données projet'!D181</f>
        <v>0</v>
      </c>
      <c r="C193" s="204">
        <v>0</v>
      </c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95</v>
      </c>
      <c r="B194" s="191">
        <f>'Données projet'!D182</f>
        <v>22.435897435897434</v>
      </c>
      <c r="C194" s="204">
        <v>75</v>
      </c>
      <c r="D194" s="189">
        <f t="shared" si="11"/>
        <v>1682.6923076923076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100</v>
      </c>
      <c r="B195" s="191">
        <f>'Données projet'!D183</f>
        <v>0</v>
      </c>
      <c r="C195" s="204">
        <v>0</v>
      </c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105</v>
      </c>
      <c r="B196" s="191">
        <f>'Données projet'!D184</f>
        <v>20.512820512820511</v>
      </c>
      <c r="C196" s="204">
        <v>80</v>
      </c>
      <c r="D196" s="189">
        <f t="shared" si="11"/>
        <v>1641.0256410256409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110</v>
      </c>
      <c r="B197" s="191">
        <f>'Données projet'!D185</f>
        <v>285.89743589743591</v>
      </c>
      <c r="C197" s="204">
        <v>90</v>
      </c>
      <c r="D197" s="189">
        <f t="shared" si="11"/>
        <v>25730.76923076923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>Bouleau verruqueux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15</v>
      </c>
      <c r="B209" s="191">
        <f>'Données projet'!D192</f>
        <v>0</v>
      </c>
      <c r="C209" s="204">
        <v>0</v>
      </c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20</v>
      </c>
      <c r="B210" s="191">
        <f>'Données projet'!D193</f>
        <v>0</v>
      </c>
      <c r="C210" s="204">
        <v>0</v>
      </c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25</v>
      </c>
      <c r="B211" s="191">
        <f>'Données projet'!D194</f>
        <v>13</v>
      </c>
      <c r="C211" s="204">
        <v>20</v>
      </c>
      <c r="D211" s="189">
        <f t="shared" si="12"/>
        <v>260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30</v>
      </c>
      <c r="B212" s="191">
        <f>'Données projet'!D195</f>
        <v>0</v>
      </c>
      <c r="C212" s="204">
        <v>0</v>
      </c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35</v>
      </c>
      <c r="B213" s="191">
        <f>'Données projet'!D196</f>
        <v>19</v>
      </c>
      <c r="C213" s="204">
        <v>30</v>
      </c>
      <c r="D213" s="189">
        <f t="shared" si="12"/>
        <v>570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40</v>
      </c>
      <c r="B214" s="191">
        <f>'Données projet'!D197</f>
        <v>0</v>
      </c>
      <c r="C214" s="204">
        <v>0</v>
      </c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45</v>
      </c>
      <c r="B215" s="191">
        <f>'Données projet'!D198</f>
        <v>21</v>
      </c>
      <c r="C215" s="204">
        <v>35</v>
      </c>
      <c r="D215" s="189">
        <f t="shared" si="12"/>
        <v>735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50</v>
      </c>
      <c r="B216" s="191">
        <f>'Données projet'!D199</f>
        <v>0</v>
      </c>
      <c r="C216" s="204">
        <v>0</v>
      </c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55</v>
      </c>
      <c r="B217" s="191">
        <f>'Données projet'!D200</f>
        <v>22</v>
      </c>
      <c r="C217" s="204">
        <v>40</v>
      </c>
      <c r="D217" s="189">
        <f t="shared" si="12"/>
        <v>880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60</v>
      </c>
      <c r="B218" s="191">
        <f>'Données projet'!D201</f>
        <v>0</v>
      </c>
      <c r="C218" s="204">
        <v>0</v>
      </c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65</v>
      </c>
      <c r="B219" s="191">
        <f>'Données projet'!D202</f>
        <v>22</v>
      </c>
      <c r="C219" s="204">
        <v>45</v>
      </c>
      <c r="D219" s="189">
        <f t="shared" si="12"/>
        <v>990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70</v>
      </c>
      <c r="B220" s="191">
        <f>'Données projet'!D203</f>
        <v>0</v>
      </c>
      <c r="C220" s="204">
        <v>0</v>
      </c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75</v>
      </c>
      <c r="B221" s="191">
        <f>'Données projet'!D204</f>
        <v>22</v>
      </c>
      <c r="C221" s="204">
        <v>50</v>
      </c>
      <c r="D221" s="189">
        <f t="shared" si="12"/>
        <v>1100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80</v>
      </c>
      <c r="B222" s="191">
        <f>'Données projet'!D205</f>
        <v>0</v>
      </c>
      <c r="C222" s="204">
        <v>0</v>
      </c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85</v>
      </c>
      <c r="B223" s="191">
        <f>'Données projet'!D206</f>
        <v>21</v>
      </c>
      <c r="C223" s="204">
        <v>55</v>
      </c>
      <c r="D223" s="189">
        <f t="shared" si="12"/>
        <v>1155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90</v>
      </c>
      <c r="B224" s="191">
        <f>'Données projet'!D207</f>
        <v>202</v>
      </c>
      <c r="C224" s="204">
        <v>60</v>
      </c>
      <c r="D224" s="189">
        <f t="shared" si="12"/>
        <v>12120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0</v>
      </c>
      <c r="B225" s="191">
        <f>'Données projet'!D208</f>
        <v>0</v>
      </c>
      <c r="C225" s="204">
        <v>0</v>
      </c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0</v>
      </c>
      <c r="B226" s="191">
        <f>'Données projet'!D209</f>
        <v>0</v>
      </c>
      <c r="C226" s="204">
        <v>0</v>
      </c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0</v>
      </c>
      <c r="B227" s="191">
        <f>'Données projet'!D210</f>
        <v>0</v>
      </c>
      <c r="C227" s="204">
        <v>0</v>
      </c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0</v>
      </c>
      <c r="B228" s="191">
        <f>'Données projet'!D211</f>
        <v>0</v>
      </c>
      <c r="C228" s="204">
        <v>0</v>
      </c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 - C+for (CNPF)</cp:lastModifiedBy>
  <dcterms:created xsi:type="dcterms:W3CDTF">2021-02-01T08:22:39Z</dcterms:created>
  <dcterms:modified xsi:type="dcterms:W3CDTF">2025-07-16T15:07:05Z</dcterms:modified>
</cp:coreProperties>
</file>