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ément Bourel\Downloads\"/>
    </mc:Choice>
  </mc:AlternateContent>
  <xr:revisionPtr revIDLastSave="0" documentId="13_ncr:1_{9EAD1493-749E-4E0F-8707-53C9322E9147}" xr6:coauthVersionLast="47" xr6:coauthVersionMax="47" xr10:uidLastSave="{00000000-0000-0000-0000-000000000000}"/>
  <bookViews>
    <workbookView xWindow="-120" yWindow="-120" windowWidth="20730" windowHeight="11040" tabRatio="866" activeTab="7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TP" sheetId="8" r:id="rId7"/>
    <sheet name="VAN" sheetId="6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D148" i="1" l="1"/>
  <c r="R48" i="8" l="1"/>
  <c r="Q48" i="8"/>
  <c r="O48" i="8"/>
  <c r="R47" i="8"/>
  <c r="Q47" i="8"/>
  <c r="R46" i="8"/>
  <c r="Q46" i="8"/>
  <c r="R45" i="8"/>
  <c r="Q45" i="8"/>
  <c r="R44" i="8"/>
  <c r="Q44" i="8"/>
  <c r="R43" i="8"/>
  <c r="Q43" i="8"/>
  <c r="R42" i="8"/>
  <c r="Q42" i="8"/>
  <c r="Q41" i="8"/>
  <c r="R40" i="8"/>
  <c r="Q40" i="8"/>
  <c r="AA32" i="8"/>
  <c r="R32" i="8"/>
  <c r="Q32" i="8"/>
  <c r="O32" i="8"/>
  <c r="R31" i="8"/>
  <c r="Q31" i="8"/>
  <c r="R30" i="8"/>
  <c r="Q30" i="8"/>
  <c r="R29" i="8"/>
  <c r="Q29" i="8"/>
  <c r="R28" i="8"/>
  <c r="Q28" i="8"/>
  <c r="R27" i="8"/>
  <c r="Q27" i="8"/>
  <c r="R26" i="8"/>
  <c r="Q26" i="8"/>
  <c r="Q25" i="8"/>
  <c r="R24" i="8"/>
  <c r="Q24" i="8"/>
  <c r="R18" i="8"/>
  <c r="Q18" i="8"/>
  <c r="O18" i="8"/>
  <c r="R17" i="8"/>
  <c r="Q17" i="8"/>
  <c r="AA16" i="8"/>
  <c r="R16" i="8"/>
  <c r="Q16" i="8"/>
  <c r="R15" i="8"/>
  <c r="Q15" i="8"/>
  <c r="R14" i="8"/>
  <c r="Q14" i="8"/>
  <c r="R13" i="8"/>
  <c r="Q13" i="8"/>
  <c r="R12" i="8"/>
  <c r="Q12" i="8"/>
  <c r="R11" i="8"/>
  <c r="Q11" i="8"/>
  <c r="R10" i="8"/>
  <c r="Q10" i="8"/>
  <c r="Q9" i="8"/>
  <c r="R8" i="8"/>
  <c r="Q8" i="8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V20" i="6" l="1"/>
  <c r="T23" i="6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FS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B22" i="2"/>
  <c r="HG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G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EX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HG43" i="2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HH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H64" i="2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HG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HH105" i="2"/>
  <c r="EB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HI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C118" i="2"/>
  <c r="HH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H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HG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EC140" i="2"/>
  <c r="HG140" i="2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FR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FR146" i="2"/>
  <c r="HG146" i="2"/>
  <c r="HI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G150" i="2"/>
  <c r="FS150" i="2"/>
  <c r="HI150" i="2"/>
  <c r="HH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H155" i="2"/>
  <c r="EX155" i="2"/>
  <c r="HG155" i="2"/>
  <c r="DI154" i="2"/>
  <c r="EA155" i="2"/>
  <c r="EW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EX156" i="2"/>
  <c r="FS156" i="2"/>
  <c r="HH156" i="2"/>
  <c r="HG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W158" i="2"/>
  <c r="EV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HI159" i="2"/>
  <c r="HH159" i="2"/>
  <c r="EC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EY159" i="2"/>
  <c r="HI160" i="2"/>
  <c r="DG160" i="2"/>
  <c r="EC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HG161" i="2"/>
  <c r="FS161" i="2"/>
  <c r="AB161" i="2"/>
  <c r="HH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C162" i="2"/>
  <c r="DI161" i="2"/>
  <c r="EB162" i="2"/>
  <c r="HH162" i="2"/>
  <c r="HG162" i="2"/>
  <c r="FS162" i="2"/>
  <c r="AU162" i="2"/>
  <c r="EX162" i="2"/>
  <c r="EY162" i="2" s="1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A163" i="2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X164" i="2"/>
  <c r="FR164" i="2"/>
  <c r="FS164" i="2"/>
  <c r="HH164" i="2"/>
  <c r="HG164" i="2"/>
  <c r="DH164" i="2"/>
  <c r="DI163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X165" i="2"/>
  <c r="HH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CN165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X167" i="2"/>
  <c r="EY166" i="2"/>
  <c r="FR167" i="2"/>
  <c r="DG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EW168" i="2"/>
  <c r="HH168" i="2"/>
  <c r="HI168" i="2"/>
  <c r="EV168" i="2"/>
  <c r="EY168" i="2" s="1"/>
  <c r="DG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H169" i="2"/>
  <c r="FS169" i="2"/>
  <c r="EB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D171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EA175" i="2"/>
  <c r="EB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ED177" i="2"/>
  <c r="FS178" i="2"/>
  <c r="FQ178" i="2"/>
  <c r="HH178" i="2"/>
  <c r="EB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EB179" i="2"/>
  <c r="EV179" i="2"/>
  <c r="HI179" i="2"/>
  <c r="DF179" i="2"/>
  <c r="HH179" i="2"/>
  <c r="HG179" i="2"/>
  <c r="FS179" i="2"/>
  <c r="EX179" i="2"/>
  <c r="EY179" i="2" s="1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I180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B185" i="2"/>
  <c r="HG185" i="2"/>
  <c r="EA185" i="2"/>
  <c r="EV185" i="2"/>
  <c r="EW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W186" i="2"/>
  <c r="HG186" i="2"/>
  <c r="FS186" i="2"/>
  <c r="ED185" i="2"/>
  <c r="EA186" i="2"/>
  <c r="HH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V189" i="2"/>
  <c r="EC189" i="2"/>
  <c r="FS189" i="2"/>
  <c r="HI189" i="2"/>
  <c r="EX189" i="2"/>
  <c r="EY189" i="2" s="1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H190" i="2"/>
  <c r="EV190" i="2"/>
  <c r="EW190" i="2"/>
  <c r="EB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W192" i="2"/>
  <c r="HG192" i="2"/>
  <c r="EA192" i="2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B193" i="2"/>
  <c r="ED192" i="2"/>
  <c r="DI192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FQ194" i="2"/>
  <c r="CN193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ED194" i="2"/>
  <c r="FQ195" i="2"/>
  <c r="EX195" i="2"/>
  <c r="AA195" i="2"/>
  <c r="DH195" i="2"/>
  <c r="HI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HG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EV199" i="2"/>
  <c r="FS199" i="2"/>
  <c r="EW199" i="2"/>
  <c r="HG199" i="2"/>
  <c r="HJ199" i="2" s="1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ED200" i="2"/>
  <c r="HH201" i="2"/>
  <c r="HG201" i="2"/>
  <c r="DI200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FS202" i="2"/>
  <c r="HG202" i="2"/>
  <c r="FR202" i="2"/>
  <c r="HH202" i="2"/>
  <c r="FZ6" i="2"/>
  <c r="EX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47" i="2" a="1"/>
  <c r="BC47" i="2" s="1"/>
  <c r="BC82" i="2" a="1"/>
  <c r="BC82" i="2" s="1"/>
  <c r="BC126" i="2" a="1"/>
  <c r="BC126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56" i="2" a="1"/>
  <c r="CS56" i="2" s="1"/>
  <c r="DN6" i="2" a="1"/>
  <c r="DN6" i="2" s="1"/>
  <c r="DO6" i="2" s="1"/>
  <c r="CS72" i="2" a="1"/>
  <c r="CS72" i="2" s="1"/>
  <c r="BX107" i="2" a="1"/>
  <c r="BX107" i="2" s="1"/>
  <c r="FD82" i="2" a="1"/>
  <c r="FD82" i="2" s="1"/>
  <c r="HJ202" i="2"/>
  <c r="AX200" i="2"/>
  <c r="DN132" i="2" l="1" a="1"/>
  <c r="DN132" i="2" s="1"/>
  <c r="DN66" i="2" a="1"/>
  <c r="DN66" i="2" s="1"/>
  <c r="DN50" i="2" a="1"/>
  <c r="DN50" i="2" s="1"/>
  <c r="DN186" i="2" a="1"/>
  <c r="DN186" i="2" s="1"/>
  <c r="DN164" i="2" a="1"/>
  <c r="DN164" i="2" s="1"/>
  <c r="DN70" i="2" a="1"/>
  <c r="DN70" i="2" s="1"/>
  <c r="DN30" i="2" a="1"/>
  <c r="DN30" i="2" s="1"/>
  <c r="DN55" i="2" a="1"/>
  <c r="DN55" i="2" s="1"/>
  <c r="DN135" i="2" a="1"/>
  <c r="DN135" i="2" s="1"/>
  <c r="DN188" i="2" a="1"/>
  <c r="DN188" i="2" s="1"/>
  <c r="DN113" i="2" a="1"/>
  <c r="DN113" i="2" s="1"/>
  <c r="DN137" i="2" a="1"/>
  <c r="DN137" i="2" s="1"/>
  <c r="DN110" i="2" a="1"/>
  <c r="DN110" i="2" s="1"/>
  <c r="DN38" i="2" a="1"/>
  <c r="DN38" i="2" s="1"/>
  <c r="DN114" i="2" a="1"/>
  <c r="DN114" i="2" s="1"/>
  <c r="DN86" i="2" a="1"/>
  <c r="DN86" i="2" s="1"/>
  <c r="DN25" i="2" a="1"/>
  <c r="DN25" i="2" s="1"/>
  <c r="DN124" i="2" a="1"/>
  <c r="DN124" i="2" s="1"/>
  <c r="DN187" i="2" a="1"/>
  <c r="DN187" i="2" s="1"/>
  <c r="DN31" i="2" a="1"/>
  <c r="DN31" i="2" s="1"/>
  <c r="DN103" i="2" a="1"/>
  <c r="DN103" i="2" s="1"/>
  <c r="DN177" i="2" a="1"/>
  <c r="DN177" i="2" s="1"/>
  <c r="DN184" i="2" a="1"/>
  <c r="DN184" i="2" s="1"/>
  <c r="DN155" i="2" a="1"/>
  <c r="DN155" i="2" s="1"/>
  <c r="DN56" i="2" a="1"/>
  <c r="DN56" i="2" s="1"/>
  <c r="DN176" i="2" a="1"/>
  <c r="DN176" i="2" s="1"/>
  <c r="DN167" i="2" a="1"/>
  <c r="DN167" i="2" s="1"/>
  <c r="DN80" i="2" a="1"/>
  <c r="DN80" i="2" s="1"/>
  <c r="DN123" i="2" a="1"/>
  <c r="DN123" i="2" s="1"/>
  <c r="DN115" i="2" a="1"/>
  <c r="DN115" i="2" s="1"/>
  <c r="DN152" i="2" a="1"/>
  <c r="DN152" i="2" s="1"/>
  <c r="DN16" i="2" a="1"/>
  <c r="DN16" i="2" s="1"/>
  <c r="DN168" i="2" a="1"/>
  <c r="DN168" i="2" s="1"/>
  <c r="DN63" i="2" a="1"/>
  <c r="DN63" i="2" s="1"/>
  <c r="DN153" i="2" a="1"/>
  <c r="DN153" i="2" s="1"/>
  <c r="DN29" i="2" a="1"/>
  <c r="DN29" i="2" s="1"/>
  <c r="DN46" i="2" a="1"/>
  <c r="DN46" i="2" s="1"/>
  <c r="DN190" i="2" a="1"/>
  <c r="DN190" i="2" s="1"/>
  <c r="DN133" i="2" a="1"/>
  <c r="DN133" i="2" s="1"/>
  <c r="DN162" i="2" a="1"/>
  <c r="DN162" i="2" s="1"/>
  <c r="DN150" i="2" a="1"/>
  <c r="DN150" i="2" s="1"/>
  <c r="DN170" i="2" a="1"/>
  <c r="DN170" i="2" s="1"/>
  <c r="DN41" i="2" a="1"/>
  <c r="DN41" i="2" s="1"/>
  <c r="DN45" i="2" a="1"/>
  <c r="DN45" i="2" s="1"/>
  <c r="DN65" i="2" a="1"/>
  <c r="DN65" i="2" s="1"/>
  <c r="DN49" i="2" a="1"/>
  <c r="DN49" i="2" s="1"/>
  <c r="DN192" i="2" a="1"/>
  <c r="DN192" i="2" s="1"/>
  <c r="DN129" i="2" a="1"/>
  <c r="DN129" i="2" s="1"/>
  <c r="DN43" i="2" a="1"/>
  <c r="DN43" i="2" s="1"/>
  <c r="CS137" i="2" a="1"/>
  <c r="CS137" i="2" s="1"/>
  <c r="CS129" i="2" a="1"/>
  <c r="CS129" i="2" s="1"/>
  <c r="CS114" i="2" a="1"/>
  <c r="CS114" i="2" s="1"/>
  <c r="CS52" i="2" a="1"/>
  <c r="CS52" i="2" s="1"/>
  <c r="CS116" i="2" a="1"/>
  <c r="CS116" i="2" s="1"/>
  <c r="CS66" i="2" a="1"/>
  <c r="CS66" i="2" s="1"/>
  <c r="CS185" i="2" a="1"/>
  <c r="CS185" i="2" s="1"/>
  <c r="CS161" i="2" a="1"/>
  <c r="CS161" i="2" s="1"/>
  <c r="CS134" i="2" a="1"/>
  <c r="CS134" i="2" s="1"/>
  <c r="CS77" i="2" a="1"/>
  <c r="CS77" i="2" s="1"/>
  <c r="CS120" i="2" a="1"/>
  <c r="CS120" i="2" s="1"/>
  <c r="CS105" i="2" a="1"/>
  <c r="CS105" i="2" s="1"/>
  <c r="CS24" i="2" a="1"/>
  <c r="CS24" i="2" s="1"/>
  <c r="AH166" i="2" a="1"/>
  <c r="AH166" i="2" s="1"/>
  <c r="BC68" i="2" a="1"/>
  <c r="BC68" i="2" s="1"/>
  <c r="BC34" i="2" a="1"/>
  <c r="BC34" i="2" s="1"/>
  <c r="BC65" i="2" a="1"/>
  <c r="BC65" i="2" s="1"/>
  <c r="BC114" i="2" a="1"/>
  <c r="BC114" i="2" s="1"/>
  <c r="HG203" i="2"/>
  <c r="FR203" i="2"/>
  <c r="FT203" i="2" s="1"/>
  <c r="BP203" i="2"/>
  <c r="HH203" i="2"/>
  <c r="AH151" i="2" a="1"/>
  <c r="AH151" i="2" s="1"/>
  <c r="AH163" i="2" a="1"/>
  <c r="AH163" i="2" s="1"/>
  <c r="AH62" i="2" a="1"/>
  <c r="AH62" i="2" s="1"/>
  <c r="AH199" i="2" a="1"/>
  <c r="AH199" i="2" s="1"/>
  <c r="AH19" i="2" a="1"/>
  <c r="AH19" i="2" s="1"/>
  <c r="AH90" i="2" a="1"/>
  <c r="AH90" i="2" s="1"/>
  <c r="AH92" i="2" a="1"/>
  <c r="AH92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D203" i="2"/>
  <c r="DI203" i="2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AN114" i="2" s="1"/>
  <c r="BS68" i="2"/>
  <c r="BE70" i="2"/>
  <c r="BF69" i="2"/>
  <c r="BG69" i="2" s="1"/>
  <c r="BH69" i="2" s="1"/>
  <c r="CD60" i="2" l="1"/>
  <c r="CD177" i="2"/>
  <c r="CD146" i="2"/>
  <c r="CD155" i="2"/>
  <c r="CD189" i="2"/>
  <c r="CD162" i="2"/>
  <c r="CD75" i="2"/>
  <c r="CD101" i="2"/>
  <c r="CD179" i="2"/>
  <c r="CD133" i="2"/>
  <c r="CD144" i="2"/>
  <c r="CD81" i="2"/>
  <c r="CD58" i="2"/>
  <c r="CD148" i="2"/>
  <c r="CD192" i="2"/>
  <c r="CD47" i="2"/>
  <c r="CD85" i="2"/>
  <c r="CD100" i="2"/>
  <c r="CD142" i="2"/>
  <c r="CD53" i="2"/>
  <c r="CD76" i="2"/>
  <c r="CD21" i="2"/>
  <c r="CD118" i="2"/>
  <c r="CD38" i="2"/>
  <c r="CD182" i="2"/>
  <c r="CD70" i="2"/>
  <c r="CD149" i="2"/>
  <c r="CD52" i="2"/>
  <c r="CD125" i="2"/>
  <c r="CD50" i="2"/>
  <c r="CD193" i="2"/>
  <c r="CD169" i="2"/>
  <c r="CD188" i="2"/>
  <c r="CD199" i="2"/>
  <c r="CD174" i="2"/>
  <c r="CD141" i="2"/>
  <c r="CD121" i="2"/>
  <c r="CD94" i="2"/>
  <c r="CD109" i="2"/>
  <c r="CD102" i="2"/>
  <c r="CD126" i="2"/>
  <c r="CD56" i="2"/>
  <c r="CD152" i="2"/>
  <c r="CD16" i="2"/>
  <c r="CD163" i="2"/>
  <c r="CD61" i="2"/>
  <c r="CD116" i="2"/>
  <c r="CD5" i="2"/>
  <c r="CD172" i="2"/>
  <c r="CD139" i="2"/>
  <c r="CD91" i="2"/>
  <c r="CD191" i="2"/>
  <c r="CD115" i="2"/>
  <c r="CD77" i="2"/>
  <c r="CD181" i="2"/>
  <c r="CD15" i="2"/>
  <c r="CD31" i="2"/>
  <c r="CD184" i="2"/>
  <c r="CD30" i="2"/>
  <c r="CD175" i="2"/>
  <c r="CD84" i="2"/>
  <c r="CD26" i="2"/>
  <c r="CD137" i="2"/>
  <c r="CD8" i="2"/>
  <c r="CD113" i="2"/>
  <c r="CD39" i="2"/>
  <c r="CD34" i="2"/>
  <c r="CD96" i="2"/>
  <c r="CD32" i="2"/>
  <c r="CD104" i="2"/>
  <c r="CD64" i="2"/>
  <c r="CD89" i="2"/>
  <c r="CD92" i="2"/>
  <c r="CD66" i="2"/>
  <c r="CD10" i="2"/>
  <c r="CD22" i="2"/>
  <c r="CD122" i="2"/>
  <c r="CD124" i="2"/>
  <c r="CD43" i="2"/>
  <c r="CD127" i="2"/>
  <c r="CD46" i="2"/>
  <c r="CD68" i="2"/>
  <c r="CD120" i="2"/>
  <c r="CD150" i="2"/>
  <c r="CD69" i="2"/>
  <c r="CD145" i="2"/>
  <c r="CD17" i="2"/>
  <c r="CD45" i="2"/>
  <c r="CD136" i="2"/>
  <c r="CD185" i="2"/>
  <c r="CD54" i="2"/>
  <c r="CD18" i="2"/>
  <c r="CD24" i="2"/>
  <c r="CD117" i="2"/>
  <c r="CD200" i="2"/>
  <c r="CD20" i="2"/>
  <c r="CD110" i="2"/>
  <c r="CD6" i="2"/>
  <c r="CD170" i="2"/>
  <c r="CD83" i="2"/>
  <c r="CD176" i="2"/>
  <c r="CD65" i="2"/>
  <c r="CD79" i="2"/>
  <c r="CD19" i="2"/>
  <c r="CD106" i="2"/>
  <c r="CD129" i="2"/>
  <c r="CD134" i="2"/>
  <c r="CD73" i="2"/>
  <c r="CD25" i="2"/>
  <c r="CD156" i="2"/>
  <c r="CD197" i="2"/>
  <c r="CD59" i="2"/>
  <c r="CD80" i="2"/>
  <c r="CD196" i="2"/>
  <c r="CD107" i="2"/>
  <c r="CD131" i="2"/>
  <c r="CD7" i="2"/>
  <c r="CD128" i="2"/>
  <c r="CD93" i="2"/>
  <c r="CD3" i="2"/>
  <c r="C9" i="4" s="1"/>
  <c r="E9" i="4" s="1"/>
  <c r="F9" i="4" s="1"/>
  <c r="G9" i="4" s="1"/>
  <c r="L9" i="4" s="1"/>
  <c r="CD165" i="2"/>
  <c r="CD37" i="2"/>
  <c r="CD119" i="2"/>
  <c r="CD171" i="2"/>
  <c r="CD108" i="2"/>
  <c r="CD168" i="2"/>
  <c r="CD190" i="2"/>
  <c r="CD88" i="2"/>
  <c r="CD23" i="2"/>
  <c r="CD153" i="2"/>
  <c r="CD98" i="2"/>
  <c r="CD132" i="2"/>
  <c r="CD13" i="2"/>
  <c r="CD123" i="2"/>
  <c r="CD160" i="2"/>
  <c r="CD111" i="2"/>
  <c r="CD27" i="2"/>
  <c r="CD151" i="2"/>
  <c r="CD90" i="2"/>
  <c r="CD154" i="2"/>
  <c r="CD97" i="2"/>
  <c r="CD87" i="2"/>
  <c r="CD12" i="2"/>
  <c r="CD167" i="2"/>
  <c r="CD11" i="2"/>
  <c r="CD143" i="2"/>
  <c r="CD95" i="2"/>
  <c r="CD147" i="2"/>
  <c r="CD35" i="2"/>
  <c r="CD55" i="2"/>
  <c r="CD33" i="2"/>
  <c r="CD72" i="2"/>
  <c r="CD74" i="2"/>
  <c r="CD161" i="2"/>
  <c r="CD4" i="2"/>
  <c r="CD203" i="2"/>
  <c r="CD51" i="2"/>
  <c r="CD112" i="2"/>
  <c r="CD202" i="2"/>
  <c r="CD41" i="2"/>
  <c r="CD14" i="2"/>
  <c r="CD158" i="2"/>
  <c r="CD29" i="2"/>
  <c r="CD194" i="2"/>
  <c r="CD57" i="2"/>
  <c r="CD99" i="2"/>
  <c r="CD201" i="2"/>
  <c r="CD180" i="2"/>
  <c r="CD130" i="2"/>
  <c r="CD62" i="2"/>
  <c r="CD114" i="2"/>
  <c r="CD105" i="2"/>
  <c r="CD159" i="2"/>
  <c r="CD36" i="2"/>
  <c r="CD28" i="2"/>
  <c r="CD198" i="2"/>
  <c r="CD183" i="2"/>
  <c r="CD173" i="2"/>
  <c r="CD135" i="2"/>
  <c r="CD78" i="2"/>
  <c r="CD40" i="2"/>
  <c r="CD178" i="2"/>
  <c r="CD157" i="2"/>
  <c r="CD63" i="2"/>
  <c r="CD187" i="2"/>
  <c r="CD186" i="2"/>
  <c r="CD71" i="2"/>
  <c r="CD48" i="2"/>
  <c r="CD195" i="2"/>
  <c r="CD44" i="2"/>
  <c r="CD42" i="2"/>
  <c r="CD67" i="2"/>
  <c r="CD82" i="2"/>
  <c r="CD103" i="2"/>
  <c r="CD86" i="2"/>
  <c r="CD140" i="2"/>
  <c r="CD164" i="2"/>
  <c r="CD166" i="2"/>
  <c r="CD138" i="2"/>
  <c r="CD9" i="2"/>
  <c r="CD49" i="2"/>
  <c r="EO44" i="2"/>
  <c r="EO76" i="2"/>
  <c r="EO50" i="2"/>
  <c r="EO33" i="2"/>
  <c r="EO199" i="2"/>
  <c r="EO9" i="2"/>
  <c r="EO69" i="2"/>
  <c r="EO114" i="2"/>
  <c r="EO147" i="2"/>
  <c r="EO162" i="2"/>
  <c r="EO143" i="2"/>
  <c r="EO111" i="2"/>
  <c r="EO186" i="2"/>
  <c r="EO187" i="2"/>
  <c r="EO53" i="2"/>
  <c r="EO156" i="2"/>
  <c r="EO151" i="2"/>
  <c r="EO28" i="2"/>
  <c r="EO132" i="2"/>
  <c r="EO141" i="2"/>
  <c r="EO38" i="2"/>
  <c r="EO174" i="2"/>
  <c r="EO77" i="2"/>
  <c r="EO104" i="2"/>
  <c r="EO125" i="2"/>
  <c r="EO37" i="2"/>
  <c r="EO25" i="2"/>
  <c r="EO122" i="2"/>
  <c r="EO59" i="2"/>
  <c r="EO129" i="2"/>
  <c r="EO178" i="2"/>
  <c r="EO52" i="2"/>
  <c r="EO15" i="2"/>
  <c r="EO70" i="2"/>
  <c r="EO82" i="2"/>
  <c r="EO191" i="2"/>
  <c r="EO198" i="2"/>
  <c r="EO140" i="2"/>
  <c r="EO22" i="2"/>
  <c r="EO121" i="2"/>
  <c r="EO86" i="2"/>
  <c r="EO136" i="2"/>
  <c r="EO84" i="2"/>
  <c r="EO11" i="2"/>
  <c r="EO130" i="2"/>
  <c r="EO176" i="2"/>
  <c r="EO13" i="2"/>
  <c r="EO63" i="2"/>
  <c r="EO110" i="2"/>
  <c r="EO127" i="2"/>
  <c r="EO153" i="2"/>
  <c r="EO157" i="2"/>
  <c r="EO150" i="2"/>
  <c r="EO31" i="2"/>
  <c r="EO181" i="2"/>
  <c r="EO135" i="2"/>
  <c r="EO137" i="2"/>
  <c r="EO93" i="2"/>
  <c r="EO105" i="2"/>
  <c r="EO79" i="2"/>
  <c r="EO183" i="2"/>
  <c r="EO152" i="2"/>
  <c r="EO146" i="2"/>
  <c r="EO35" i="2"/>
  <c r="EO120" i="2"/>
  <c r="EO182" i="2"/>
  <c r="EO160" i="2"/>
  <c r="EO102" i="2"/>
  <c r="EO81" i="2"/>
  <c r="EO27" i="2"/>
  <c r="EO46" i="2"/>
  <c r="EO73" i="2"/>
  <c r="EO145" i="2"/>
  <c r="EO7" i="2"/>
  <c r="EO30" i="2"/>
  <c r="EO74" i="2"/>
  <c r="EO39" i="2"/>
  <c r="EO133" i="2"/>
  <c r="EO193" i="2"/>
  <c r="EO184" i="2"/>
  <c r="EO4" i="2"/>
  <c r="EO56" i="2"/>
  <c r="EO54" i="2"/>
  <c r="EO19" i="2"/>
  <c r="EO113" i="2"/>
  <c r="EO65" i="2"/>
  <c r="EO99" i="2"/>
  <c r="EO17" i="2"/>
  <c r="EO88" i="2"/>
  <c r="EO173" i="2"/>
  <c r="EO89" i="2"/>
  <c r="EO118" i="2"/>
  <c r="EO131" i="2"/>
  <c r="EO61" i="2"/>
  <c r="EO108" i="2"/>
  <c r="EO203" i="2"/>
  <c r="EO175" i="2"/>
  <c r="EO171" i="2"/>
  <c r="EO158" i="2"/>
  <c r="EO24" i="2"/>
  <c r="EO116" i="2"/>
  <c r="EO195" i="2"/>
  <c r="EO163" i="2"/>
  <c r="EO194" i="2"/>
  <c r="EO142" i="2"/>
  <c r="EO72" i="2"/>
  <c r="EO47" i="2"/>
  <c r="EO201" i="2"/>
  <c r="EO166" i="2"/>
  <c r="EO185" i="2"/>
  <c r="EO20" i="2"/>
  <c r="EO103" i="2"/>
  <c r="EO168" i="2"/>
  <c r="EO128" i="2"/>
  <c r="EO101" i="2"/>
  <c r="EO67" i="2"/>
  <c r="EO34" i="2"/>
  <c r="EO62" i="2"/>
  <c r="EO94" i="2"/>
  <c r="EO87" i="2"/>
  <c r="EO18" i="2"/>
  <c r="EO49" i="2"/>
  <c r="EO117" i="2"/>
  <c r="EO180" i="2"/>
  <c r="EO124" i="2"/>
  <c r="EO167" i="2"/>
  <c r="EO21" i="2"/>
  <c r="EO144" i="2"/>
  <c r="EO58" i="2"/>
  <c r="EO51" i="2"/>
  <c r="EO192" i="2"/>
  <c r="EO5" i="2"/>
  <c r="EO138" i="2"/>
  <c r="EO75" i="2"/>
  <c r="EO55" i="2"/>
  <c r="EO42" i="2"/>
  <c r="EO78" i="2"/>
  <c r="EO154" i="2"/>
  <c r="EO148" i="2"/>
  <c r="EO189" i="2"/>
  <c r="EO149" i="2"/>
  <c r="EO71" i="2"/>
  <c r="EO45" i="2"/>
  <c r="EO112" i="2"/>
  <c r="EO12" i="2"/>
  <c r="EO66" i="2"/>
  <c r="EO172" i="2"/>
  <c r="EO170" i="2"/>
  <c r="EO29" i="2"/>
  <c r="EO85" i="2"/>
  <c r="EO107" i="2"/>
  <c r="EO41" i="2"/>
  <c r="EO3" i="2"/>
  <c r="C12" i="4" s="1"/>
  <c r="E12" i="4" s="1"/>
  <c r="F12" i="4" s="1"/>
  <c r="G12" i="4" s="1"/>
  <c r="L12" i="4" s="1"/>
  <c r="EO169" i="2"/>
  <c r="EO10" i="2"/>
  <c r="EO91" i="2"/>
  <c r="EO123" i="2"/>
  <c r="EO8" i="2"/>
  <c r="EO80" i="2"/>
  <c r="EO126" i="2"/>
  <c r="EO40" i="2"/>
  <c r="EO202" i="2"/>
  <c r="EO164" i="2"/>
  <c r="EO200" i="2"/>
  <c r="EO139" i="2"/>
  <c r="EO196" i="2"/>
  <c r="EO190" i="2"/>
  <c r="EO115" i="2"/>
  <c r="EO90" i="2"/>
  <c r="EO43" i="2"/>
  <c r="EO6" i="2"/>
  <c r="EO26" i="2"/>
  <c r="EO161" i="2"/>
  <c r="EO83" i="2"/>
  <c r="EO68" i="2"/>
  <c r="EO64" i="2"/>
  <c r="EO92" i="2"/>
  <c r="EO106" i="2"/>
  <c r="EO179" i="2"/>
  <c r="EO48" i="2"/>
  <c r="EO14" i="2"/>
  <c r="EO188" i="2"/>
  <c r="EO36" i="2"/>
  <c r="EO60" i="2"/>
  <c r="EO155" i="2"/>
  <c r="EO95" i="2"/>
  <c r="EO197" i="2"/>
  <c r="EO159" i="2"/>
  <c r="EO57" i="2"/>
  <c r="EO165" i="2"/>
  <c r="EO98" i="2"/>
  <c r="EO97" i="2"/>
  <c r="EO177" i="2"/>
  <c r="EO109" i="2"/>
  <c r="EO16" i="2"/>
  <c r="EO119" i="2"/>
  <c r="EO100" i="2"/>
  <c r="EO32" i="2"/>
  <c r="EO23" i="2"/>
  <c r="EO96" i="2"/>
  <c r="EO134" i="2"/>
  <c r="AN201" i="2"/>
  <c r="AN149" i="2"/>
  <c r="AN129" i="2"/>
  <c r="AN198" i="2"/>
  <c r="AN27" i="2"/>
  <c r="AN140" i="2"/>
  <c r="AN161" i="2"/>
  <c r="AN98" i="2"/>
  <c r="AN186" i="2"/>
  <c r="AN58" i="2"/>
  <c r="AN12" i="2"/>
  <c r="AN35" i="2"/>
  <c r="AN164" i="2"/>
  <c r="AN25" i="2"/>
  <c r="AN168" i="2"/>
  <c r="AN48" i="2"/>
  <c r="AN143" i="2"/>
  <c r="AN112" i="2"/>
  <c r="AN91" i="2"/>
  <c r="AN122" i="2"/>
  <c r="AN148" i="2"/>
  <c r="AN155" i="2"/>
  <c r="AN3" i="2"/>
  <c r="C7" i="4" s="1"/>
  <c r="E7" i="4" s="1"/>
  <c r="F7" i="4" s="1"/>
  <c r="G7" i="4" s="1"/>
  <c r="L7" i="4" s="1"/>
  <c r="AN127" i="2"/>
  <c r="AN187" i="2"/>
  <c r="AN144" i="2"/>
  <c r="AN103" i="2"/>
  <c r="AN42" i="2"/>
  <c r="AN195" i="2"/>
  <c r="AN196" i="2"/>
  <c r="AN170" i="2"/>
  <c r="AN47" i="2"/>
  <c r="AN152" i="2"/>
  <c r="AN6" i="2"/>
  <c r="AN65" i="2"/>
  <c r="AN131" i="2"/>
  <c r="AN151" i="2"/>
  <c r="AN79" i="2"/>
  <c r="AN93" i="2"/>
  <c r="AN202" i="2"/>
  <c r="AN17" i="2"/>
  <c r="AN139" i="2"/>
  <c r="AN123" i="2"/>
  <c r="AN199" i="2"/>
  <c r="AN39" i="2"/>
  <c r="AN29" i="2"/>
  <c r="AN117" i="2"/>
  <c r="AN51" i="2"/>
  <c r="AN46" i="2"/>
  <c r="AN157" i="2"/>
  <c r="AN156" i="2"/>
  <c r="AN133" i="2"/>
  <c r="AN95" i="2"/>
  <c r="AN55" i="2"/>
  <c r="AN137" i="2"/>
  <c r="AN119" i="2"/>
  <c r="AN162" i="2"/>
  <c r="AN16" i="2"/>
  <c r="AN30" i="2"/>
  <c r="AN21" i="2"/>
  <c r="AN10" i="2"/>
  <c r="AN192" i="2"/>
  <c r="AN76" i="2"/>
  <c r="AN68" i="2"/>
  <c r="AN185" i="2"/>
  <c r="AN66" i="2"/>
  <c r="AN71" i="2"/>
  <c r="AN118" i="2"/>
  <c r="AN108" i="2"/>
  <c r="AN37" i="2"/>
  <c r="AN49" i="2"/>
  <c r="AN89" i="2"/>
  <c r="AN85" i="2"/>
  <c r="AN45" i="2"/>
  <c r="AN158" i="2"/>
  <c r="AN120" i="2"/>
  <c r="AN8" i="2"/>
  <c r="AN26" i="2"/>
  <c r="AN104" i="2"/>
  <c r="AN23" i="2"/>
  <c r="AN105" i="2"/>
  <c r="AN176" i="2"/>
  <c r="AN83" i="2"/>
  <c r="AN74" i="2"/>
  <c r="AN11" i="2"/>
  <c r="AN13" i="2"/>
  <c r="AN64" i="2"/>
  <c r="AN90" i="2"/>
  <c r="AN94" i="2"/>
  <c r="AN193" i="2"/>
  <c r="AN14" i="2"/>
  <c r="AN134" i="2"/>
  <c r="AN163" i="2"/>
  <c r="AN183" i="2"/>
  <c r="AN184" i="2"/>
  <c r="AN188" i="2"/>
  <c r="AN169" i="2"/>
  <c r="AN191" i="2"/>
  <c r="AN174" i="2"/>
  <c r="AN44" i="2"/>
  <c r="AN110" i="2"/>
  <c r="AN19" i="2"/>
  <c r="AN125" i="2"/>
  <c r="AN33" i="2"/>
  <c r="AN24" i="2"/>
  <c r="AN20" i="2"/>
  <c r="AN57" i="2"/>
  <c r="AN107" i="2"/>
  <c r="AN56" i="2"/>
  <c r="AN4" i="2"/>
  <c r="AN102" i="2"/>
  <c r="AN60" i="2"/>
  <c r="AN200" i="2"/>
  <c r="AN177" i="2"/>
  <c r="AN52" i="2"/>
  <c r="AN69" i="2"/>
  <c r="AN43" i="2"/>
  <c r="AN147" i="2"/>
  <c r="AN41" i="2"/>
  <c r="AN67" i="2"/>
  <c r="AN175" i="2"/>
  <c r="AN77" i="2"/>
  <c r="AN159" i="2"/>
  <c r="AN61" i="2"/>
  <c r="AN5" i="2"/>
  <c r="AN165" i="2"/>
  <c r="AN73" i="2"/>
  <c r="AN72" i="2"/>
  <c r="AN126" i="2"/>
  <c r="AN160" i="2"/>
  <c r="AN145" i="2"/>
  <c r="AN189" i="2"/>
  <c r="AN190" i="2"/>
  <c r="AN146" i="2"/>
  <c r="AN63" i="2"/>
  <c r="AN138" i="2"/>
  <c r="AN99" i="2"/>
  <c r="AN180" i="2"/>
  <c r="AN82" i="2"/>
  <c r="AN54" i="2"/>
  <c r="AN96" i="2"/>
  <c r="AN50" i="2"/>
  <c r="AN80" i="2"/>
  <c r="AN28" i="2"/>
  <c r="AN179" i="2"/>
  <c r="AN172" i="2"/>
  <c r="AN142" i="2"/>
  <c r="AN81" i="2"/>
  <c r="AN31" i="2"/>
  <c r="AN78" i="2"/>
  <c r="AN36" i="2"/>
  <c r="AN167" i="2"/>
  <c r="AN87" i="2"/>
  <c r="AN115" i="2"/>
  <c r="AN59" i="2"/>
  <c r="AN101" i="2"/>
  <c r="AN203" i="2"/>
  <c r="AN38" i="2"/>
  <c r="AN154" i="2"/>
  <c r="AN171" i="2"/>
  <c r="AN97" i="2"/>
  <c r="AN86" i="2"/>
  <c r="AN194" i="2"/>
  <c r="AN75" i="2"/>
  <c r="AN84" i="2"/>
  <c r="AN113" i="2"/>
  <c r="AN62" i="2"/>
  <c r="AN141" i="2"/>
  <c r="AN182" i="2"/>
  <c r="AN153" i="2"/>
  <c r="AN70" i="2"/>
  <c r="AN92" i="2"/>
  <c r="AN9" i="2"/>
  <c r="AN130" i="2"/>
  <c r="AN32" i="2"/>
  <c r="AN100" i="2"/>
  <c r="AN15" i="2"/>
  <c r="AN7" i="2"/>
  <c r="AN18" i="2"/>
  <c r="AN53" i="2"/>
  <c r="AN111" i="2"/>
  <c r="AN40" i="2"/>
  <c r="AN128" i="2"/>
  <c r="AN22" i="2"/>
  <c r="AN173" i="2"/>
  <c r="AN166" i="2"/>
  <c r="AN109" i="2"/>
  <c r="AN88" i="2"/>
  <c r="AN132" i="2"/>
  <c r="AN150" i="2"/>
  <c r="AN135" i="2"/>
  <c r="AN124" i="2"/>
  <c r="AN121" i="2"/>
  <c r="AN178" i="2"/>
  <c r="AN181" i="2"/>
  <c r="AN116" i="2"/>
  <c r="AN34" i="2"/>
  <c r="AN136" i="2"/>
  <c r="AN106" i="2"/>
  <c r="AN197" i="2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<sst xmlns="http://schemas.openxmlformats.org/spreadsheetml/2006/main" count="1413" uniqueCount="345">
  <si>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</si>
  <si>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</si>
  <si>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</si>
  <si>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</si>
  <si>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</si>
  <si>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</si>
  <si>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</si>
  <si>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</si>
  <si>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</si>
  <si>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</si>
  <si>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</si>
  <si>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</si>
  <si>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</si>
  <si>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</si>
  <si>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</si>
  <si>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</si>
  <si>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</si>
  <si>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</si>
  <si>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</si>
  <si>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</si>
  <si>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</si>
  <si>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</si>
  <si>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</si>
  <si>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</si>
  <si>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</si>
  <si>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</si>
  <si>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</si>
  <si>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</si>
  <si>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</si>
  <si>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</si>
  <si>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</si>
  <si>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</si>
  <si>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</si>
  <si>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</si>
  <si>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</si>
  <si>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</si>
  <si>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</si>
  <si>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</si>
  <si>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</si>
  <si>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</si>
  <si>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</si>
  <si>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</si>
  <si>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</si>
  <si>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</si>
  <si>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</si>
  <si>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</si>
  <si>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</si>
  <si>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</si>
  <si>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</si>
  <si>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</si>
  <si>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</si>
  <si>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</si>
  <si>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</si>
  <si>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</si>
  <si>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</si>
  <si>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</si>
  <si>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</si>
  <si>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</si>
  <si>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</si>
  <si>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</si>
  <si>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</si>
  <si>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</si>
  <si>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</si>
  <si>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</si>
  <si>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</si>
  <si>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</si>
  <si>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</si>
  <si>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</si>
  <si>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</si>
  <si>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</si>
  <si>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</si>
  <si>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</si>
  <si>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</si>
  <si>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</si>
  <si>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</si>
  <si>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</si>
  <si>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</si>
  <si>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</si>
  <si>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</si>
  <si>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</si>
  <si>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</si>
  <si>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</si>
  <si>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</si>
  <si>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</si>
  <si>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</si>
  <si>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</si>
  <si>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</si>
  <si>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</si>
  <si>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</si>
  <si>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</si>
  <si>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</si>
  <si>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</si>
  <si>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</si>
  <si>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</si>
  <si>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</si>
  <si>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</si>
  <si>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</si>
  <si>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</si>
  <si>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</si>
  <si>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</si>
  <si>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</si>
  <si>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</si>
  <si>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</si>
  <si>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</si>
  <si>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</si>
  <si>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</si>
  <si>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</si>
  <si>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</si>
  <si>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</si>
  <si>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</si>
  <si>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</si>
  <si>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</si>
  <si>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</si>
  <si>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</si>
  <si>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</si>
  <si>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</si>
  <si>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</si>
  <si>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</si>
  <si>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</si>
  <si>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</si>
  <si>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</si>
  <si>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</si>
  <si>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</si>
  <si>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</si>
  <si>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</si>
  <si>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</si>
  <si>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</si>
  <si>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</si>
  <si>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</si>
  <si>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</si>
  <si>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</si>
  <si>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</si>
  <si>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</si>
  <si>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</si>
  <si>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</si>
  <si>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</si>
  <si>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</si>
  <si>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</si>
  <si>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</si>
  <si>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</si>
  <si>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</si>
  <si>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</si>
  <si>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</si>
  <si>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</si>
  <si>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</si>
  <si>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</si>
  <si>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</si>
  <si>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</si>
  <si>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</si>
  <si>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</si>
  <si>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</si>
  <si>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</si>
  <si>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</si>
  <si>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</si>
  <si>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</si>
  <si>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</si>
  <si>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</si>
  <si>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</si>
  <si>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</si>
  <si>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</si>
  <si>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</si>
  <si>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</si>
  <si>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</si>
  <si>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</si>
  <si>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</si>
  <si>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</si>
  <si>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</si>
  <si>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</si>
  <si>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</si>
  <si>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</si>
  <si>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</si>
  <si>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</si>
  <si>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</si>
  <si>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</si>
  <si>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</si>
  <si>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</si>
  <si>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</si>
  <si>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</si>
  <si>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</si>
  <si>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</si>
  <si>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</si>
  <si>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</si>
  <si>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</si>
  <si>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</si>
  <si>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</si>
  <si>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</si>
  <si>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</si>
  <si>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</si>
  <si>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</si>
  <si>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</si>
  <si>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</si>
  <si>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</si>
  <si>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</si>
  <si>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</si>
  <si>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</si>
  <si>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</si>
  <si>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</si>
  <si>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</si>
  <si>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</si>
  <si>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</si>
  <si>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</si>
  <si>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</si>
  <si>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</si>
  <si>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</si>
  <si>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</si>
  <si>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</si>
  <si>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</si>
  <si>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</si>
  <si>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</si>
  <si>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</si>
  <si>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</si>
  <si>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</si>
  <si>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</si>
  <si>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</si>
  <si>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</si>
  <si>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</si>
  <si>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</si>
  <si>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</si>
  <si>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</si>
  <si>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</si>
  <si>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</si>
  <si>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</si>
  <si>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</si>
  <si>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</si>
  <si>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</si>
  <si>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</si>
  <si>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</si>
  <si>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</si>
  <si>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</si>
  <si>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</si>
  <si>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</si>
  <si>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</si>
  <si>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</si>
  <si>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</si>
  <si>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</si>
  <si>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</si>
  <si>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</si>
  <si>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</si>
  <si>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</si>
  <si>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</si>
  <si>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</si>
  <si>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</si>
  <si>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</si>
  <si>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</si>
  <si>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</si>
  <si>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</si>
  <si>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</si>
  <si>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</si>
  <si>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</si>
  <si>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</si>
  <si>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</si>
  <si>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</si>
  <si>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</si>
  <si>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</si>
  <si>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</si>
  <si>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</si>
  <si>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</si>
  <si>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</si>
  <si>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</si>
  <si>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</si>
  <si>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</si>
  <si>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</si>
  <si>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</si>
  <si>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</si>
  <si>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</si>
  <si>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</si>
  <si>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</si>
  <si>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</si>
  <si>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</si>
  <si>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</si>
  <si>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</si>
  <si>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</si>
  <si>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</si>
  <si>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</si>
  <si>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</si>
  <si>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</si>
  <si>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</si>
  <si>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</si>
  <si>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</si>
  <si>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</si>
  <si>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</si>
  <si>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</si>
  <si>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</si>
  <si>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</si>
  <si>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</si>
  <si>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</si>
  <si>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</si>
  <si>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</si>
  <si>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</si>
  <si>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</si>
  <si>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</si>
  <si>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</si>
  <si>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</si>
  <si>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</si>
  <si>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</si>
  <si>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</si>
  <si>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</si>
  <si>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</si>
  <si>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</si>
  <si>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</si>
  <si>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</si>
  <si>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</si>
  <si>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</si>
  <si>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</si>
  <si>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</si>
  <si>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</si>
  <si>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</si>
  <si>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</si>
  <si>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</si>
  <si>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</si>
  <si>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</si>
  <si>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</si>
  <si>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</si>
  <si>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</si>
  <si>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</si>
  <si>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</si>
  <si>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</si>
  <si>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</si>
  <si>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</si>
  <si>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</si>
  <si>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</si>
  <si>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</si>
  <si>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</si>
  <si>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</si>
  <si>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</si>
  <si>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CHENE</t>
  </si>
  <si>
    <t>DOUGLAS</t>
  </si>
  <si>
    <t>CEDRE</t>
  </si>
  <si>
    <t xml:space="preserve">FEUILLUS CROISSANCE RAPIDE (AULNE, CHARME, TILLEUL, MERISIER, ERABLE) </t>
  </si>
  <si>
    <t xml:space="preserve">FEUILLUS CROISSANCE LENTE  (ALISIER) </t>
  </si>
  <si>
    <t>Rabais de 20% sur les productivités du Chataignier</t>
  </si>
  <si>
    <t>Rabais de 20% sur les productivités du Chêne</t>
  </si>
  <si>
    <t>Guide des sylvicultures Chênaies continentales - Sylviculture dynamique - ONF</t>
  </si>
  <si>
    <t>(DECOURT 1966) NORD-EST DU MASSIF CENTRAL</t>
  </si>
  <si>
    <t>technique et forêt "Première approche de la production potentielle du cèdre de l'atlas" J.TOTH</t>
  </si>
  <si>
    <t>CRPF Bretagne - Bilan des essais forestiers consacrés au Châtaignier</t>
  </si>
  <si>
    <t>CF.1</t>
  </si>
  <si>
    <t>APRES ECLAIRCIE</t>
  </si>
  <si>
    <r>
      <t>Volume bois fort 
avant éclaircie (m</t>
    </r>
    <r>
      <rPr>
        <b/>
        <sz val="11"/>
        <color theme="0"/>
        <rFont val="Calibri"/>
        <family val="2"/>
      </rPr>
      <t>³</t>
    </r>
    <r>
      <rPr>
        <b/>
        <sz val="11"/>
        <color theme="0"/>
        <rFont val="Calibri"/>
        <family val="2"/>
        <scheme val="minor"/>
      </rPr>
      <t>/ha)</t>
    </r>
  </si>
  <si>
    <r>
      <t>Volume bois fort 
après éclaircie (m</t>
    </r>
    <r>
      <rPr>
        <b/>
        <sz val="11"/>
        <color theme="0"/>
        <rFont val="Calibri"/>
        <family val="2"/>
      </rPr>
      <t>³</t>
    </r>
    <r>
      <rPr>
        <b/>
        <sz val="11"/>
        <color theme="0"/>
        <rFont val="Calibri"/>
        <family val="2"/>
        <scheme val="minor"/>
      </rPr>
      <t>/ha)</t>
    </r>
  </si>
  <si>
    <t/>
  </si>
  <si>
    <t>CF.2</t>
  </si>
  <si>
    <t>CF.3</t>
  </si>
  <si>
    <t>CF.4</t>
  </si>
  <si>
    <t>CF.5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</si>
</sst>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0"/>
      <name val="Arial Narrow"/>
      <family val="2"/>
    </font>
    <font>
      <i/>
      <sz val="11"/>
      <color theme="3" tint="-0.499984740745262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21" borderId="1" xfId="3" applyFont="1" applyFill="1" applyBorder="1" applyAlignment="1" applyProtection="1">
      <alignment horizontal="center"/>
      <protection locked="0" hidden="1"/>
    </xf>
    <xf numFmtId="0" fontId="32" fillId="21" borderId="1" xfId="3" applyFont="1" applyFill="1" applyBorder="1" applyAlignment="1" applyProtection="1">
      <alignment horizontal="center"/>
      <protection locked="0"/>
    </xf>
    <xf numFmtId="9" fontId="32" fillId="21" borderId="1" xfId="4" applyFont="1" applyFill="1" applyBorder="1" applyAlignment="1" applyProtection="1">
      <alignment horizontal="center"/>
      <protection locked="0" hidden="1"/>
    </xf>
    <xf numFmtId="0" fontId="4" fillId="0" borderId="1" xfId="3" applyBorder="1" applyProtection="1">
      <protection locked="0"/>
    </xf>
    <xf numFmtId="0" fontId="4" fillId="0" borderId="0" xfId="3" applyProtection="1">
      <protection locked="0"/>
    </xf>
    <xf numFmtId="0" fontId="4" fillId="0" borderId="1" xfId="3" applyBorder="1" applyAlignment="1" applyProtection="1">
      <alignment horizontal="center"/>
      <protection locked="0"/>
    </xf>
    <xf numFmtId="0" fontId="4" fillId="0" borderId="0" xfId="3"/>
    <xf numFmtId="0" fontId="27" fillId="0" borderId="0" xfId="3" applyFont="1"/>
    <xf numFmtId="0" fontId="35" fillId="0" borderId="0" xfId="3" applyFont="1" applyAlignment="1">
      <alignment horizontal="left" vertical="center"/>
    </xf>
    <xf numFmtId="1" fontId="4" fillId="0" borderId="0" xfId="3" applyNumberFormat="1"/>
    <xf numFmtId="0" fontId="36" fillId="0" borderId="0" xfId="3" applyFont="1" applyAlignment="1">
      <alignment horizontal="center" vertical="center"/>
    </xf>
    <xf numFmtId="0" fontId="36" fillId="0" borderId="0" xfId="3" applyFont="1" applyAlignment="1">
      <alignment vertical="center"/>
    </xf>
    <xf numFmtId="0" fontId="4" fillId="0" borderId="0" xfId="3" applyProtection="1">
      <protection hidden="1"/>
    </xf>
    <xf numFmtId="0" fontId="33" fillId="22" borderId="7" xfId="3" applyFont="1" applyFill="1" applyBorder="1" applyAlignment="1" applyProtection="1">
      <alignment horizontal="center" vertical="center"/>
      <protection hidden="1"/>
    </xf>
    <xf numFmtId="0" fontId="33" fillId="22" borderId="4" xfId="3" applyFont="1" applyFill="1" applyBorder="1" applyAlignment="1" applyProtection="1">
      <alignment horizontal="center" vertical="center" wrapText="1"/>
      <protection hidden="1"/>
    </xf>
    <xf numFmtId="0" fontId="33" fillId="22" borderId="5" xfId="3" applyFont="1" applyFill="1" applyBorder="1" applyAlignment="1" applyProtection="1">
      <alignment horizontal="center" vertical="center" wrapText="1"/>
      <protection hidden="1"/>
    </xf>
    <xf numFmtId="0" fontId="33" fillId="22" borderId="4" xfId="3" applyFont="1" applyFill="1" applyBorder="1" applyAlignment="1" applyProtection="1">
      <alignment horizontal="center" vertical="center"/>
      <protection hidden="1"/>
    </xf>
    <xf numFmtId="0" fontId="33" fillId="22" borderId="5" xfId="3" applyFont="1" applyFill="1" applyBorder="1" applyAlignment="1" applyProtection="1">
      <alignment horizontal="center" vertical="center"/>
      <protection hidden="1"/>
    </xf>
    <xf numFmtId="0" fontId="33" fillId="22" borderId="6" xfId="3" applyFont="1" applyFill="1" applyBorder="1" applyAlignment="1" applyProtection="1">
      <alignment horizontal="center" vertical="center"/>
      <protection hidden="1"/>
    </xf>
    <xf numFmtId="0" fontId="33" fillId="22" borderId="1" xfId="3" applyFont="1" applyFill="1" applyBorder="1" applyAlignment="1" applyProtection="1">
      <alignment horizontal="center" vertical="center"/>
      <protection hidden="1"/>
    </xf>
    <xf numFmtId="0" fontId="33" fillId="22" borderId="1" xfId="3" applyFont="1" applyFill="1" applyBorder="1" applyAlignment="1" applyProtection="1">
      <alignment horizontal="center" vertical="center" wrapText="1"/>
      <protection hidden="1"/>
    </xf>
    <xf numFmtId="0" fontId="4" fillId="0" borderId="1" xfId="3" applyBorder="1"/>
    <xf numFmtId="0" fontId="4" fillId="0" borderId="39" xfId="3" applyBorder="1"/>
    <xf numFmtId="0" fontId="4" fillId="0" borderId="1" xfId="3" applyBorder="1" applyAlignment="1">
      <alignment horizontal="center"/>
    </xf>
    <xf numFmtId="1" fontId="4" fillId="0" borderId="1" xfId="3" applyNumberFormat="1" applyBorder="1"/>
    <xf numFmtId="0" fontId="32" fillId="21" borderId="47" xfId="3" applyFont="1" applyFill="1" applyBorder="1" applyAlignment="1" applyProtection="1">
      <alignment horizontal="center"/>
      <protection locked="0"/>
    </xf>
    <xf numFmtId="9" fontId="32" fillId="21" borderId="0" xfId="4" applyFont="1" applyFill="1" applyBorder="1" applyAlignment="1" applyProtection="1">
      <alignment horizontal="center"/>
      <protection locked="0" hidden="1"/>
    </xf>
    <xf numFmtId="0" fontId="33" fillId="0" borderId="0" xfId="3" applyFont="1" applyAlignment="1" applyProtection="1">
      <alignment horizontal="center" vertical="center"/>
      <protection hidden="1"/>
    </xf>
    <xf numFmtId="0" fontId="33" fillId="0" borderId="0" xfId="3" applyFont="1" applyAlignment="1" applyProtection="1">
      <alignment horizontal="center" vertical="center" wrapText="1"/>
      <protection hidden="1"/>
    </xf>
    <xf numFmtId="0" fontId="32" fillId="0" borderId="0" xfId="3" applyFont="1" applyAlignment="1" applyProtection="1">
      <alignment horizontal="center"/>
      <protection locked="0"/>
    </xf>
    <xf numFmtId="9" fontId="32" fillId="0" borderId="0" xfId="4" applyFont="1" applyFill="1" applyBorder="1" applyAlignment="1" applyProtection="1">
      <alignment horizontal="center"/>
      <protection locked="0" hidden="1"/>
    </xf>
    <xf numFmtId="167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33" fillId="22" borderId="4" xfId="3" applyFont="1" applyFill="1" applyBorder="1" applyAlignment="1" applyProtection="1">
      <alignment horizontal="center" vertical="center" wrapText="1"/>
      <protection hidden="1"/>
    </xf>
    <xf numFmtId="0" fontId="33" fillId="22" borderId="5" xfId="3" applyFont="1" applyFill="1" applyBorder="1" applyAlignment="1" applyProtection="1">
      <alignment horizontal="center" vertical="center" wrapText="1"/>
      <protection hidden="1"/>
    </xf>
    <xf numFmtId="0" fontId="33" fillId="22" borderId="4" xfId="3" applyFont="1" applyFill="1" applyBorder="1" applyAlignment="1" applyProtection="1">
      <alignment horizontal="center" vertical="center"/>
      <protection hidden="1"/>
    </xf>
    <xf numFmtId="0" fontId="33" fillId="22" borderId="5" xfId="3" applyFont="1" applyFill="1" applyBorder="1" applyAlignment="1" applyProtection="1">
      <alignment horizontal="center" vertical="center"/>
      <protection hidden="1"/>
    </xf>
    <xf numFmtId="0" fontId="33" fillId="22" borderId="6" xfId="3" applyFont="1" applyFill="1" applyBorder="1" applyAlignment="1" applyProtection="1">
      <alignment horizontal="center" vertical="center"/>
      <protection hidden="1"/>
    </xf>
    <xf numFmtId="0" fontId="34" fillId="22" borderId="0" xfId="3" applyFont="1" applyFill="1" applyAlignment="1">
      <alignment horizontal="center"/>
    </xf>
    <xf numFmtId="0" fontId="35" fillId="0" borderId="0" xfId="3" applyFont="1" applyAlignment="1">
      <alignment horizontal="left" vertical="center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5">
    <cellStyle name="Lien hypertexte" xfId="2" builtinId="8"/>
    <cellStyle name="Normal" xfId="0" builtinId="0"/>
    <cellStyle name="Normal 2" xfId="3" xr:uid="{00000000-0005-0000-0000-000002000000}"/>
    <cellStyle name="Pourcentage" xfId="1" builtinId="5"/>
    <cellStyle name="Pourcentag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569.03978265954709</c:v>
                </c:pt>
                <c:pt idx="77">
                  <c:v>582.41546615645132</c:v>
                </c:pt>
                <c:pt idx="78">
                  <c:v>595.78474694239321</c:v>
                </c:pt>
                <c:pt idx="79">
                  <c:v>609.14778887966054</c:v>
                </c:pt>
                <c:pt idx="80">
                  <c:v>622.50474805800388</c:v>
                </c:pt>
                <c:pt idx="81">
                  <c:v>635.85577332565333</c:v>
                </c:pt>
                <c:pt idx="82">
                  <c:v>649.2010067734418</c:v>
                </c:pt>
                <c:pt idx="83">
                  <c:v>662.54058417706926</c:v>
                </c:pt>
                <c:pt idx="84">
                  <c:v>675.87463540191914</c:v>
                </c:pt>
                <c:pt idx="85">
                  <c:v>689.203284774287</c:v>
                </c:pt>
                <c:pt idx="86">
                  <c:v>594.44810225296681</c:v>
                </c:pt>
                <c:pt idx="87">
                  <c:v>606.47567200029653</c:v>
                </c:pt>
                <c:pt idx="88">
                  <c:v>618.4982900029172</c:v>
                </c:pt>
                <c:pt idx="89">
                  <c:v>630.51606604803339</c:v>
                </c:pt>
                <c:pt idx="90">
                  <c:v>642.52910539795516</c:v>
                </c:pt>
                <c:pt idx="91">
                  <c:v>654.5375090594797</c:v>
                </c:pt>
                <c:pt idx="92">
                  <c:v>666.54137403248592</c:v>
                </c:pt>
                <c:pt idx="93">
                  <c:v>678.54079353970099</c:v>
                </c:pt>
                <c:pt idx="94">
                  <c:v>690.53585723937374</c:v>
                </c:pt>
                <c:pt idx="95">
                  <c:v>702.52665142241483</c:v>
                </c:pt>
                <c:pt idx="96">
                  <c:v>606.2847971671714</c:v>
                </c:pt>
                <c:pt idx="97">
                  <c:v>616.78107210210942</c:v>
                </c:pt>
                <c:pt idx="98">
                  <c:v>627.27364503811225</c:v>
                </c:pt>
                <c:pt idx="99">
                  <c:v>637.76258661477414</c:v>
                </c:pt>
                <c:pt idx="100">
                  <c:v>648.24796495924147</c:v>
                </c:pt>
                <c:pt idx="101">
                  <c:v>658.72984581562707</c:v>
                </c:pt>
                <c:pt idx="102">
                  <c:v>669.20829266576197</c:v>
                </c:pt>
                <c:pt idx="103">
                  <c:v>679.68336684199494</c:v>
                </c:pt>
                <c:pt idx="104">
                  <c:v>690.15512763267873</c:v>
                </c:pt>
                <c:pt idx="105">
                  <c:v>700.62363238092428</c:v>
                </c:pt>
                <c:pt idx="106">
                  <c:v>608.95693147091299</c:v>
                </c:pt>
                <c:pt idx="107">
                  <c:v>618.30749289907305</c:v>
                </c:pt>
                <c:pt idx="108">
                  <c:v>627.65512429961279</c:v>
                </c:pt>
                <c:pt idx="109">
                  <c:v>636.99987545603437</c:v>
                </c:pt>
                <c:pt idx="110">
                  <c:v>646.34179457229243</c:v>
                </c:pt>
                <c:pt idx="111">
                  <c:v>655.68092834550419</c:v>
                </c:pt>
                <c:pt idx="112">
                  <c:v>665.01732203430026</c:v>
                </c:pt>
                <c:pt idx="113">
                  <c:v>674.35101952314142</c:v>
                </c:pt>
                <c:pt idx="114">
                  <c:v>683.68206338288792</c:v>
                </c:pt>
                <c:pt idx="115">
                  <c:v>693.01049492789389</c:v>
                </c:pt>
                <c:pt idx="116">
                  <c:v>607.62089481714168</c:v>
                </c:pt>
                <c:pt idx="117">
                  <c:v>615.63620511985016</c:v>
                </c:pt>
                <c:pt idx="118">
                  <c:v>623.64935210528438</c:v>
                </c:pt>
                <c:pt idx="119">
                  <c:v>631.66036748923932</c:v>
                </c:pt>
                <c:pt idx="120">
                  <c:v>639.6692821174388</c:v>
                </c:pt>
                <c:pt idx="121">
                  <c:v>647.67612600023597</c:v>
                </c:pt>
                <c:pt idx="122">
                  <c:v>655.68092834550373</c:v>
                </c:pt>
                <c:pt idx="123">
                  <c:v>663.6837175898421</c:v>
                </c:pt>
                <c:pt idx="124">
                  <c:v>671.68452142819626</c:v>
                </c:pt>
                <c:pt idx="125">
                  <c:v>679.68336684199437</c:v>
                </c:pt>
                <c:pt idx="126">
                  <c:v>601.51251958281682</c:v>
                </c:pt>
                <c:pt idx="127">
                  <c:v>609.1477888796602</c:v>
                </c:pt>
                <c:pt idx="128">
                  <c:v>616.78107210210862</c:v>
                </c:pt>
                <c:pt idx="129">
                  <c:v>624.41239729750191</c:v>
                </c:pt>
                <c:pt idx="130">
                  <c:v>632.0417917716685</c:v>
                </c:pt>
                <c:pt idx="131">
                  <c:v>639.6692821174388</c:v>
                </c:pt>
                <c:pt idx="132">
                  <c:v>647.29489424172436</c:v>
                </c:pt>
                <c:pt idx="133">
                  <c:v>654.91865339125741</c:v>
                </c:pt>
                <c:pt idx="134">
                  <c:v>662.54058417706881</c:v>
                </c:pt>
                <c:pt idx="135">
                  <c:v>670.16071059778062</c:v>
                </c:pt>
                <c:pt idx="136">
                  <c:v>595.21190686629973</c:v>
                </c:pt>
                <c:pt idx="137">
                  <c:v>602.2761367009989</c:v>
                </c:pt>
                <c:pt idx="138">
                  <c:v>609.33864504715143</c:v>
                </c:pt>
                <c:pt idx="139">
                  <c:v>616.39945467421887</c:v>
                </c:pt>
                <c:pt idx="140">
                  <c:v>623.4585877874099</c:v>
                </c:pt>
                <c:pt idx="141">
                  <c:v>630.51606604803271</c:v>
                </c:pt>
                <c:pt idx="142">
                  <c:v>637.571910592888</c:v>
                </c:pt>
                <c:pt idx="143">
                  <c:v>644.62614205275918</c:v>
                </c:pt>
                <c:pt idx="144">
                  <c:v>651.678780570051</c:v>
                </c:pt>
                <c:pt idx="145">
                  <c:v>658.72984581562616</c:v>
                </c:pt>
                <c:pt idx="146">
                  <c:v>590.81975093891367</c:v>
                </c:pt>
                <c:pt idx="147">
                  <c:v>597.31226449625217</c:v>
                </c:pt>
                <c:pt idx="148">
                  <c:v>603.8033106091608</c:v>
                </c:pt>
                <c:pt idx="149">
                  <c:v>610.29290728129206</c:v>
                </c:pt>
                <c:pt idx="150">
                  <c:v>616.78107210210828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06316576"/>
        <c:axId val="-387028048"/>
      </c:scatterChart>
      <c:valAx>
        <c:axId val="-406316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028048"/>
        <c:crosses val="autoZero"/>
        <c:crossBetween val="midCat"/>
      </c:valAx>
      <c:valAx>
        <c:axId val="-38702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6316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955280"/>
        <c:axId val="-55957456"/>
      </c:scatterChart>
      <c:valAx>
        <c:axId val="-55955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957456"/>
        <c:crosses val="autoZero"/>
        <c:crossBetween val="midCat"/>
      </c:valAx>
      <c:valAx>
        <c:axId val="-5595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955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194.0010672384883</c:v>
                </c:pt>
                <c:pt idx="32">
                  <c:v>213.65866040016559</c:v>
                </c:pt>
                <c:pt idx="33">
                  <c:v>233.27460027305116</c:v>
                </c:pt>
                <c:pt idx="34">
                  <c:v>252.85288210026226</c:v>
                </c:pt>
                <c:pt idx="35">
                  <c:v>272.39683147829243</c:v>
                </c:pt>
                <c:pt idx="36">
                  <c:v>241.9804968286094</c:v>
                </c:pt>
                <c:pt idx="37">
                  <c:v>262.26703366253628</c:v>
                </c:pt>
                <c:pt idx="38">
                  <c:v>282.51816051208363</c:v>
                </c:pt>
                <c:pt idx="39">
                  <c:v>302.73677181781744</c:v>
                </c:pt>
                <c:pt idx="40">
                  <c:v>322.92534379451826</c:v>
                </c:pt>
                <c:pt idx="41">
                  <c:v>292.99240696074895</c:v>
                </c:pt>
                <c:pt idx="42">
                  <c:v>313.55567069110168</c:v>
                </c:pt>
                <c:pt idx="43">
                  <c:v>334.08903883375007</c:v>
                </c:pt>
                <c:pt idx="44">
                  <c:v>354.59460634776502</c:v>
                </c:pt>
                <c:pt idx="45">
                  <c:v>375.07420618051674</c:v>
                </c:pt>
                <c:pt idx="46">
                  <c:v>344.52504925832596</c:v>
                </c:pt>
                <c:pt idx="47">
                  <c:v>364.29860280650678</c:v>
                </c:pt>
                <c:pt idx="48">
                  <c:v>384.04871588248369</c:v>
                </c:pt>
                <c:pt idx="49">
                  <c:v>403.77676289014676</c:v>
                </c:pt>
                <c:pt idx="50">
                  <c:v>423.48397302905886</c:v>
                </c:pt>
                <c:pt idx="51">
                  <c:v>391.58377731754803</c:v>
                </c:pt>
                <c:pt idx="52">
                  <c:v>409.870253510586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464.62736964269283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464.2699471814667</c:v>
                </c:pt>
                <c:pt idx="62">
                  <c:v>479.99105490653511</c:v>
                </c:pt>
                <c:pt idx="63">
                  <c:v>495.70122118881324</c:v>
                </c:pt>
                <c:pt idx="64">
                  <c:v>511.40084148822439</c:v>
                </c:pt>
                <c:pt idx="65">
                  <c:v>527.09028501417208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513.89756085284455</c:v>
                </c:pt>
                <c:pt idx="72">
                  <c:v>527.44674775244675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530.65468456610142</c:v>
                </c:pt>
                <c:pt idx="77">
                  <c:v>543.12614035455283</c:v>
                </c:pt>
                <c:pt idx="78">
                  <c:v>555.59158520777885</c:v>
                </c:pt>
                <c:pt idx="79">
                  <c:v>568.05117296149115</c:v>
                </c:pt>
                <c:pt idx="80">
                  <c:v>580.50505015445844</c:v>
                </c:pt>
                <c:pt idx="81">
                  <c:v>592.95335652703079</c:v>
                </c:pt>
                <c:pt idx="82">
                  <c:v>605.39622547563897</c:v>
                </c:pt>
                <c:pt idx="83">
                  <c:v>617.83378446799861</c:v>
                </c:pt>
                <c:pt idx="84">
                  <c:v>630.26615542315471</c:v>
                </c:pt>
                <c:pt idx="85">
                  <c:v>642.69345505999615</c:v>
                </c:pt>
                <c:pt idx="86">
                  <c:v>554.34530677131272</c:v>
                </c:pt>
                <c:pt idx="87">
                  <c:v>565.55971684393</c:v>
                </c:pt>
                <c:pt idx="88">
                  <c:v>576.76947816434301</c:v>
                </c:pt>
                <c:pt idx="89">
                  <c:v>587.97469380198311</c:v>
                </c:pt>
                <c:pt idx="90">
                  <c:v>599.17546257826007</c:v>
                </c:pt>
                <c:pt idx="91">
                  <c:v>610.37187931946266</c:v>
                </c:pt>
                <c:pt idx="92">
                  <c:v>621.56403509014024</c:v>
                </c:pt>
                <c:pt idx="93">
                  <c:v>632.75201740881039</c:v>
                </c:pt>
                <c:pt idx="94">
                  <c:v>643.93591044762059</c:v>
                </c:pt>
                <c:pt idx="95">
                  <c:v>655.11579521742271</c:v>
                </c:pt>
                <c:pt idx="96">
                  <c:v>565.38174692254574</c:v>
                </c:pt>
                <c:pt idx="97">
                  <c:v>575.16836435383368</c:v>
                </c:pt>
                <c:pt idx="98">
                  <c:v>584.9515063079474</c:v>
                </c:pt>
                <c:pt idx="99">
                  <c:v>594.73123910211177</c:v>
                </c:pt>
                <c:pt idx="100">
                  <c:v>604.50762669483913</c:v>
                </c:pt>
                <c:pt idx="101">
                  <c:v>614.2807308074224</c:v>
                </c:pt>
                <c:pt idx="102">
                  <c:v>624.05061103730111</c:v>
                </c:pt>
                <c:pt idx="103">
                  <c:v>633.81732496395614</c:v>
                </c:pt>
                <c:pt idx="104">
                  <c:v>643.58092824794232</c:v>
                </c:pt>
                <c:pt idx="105">
                  <c:v>653.34147472360155</c:v>
                </c:pt>
                <c:pt idx="106">
                  <c:v>567.8732193983036</c:v>
                </c:pt>
                <c:pt idx="107">
                  <c:v>576.59158121606004</c:v>
                </c:pt>
                <c:pt idx="108">
                  <c:v>585.30719229177305</c:v>
                </c:pt>
                <c:pt idx="109">
                  <c:v>594.02009936274032</c:v>
                </c:pt>
                <c:pt idx="110">
                  <c:v>602.73034768336299</c:v>
                </c:pt>
                <c:pt idx="111">
                  <c:v>611.43798109340639</c:v>
                </c:pt>
                <c:pt idx="112">
                  <c:v>620.14304208216913</c:v>
                </c:pt>
                <c:pt idx="113">
                  <c:v>628.8455718488633</c:v>
                </c:pt>
                <c:pt idx="114">
                  <c:v>637.54561035947995</c:v>
                </c:pt>
                <c:pt idx="115">
                  <c:v>646.24319640038709</c:v>
                </c:pt>
                <c:pt idx="116">
                  <c:v>566.62751179237478</c:v>
                </c:pt>
                <c:pt idx="117">
                  <c:v>574.10090346679817</c:v>
                </c:pt>
                <c:pt idx="118">
                  <c:v>581.57226419525443</c:v>
                </c:pt>
                <c:pt idx="119">
                  <c:v>589.04162375287922</c:v>
                </c:pt>
                <c:pt idx="120">
                  <c:v>596.5090110979769</c:v>
                </c:pt>
                <c:pt idx="121">
                  <c:v>603.97445440459546</c:v>
                </c:pt>
                <c:pt idx="122">
                  <c:v>611.43798109340605</c:v>
                </c:pt>
                <c:pt idx="123">
                  <c:v>618.89961786100037</c:v>
                </c:pt>
                <c:pt idx="124">
                  <c:v>626.35939070769678</c:v>
                </c:pt>
                <c:pt idx="125">
                  <c:v>633.81732496395534</c:v>
                </c:pt>
                <c:pt idx="126">
                  <c:v>560.93211702073916</c:v>
                </c:pt>
                <c:pt idx="127">
                  <c:v>568.05117296149081</c:v>
                </c:pt>
                <c:pt idx="128">
                  <c:v>575.16836435383323</c:v>
                </c:pt>
                <c:pt idx="129">
                  <c:v>582.28371752891576</c:v>
                </c:pt>
                <c:pt idx="130">
                  <c:v>589.39725812175027</c:v>
                </c:pt>
                <c:pt idx="131">
                  <c:v>596.5090110979769</c:v>
                </c:pt>
                <c:pt idx="132">
                  <c:v>603.61900077928851</c:v>
                </c:pt>
                <c:pt idx="133">
                  <c:v>610.72725086759363</c:v>
                </c:pt>
                <c:pt idx="134">
                  <c:v>617.83378446799804</c:v>
                </c:pt>
                <c:pt idx="135">
                  <c:v>624.93862411067119</c:v>
                </c:pt>
                <c:pt idx="136">
                  <c:v>555.05747305784064</c:v>
                </c:pt>
                <c:pt idx="137">
                  <c:v>561.64410728476457</c:v>
                </c:pt>
                <c:pt idx="138">
                  <c:v>568.22912535937337</c:v>
                </c:pt>
                <c:pt idx="139">
                  <c:v>574.81254865788685</c:v>
                </c:pt>
                <c:pt idx="140">
                  <c:v>581.39439802679851</c:v>
                </c:pt>
                <c:pt idx="141">
                  <c:v>587.9746938019822</c:v>
                </c:pt>
                <c:pt idx="142">
                  <c:v>594.5534558268979</c:v>
                </c:pt>
                <c:pt idx="143">
                  <c:v>601.13070346995062</c:v>
                </c:pt>
                <c:pt idx="144">
                  <c:v>607.70645564105166</c:v>
                </c:pt>
                <c:pt idx="145">
                  <c:v>614.28073080742172</c:v>
                </c:pt>
                <c:pt idx="146">
                  <c:v>550.96225460584549</c:v>
                </c:pt>
                <c:pt idx="147">
                  <c:v>557.01583171739867</c:v>
                </c:pt>
                <c:pt idx="148">
                  <c:v>563.06803117603783</c:v>
                </c:pt>
                <c:pt idx="149">
                  <c:v>569.11886988378899</c:v>
                </c:pt>
                <c:pt idx="150">
                  <c:v>575.16836435383254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6193088"/>
        <c:axId val="-56192000"/>
      </c:scatterChart>
      <c:valAx>
        <c:axId val="-561930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192000"/>
        <c:crosses val="autoZero"/>
        <c:crossBetween val="midCat"/>
      </c:valAx>
      <c:valAx>
        <c:axId val="-56192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193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141.90711501463102</c:v>
                </c:pt>
                <c:pt idx="22">
                  <c:v>151.24173586581256</c:v>
                </c:pt>
                <c:pt idx="23">
                  <c:v>160.56263289979026</c:v>
                </c:pt>
                <c:pt idx="24">
                  <c:v>169.87071609810968</c:v>
                </c:pt>
                <c:pt idx="25">
                  <c:v>179.16678741707776</c:v>
                </c:pt>
                <c:pt idx="26">
                  <c:v>188.45155867585586</c:v>
                </c:pt>
                <c:pt idx="27">
                  <c:v>197.72566572786536</c:v>
                </c:pt>
                <c:pt idx="28">
                  <c:v>206.98967982954616</c:v>
                </c:pt>
                <c:pt idx="29">
                  <c:v>216.244116864028</c:v>
                </c:pt>
                <c:pt idx="30">
                  <c:v>225.48944490087408</c:v>
                </c:pt>
                <c:pt idx="31">
                  <c:v>201.69138249922662</c:v>
                </c:pt>
                <c:pt idx="32">
                  <c:v>214.66868960441653</c:v>
                </c:pt>
                <c:pt idx="33">
                  <c:v>227.62794123403418</c:v>
                </c:pt>
                <c:pt idx="34">
                  <c:v>240.57031057620065</c:v>
                </c:pt>
                <c:pt idx="35">
                  <c:v>253.49683419033752</c:v>
                </c:pt>
                <c:pt idx="36">
                  <c:v>266.40843422457357</c:v>
                </c:pt>
                <c:pt idx="37">
                  <c:v>279.3059360959632</c:v>
                </c:pt>
                <c:pt idx="38">
                  <c:v>292.19008273113428</c:v>
                </c:pt>
                <c:pt idx="39">
                  <c:v>305.06154616178645</c:v>
                </c:pt>
                <c:pt idx="40">
                  <c:v>317.92093705953039</c:v>
                </c:pt>
                <c:pt idx="41">
                  <c:v>289.42168537152969</c:v>
                </c:pt>
                <c:pt idx="42">
                  <c:v>313.30199011471774</c:v>
                </c:pt>
                <c:pt idx="43">
                  <c:v>337.14193807260898</c:v>
                </c:pt>
                <c:pt idx="44">
                  <c:v>360.94478222068818</c:v>
                </c:pt>
                <c:pt idx="45">
                  <c:v>384.71331160080985</c:v>
                </c:pt>
                <c:pt idx="46">
                  <c:v>408.4499426558944</c:v>
                </c:pt>
                <c:pt idx="47">
                  <c:v>432.15678821262304</c:v>
                </c:pt>
                <c:pt idx="48">
                  <c:v>455.83571053274005</c:v>
                </c:pt>
                <c:pt idx="49">
                  <c:v>479.48836276507285</c:v>
                </c:pt>
                <c:pt idx="50">
                  <c:v>503.11622179266811</c:v>
                </c:pt>
                <c:pt idx="51">
                  <c:v>453.99152062774857</c:v>
                </c:pt>
                <c:pt idx="52">
                  <c:v>473.13318716770459</c:v>
                </c:pt>
                <c:pt idx="53">
                  <c:v>492.25837511593357</c:v>
                </c:pt>
                <c:pt idx="54">
                  <c:v>511.36781437723607</c:v>
                </c:pt>
                <c:pt idx="55">
                  <c:v>530.46217589177934</c:v>
                </c:pt>
                <c:pt idx="56">
                  <c:v>549.54207839275125</c:v>
                </c:pt>
                <c:pt idx="57">
                  <c:v>568.60809417712835</c:v>
                </c:pt>
                <c:pt idx="58">
                  <c:v>587.66075406259267</c:v>
                </c:pt>
                <c:pt idx="59">
                  <c:v>606.70055166855502</c:v>
                </c:pt>
                <c:pt idx="60">
                  <c:v>625.72794713217775</c:v>
                </c:pt>
                <c:pt idx="61">
                  <c:v>552.93905173231428</c:v>
                </c:pt>
                <c:pt idx="62">
                  <c:v>567.62789055825874</c:v>
                </c:pt>
                <c:pt idx="63">
                  <c:v>582.30878641286779</c:v>
                </c:pt>
                <c:pt idx="64">
                  <c:v>596.98196766472495</c:v>
                </c:pt>
                <c:pt idx="65">
                  <c:v>611.64765054663462</c:v>
                </c:pt>
                <c:pt idx="66">
                  <c:v>626.30604008207854</c:v>
                </c:pt>
                <c:pt idx="67">
                  <c:v>640.95733092047624</c:v>
                </c:pt>
                <c:pt idx="68">
                  <c:v>655.60170809214844</c:v>
                </c:pt>
                <c:pt idx="69">
                  <c:v>670.23934769235814</c:v>
                </c:pt>
                <c:pt idx="70">
                  <c:v>684.87041750252865</c:v>
                </c:pt>
                <c:pt idx="71">
                  <c:v>588.24170448623534</c:v>
                </c:pt>
                <c:pt idx="72">
                  <c:v>601.18800058986642</c:v>
                </c:pt>
                <c:pt idx="73">
                  <c:v>614.1285041485761</c:v>
                </c:pt>
                <c:pt idx="74">
                  <c:v>627.06335436950064</c:v>
                </c:pt>
                <c:pt idx="75">
                  <c:v>639.99268425091282</c:v>
                </c:pt>
                <c:pt idx="76">
                  <c:v>652.91662098160305</c:v>
                </c:pt>
                <c:pt idx="77">
                  <c:v>665.83528630701528</c:v>
                </c:pt>
                <c:pt idx="78">
                  <c:v>678.7487968655031</c:v>
                </c:pt>
                <c:pt idx="79">
                  <c:v>691.65726449767988</c:v>
                </c:pt>
                <c:pt idx="80">
                  <c:v>704.56079653149027</c:v>
                </c:pt>
                <c:pt idx="81">
                  <c:v>582.19638797457594</c:v>
                </c:pt>
                <c:pt idx="82">
                  <c:v>593.6220468508692</c:v>
                </c:pt>
                <c:pt idx="83">
                  <c:v>605.04313056757417</c:v>
                </c:pt>
                <c:pt idx="84">
                  <c:v>616.45973763797804</c:v>
                </c:pt>
                <c:pt idx="85">
                  <c:v>627.87196262998566</c:v>
                </c:pt>
                <c:pt idx="86">
                  <c:v>639.2798963944789</c:v>
                </c:pt>
                <c:pt idx="87">
                  <c:v>650.68362627653789</c:v>
                </c:pt>
                <c:pt idx="88">
                  <c:v>662.08323631108567</c:v>
                </c:pt>
                <c:pt idx="89">
                  <c:v>673.47880740437051</c:v>
                </c:pt>
                <c:pt idx="90">
                  <c:v>684.87041750252899</c:v>
                </c:pt>
                <c:pt idx="91">
                  <c:v>534.16258086091295</c:v>
                </c:pt>
                <c:pt idx="92">
                  <c:v>542.14767992558245</c:v>
                </c:pt>
                <c:pt idx="93">
                  <c:v>550.13030966459814</c:v>
                </c:pt>
                <c:pt idx="94">
                  <c:v>558.11051096895346</c:v>
                </c:pt>
                <c:pt idx="95">
                  <c:v>566.08832346468841</c:v>
                </c:pt>
                <c:pt idx="96">
                  <c:v>574.06378556968036</c:v>
                </c:pt>
                <c:pt idx="97">
                  <c:v>582.03693454711674</c:v>
                </c:pt>
                <c:pt idx="98">
                  <c:v>590.00780655588483</c:v>
                </c:pt>
                <c:pt idx="99">
                  <c:v>597.97643669809679</c:v>
                </c:pt>
                <c:pt idx="100">
                  <c:v>605.94285906394998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6194176"/>
        <c:axId val="-56193632"/>
      </c:scatterChart>
      <c:valAx>
        <c:axId val="-56194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193632"/>
        <c:crosses val="autoZero"/>
        <c:crossBetween val="midCat"/>
      </c:valAx>
      <c:valAx>
        <c:axId val="-5619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194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2.8570438485924678</c:v>
                </c:pt>
                <c:pt idx="2">
                  <c:v>3.3655409320230496</c:v>
                </c:pt>
                <c:pt idx="3">
                  <c:v>3.9648711712921583</c:v>
                </c:pt>
                <c:pt idx="4">
                  <c:v>4.6713159255511032</c:v>
                </c:pt>
                <c:pt idx="5">
                  <c:v>5.5040842714494636</c:v>
                </c:pt>
                <c:pt idx="6">
                  <c:v>6.4858410348683284</c:v>
                </c:pt>
                <c:pt idx="7">
                  <c:v>7.6433303182525583</c:v>
                </c:pt>
                <c:pt idx="8">
                  <c:v>9.008111837685016</c:v>
                </c:pt>
                <c:pt idx="9">
                  <c:v>10.617430530273511</c:v>
                </c:pt>
                <c:pt idx="10">
                  <c:v>12.51524361183359</c:v>
                </c:pt>
                <c:pt idx="11">
                  <c:v>14.753433661788458</c:v>
                </c:pt>
                <c:pt idx="12">
                  <c:v>17.393241510319466</c:v>
                </c:pt>
                <c:pt idx="13">
                  <c:v>20.506958848338215</c:v>
                </c:pt>
                <c:pt idx="14">
                  <c:v>24.179927746808428</c:v>
                </c:pt>
                <c:pt idx="15">
                  <c:v>28.512902862953961</c:v>
                </c:pt>
                <c:pt idx="16">
                  <c:v>33.624842269016021</c:v>
                </c:pt>
                <c:pt idx="17">
                  <c:v>39.656204850824899</c:v>
                </c:pt>
                <c:pt idx="18">
                  <c:v>46.772846427294837</c:v>
                </c:pt>
                <c:pt idx="19">
                  <c:v>55.170623538812009</c:v>
                </c:pt>
                <c:pt idx="20">
                  <c:v>65.080833716519777</c:v>
                </c:pt>
                <c:pt idx="21">
                  <c:v>76.776644536700402</c:v>
                </c:pt>
                <c:pt idx="22">
                  <c:v>90.5806915485487</c:v>
                </c:pt>
                <c:pt idx="23">
                  <c:v>106.87405802497348</c:v>
                </c:pt>
                <c:pt idx="24">
                  <c:v>126.10688835389209</c:v>
                </c:pt>
                <c:pt idx="25">
                  <c:v>148.81093286135922</c:v>
                </c:pt>
                <c:pt idx="26">
                  <c:v>146.73924981884886</c:v>
                </c:pt>
                <c:pt idx="27">
                  <c:v>161.22694253209136</c:v>
                </c:pt>
                <c:pt idx="28">
                  <c:v>175.68381249632054</c:v>
                </c:pt>
                <c:pt idx="29">
                  <c:v>190.1127547666068</c:v>
                </c:pt>
                <c:pt idx="30">
                  <c:v>204.51618846220967</c:v>
                </c:pt>
                <c:pt idx="31">
                  <c:v>177.74673882318049</c:v>
                </c:pt>
                <c:pt idx="32">
                  <c:v>194.23052863625435</c:v>
                </c:pt>
                <c:pt idx="33">
                  <c:v>210.68179897079304</c:v>
                </c:pt>
                <c:pt idx="34">
                  <c:v>227.10344715858119</c:v>
                </c:pt>
                <c:pt idx="35">
                  <c:v>243.49791694752579</c:v>
                </c:pt>
                <c:pt idx="36">
                  <c:v>217.66446793584763</c:v>
                </c:pt>
                <c:pt idx="37">
                  <c:v>234.89407374203219</c:v>
                </c:pt>
                <c:pt idx="38">
                  <c:v>252.09484919970498</c:v>
                </c:pt>
                <c:pt idx="39">
                  <c:v>269.26903825113033</c:v>
                </c:pt>
                <c:pt idx="40">
                  <c:v>286.4185751166749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329.19511576502646</c:v>
                </c:pt>
                <c:pt idx="46">
                  <c:v>303.13762323931286</c:v>
                </c:pt>
                <c:pt idx="47">
                  <c:v>319.83616118961032</c:v>
                </c:pt>
                <c:pt idx="48">
                  <c:v>336.51541035034978</c:v>
                </c:pt>
                <c:pt idx="49">
                  <c:v>353.17646115055004</c:v>
                </c:pt>
                <c:pt idx="50">
                  <c:v>369.82029275047876</c:v>
                </c:pt>
                <c:pt idx="51">
                  <c:v>343.42580104652302</c:v>
                </c:pt>
                <c:pt idx="52">
                  <c:v>359.67361293503609</c:v>
                </c:pt>
                <c:pt idx="53">
                  <c:v>375.9053740333265</c:v>
                </c:pt>
                <c:pt idx="54">
                  <c:v>392.12187483767121</c:v>
                </c:pt>
                <c:pt idx="55">
                  <c:v>408.32383513861078</c:v>
                </c:pt>
                <c:pt idx="56">
                  <c:v>381.17737444442338</c:v>
                </c:pt>
                <c:pt idx="57">
                  <c:v>396.57883448700221</c:v>
                </c:pt>
                <c:pt idx="58">
                  <c:v>411.96734072289183</c:v>
                </c:pt>
                <c:pt idx="59">
                  <c:v>427.34344505663171</c:v>
                </c:pt>
                <c:pt idx="60">
                  <c:v>442.70765644555928</c:v>
                </c:pt>
                <c:pt idx="61">
                  <c:v>414.80069721135334</c:v>
                </c:pt>
                <c:pt idx="62">
                  <c:v>429.36572078685384</c:v>
                </c:pt>
                <c:pt idx="63">
                  <c:v>443.9201281174773</c:v>
                </c:pt>
                <c:pt idx="64">
                  <c:v>458.46431622225504</c:v>
                </c:pt>
                <c:pt idx="65">
                  <c:v>472.99865488119258</c:v>
                </c:pt>
                <c:pt idx="66">
                  <c:v>444.32426956358057</c:v>
                </c:pt>
                <c:pt idx="67">
                  <c:v>458.06044564731332</c:v>
                </c:pt>
                <c:pt idx="68">
                  <c:v>471.78782761031488</c:v>
                </c:pt>
                <c:pt idx="69">
                  <c:v>485.50670733159899</c:v>
                </c:pt>
                <c:pt idx="70">
                  <c:v>499.2173588530552</c:v>
                </c:pt>
                <c:pt idx="71">
                  <c:v>469.36597432654622</c:v>
                </c:pt>
                <c:pt idx="72">
                  <c:v>481.87605086617651</c:v>
                </c:pt>
                <c:pt idx="73">
                  <c:v>494.37922843874412</c:v>
                </c:pt>
                <c:pt idx="74">
                  <c:v>506.87570609003552</c:v>
                </c:pt>
                <c:pt idx="75">
                  <c:v>519.36567225225349</c:v>
                </c:pt>
                <c:pt idx="76">
                  <c:v>489.13678734186618</c:v>
                </c:pt>
                <c:pt idx="77">
                  <c:v>501.23295290548805</c:v>
                </c:pt>
                <c:pt idx="78">
                  <c:v>513.32294183422573</c:v>
                </c:pt>
                <c:pt idx="79">
                  <c:v>525.40692008667054</c:v>
                </c:pt>
                <c:pt idx="80">
                  <c:v>537.48504536607982</c:v>
                </c:pt>
                <c:pt idx="81">
                  <c:v>506.87570609003546</c:v>
                </c:pt>
                <c:pt idx="82">
                  <c:v>518.56006095402688</c:v>
                </c:pt>
                <c:pt idx="83">
                  <c:v>530.23886398734817</c:v>
                </c:pt>
                <c:pt idx="84">
                  <c:v>541.91225469196922</c:v>
                </c:pt>
                <c:pt idx="85">
                  <c:v>553.58036607052361</c:v>
                </c:pt>
                <c:pt idx="86">
                  <c:v>522.18510454563477</c:v>
                </c:pt>
                <c:pt idx="87">
                  <c:v>533.05706938142669</c:v>
                </c:pt>
                <c:pt idx="88">
                  <c:v>543.92437106523562</c:v>
                </c:pt>
                <c:pt idx="89">
                  <c:v>554.78711589011334</c:v>
                </c:pt>
                <c:pt idx="90">
                  <c:v>565.64540564760955</c:v>
                </c:pt>
                <c:pt idx="91">
                  <c:v>533.25835775155974</c:v>
                </c:pt>
                <c:pt idx="92">
                  <c:v>543.11954330395054</c:v>
                </c:pt>
                <c:pt idx="93">
                  <c:v>552.97697049424903</c:v>
                </c:pt>
                <c:pt idx="94">
                  <c:v>562.8307157648976</c:v>
                </c:pt>
                <c:pt idx="95">
                  <c:v>572.6808526634677</c:v>
                </c:pt>
                <c:pt idx="96">
                  <c:v>582.52745200125833</c:v>
                </c:pt>
                <c:pt idx="97">
                  <c:v>592.37058200061415</c:v>
                </c:pt>
                <c:pt idx="98">
                  <c:v>602.21030843194558</c:v>
                </c:pt>
                <c:pt idx="99">
                  <c:v>612.04669474132913</c:v>
                </c:pt>
                <c:pt idx="100">
                  <c:v>621.87980216948029</c:v>
                </c:pt>
                <c:pt idx="101">
                  <c:v>546.33870450994289</c:v>
                </c:pt>
                <c:pt idx="102">
                  <c:v>555.1893536017775</c:v>
                </c:pt>
                <c:pt idx="103">
                  <c:v>564.0370473975189</c:v>
                </c:pt>
                <c:pt idx="104">
                  <c:v>572.88183879502333</c:v>
                </c:pt>
                <c:pt idx="105">
                  <c:v>581.72377892544921</c:v>
                </c:pt>
                <c:pt idx="106">
                  <c:v>590.56291723879542</c:v>
                </c:pt>
                <c:pt idx="107">
                  <c:v>599.39930158405252</c:v>
                </c:pt>
                <c:pt idx="108">
                  <c:v>608.23297828438092</c:v>
                </c:pt>
                <c:pt idx="109">
                  <c:v>617.06399220769788</c:v>
                </c:pt>
                <c:pt idx="110">
                  <c:v>625.8923868330113</c:v>
                </c:pt>
                <c:pt idx="111">
                  <c:v>554.98823550946861</c:v>
                </c:pt>
                <c:pt idx="112">
                  <c:v>562.42859320508342</c:v>
                </c:pt>
                <c:pt idx="113">
                  <c:v>569.86689185785474</c:v>
                </c:pt>
                <c:pt idx="114">
                  <c:v>577.30316213955803</c:v>
                </c:pt>
                <c:pt idx="115">
                  <c:v>584.73743386720651</c:v>
                </c:pt>
                <c:pt idx="116">
                  <c:v>592.16973603767042</c:v>
                </c:pt>
                <c:pt idx="117">
                  <c:v>599.6000968604709</c:v>
                </c:pt>
                <c:pt idx="118">
                  <c:v>607.02854378886116</c:v>
                </c:pt>
                <c:pt idx="119">
                  <c:v>614.455103549309</c:v>
                </c:pt>
                <c:pt idx="120">
                  <c:v>621.8798021694796</c:v>
                </c:pt>
                <c:pt idx="121">
                  <c:v>558.00484690701069</c:v>
                </c:pt>
                <c:pt idx="122">
                  <c:v>564.43914594243324</c:v>
                </c:pt>
                <c:pt idx="123">
                  <c:v>570.87191111087338</c:v>
                </c:pt>
                <c:pt idx="124">
                  <c:v>577.30316213955791</c:v>
                </c:pt>
                <c:pt idx="125">
                  <c:v>583.73291828020763</c:v>
                </c:pt>
                <c:pt idx="126">
                  <c:v>590.16119832572406</c:v>
                </c:pt>
                <c:pt idx="127">
                  <c:v>596.5880206261121</c:v>
                </c:pt>
                <c:pt idx="128">
                  <c:v>603.01340310368084</c:v>
                </c:pt>
                <c:pt idx="129">
                  <c:v>609.437363267563</c:v>
                </c:pt>
                <c:pt idx="130">
                  <c:v>615.85991822758945</c:v>
                </c:pt>
                <c:pt idx="131">
                  <c:v>559.01030805396135</c:v>
                </c:pt>
                <c:pt idx="132">
                  <c:v>564.43914594243313</c:v>
                </c:pt>
                <c:pt idx="133">
                  <c:v>569.8668918578544</c:v>
                </c:pt>
                <c:pt idx="134">
                  <c:v>575.29355767229697</c:v>
                </c:pt>
                <c:pt idx="135">
                  <c:v>580.7191550154987</c:v>
                </c:pt>
                <c:pt idx="136">
                  <c:v>586.14369528207533</c:v>
                </c:pt>
                <c:pt idx="137">
                  <c:v>591.56718963845572</c:v>
                </c:pt>
                <c:pt idx="138">
                  <c:v>596.98964902954754</c:v>
                </c:pt>
                <c:pt idx="139">
                  <c:v>602.41108418514727</c:v>
                </c:pt>
                <c:pt idx="140">
                  <c:v>607.83150562610911</c:v>
                </c:pt>
                <c:pt idx="141">
                  <c:v>558.40703591428735</c:v>
                </c:pt>
                <c:pt idx="142">
                  <c:v>563.23283231363996</c:v>
                </c:pt>
                <c:pt idx="143">
                  <c:v>568.05776381181806</c:v>
                </c:pt>
                <c:pt idx="144">
                  <c:v>572.88183879502219</c:v>
                </c:pt>
                <c:pt idx="145">
                  <c:v>577.705065496629</c:v>
                </c:pt>
                <c:pt idx="146">
                  <c:v>582.52745200125673</c:v>
                </c:pt>
                <c:pt idx="147">
                  <c:v>587.34900624869056</c:v>
                </c:pt>
                <c:pt idx="148">
                  <c:v>592.16973603766962</c:v>
                </c:pt>
                <c:pt idx="149">
                  <c:v>596.98964902954719</c:v>
                </c:pt>
                <c:pt idx="150">
                  <c:v>601.80875275182416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6192544"/>
        <c:axId val="-56191456"/>
      </c:scatterChart>
      <c:valAx>
        <c:axId val="-56192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191456"/>
        <c:crosses val="autoZero"/>
        <c:crossBetween val="midCat"/>
      </c:valAx>
      <c:valAx>
        <c:axId val="-5619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192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6196896"/>
        <c:axId val="-56196352"/>
      </c:scatterChart>
      <c:valAx>
        <c:axId val="-56196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196352"/>
        <c:crosses val="autoZero"/>
        <c:crossBetween val="midCat"/>
      </c:valAx>
      <c:valAx>
        <c:axId val="-5619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196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2.2752837269698736</c:v>
                </c:pt>
                <c:pt idx="2">
                  <c:v>3.0576806410540969</c:v>
                </c:pt>
                <c:pt idx="3">
                  <c:v>4.1102409881194104</c:v>
                </c:pt>
                <c:pt idx="4">
                  <c:v>5.5266176914312695</c:v>
                </c:pt>
                <c:pt idx="5">
                  <c:v>7.4330468611638247</c:v>
                </c:pt>
                <c:pt idx="6">
                  <c:v>9.9997220484634344</c:v>
                </c:pt>
                <c:pt idx="7">
                  <c:v>13.456151306856443</c:v>
                </c:pt>
                <c:pt idx="8">
                  <c:v>18.11189560109187</c:v>
                </c:pt>
                <c:pt idx="9">
                  <c:v>24.384579444694893</c:v>
                </c:pt>
                <c:pt idx="10">
                  <c:v>32.837730710727023</c:v>
                </c:pt>
                <c:pt idx="11">
                  <c:v>44.231907769696647</c:v>
                </c:pt>
                <c:pt idx="12">
                  <c:v>59.593791646741245</c:v>
                </c:pt>
                <c:pt idx="13">
                  <c:v>80.309571418058368</c:v>
                </c:pt>
                <c:pt idx="14">
                  <c:v>108.25118518682309</c:v>
                </c:pt>
                <c:pt idx="15">
                  <c:v>145.94700341856088</c:v>
                </c:pt>
                <c:pt idx="16">
                  <c:v>130.89280964301921</c:v>
                </c:pt>
                <c:pt idx="17">
                  <c:v>144.41359666827748</c:v>
                </c:pt>
                <c:pt idx="18">
                  <c:v>157.90408608793564</c:v>
                </c:pt>
                <c:pt idx="19">
                  <c:v>171.36723306343598</c:v>
                </c:pt>
                <c:pt idx="20">
                  <c:v>184.80548972414252</c:v>
                </c:pt>
                <c:pt idx="21">
                  <c:v>198.22092196825031</c:v>
                </c:pt>
                <c:pt idx="22">
                  <c:v>211.61529289967572</c:v>
                </c:pt>
                <c:pt idx="23">
                  <c:v>224.99012398515359</c:v>
                </c:pt>
                <c:pt idx="24">
                  <c:v>238.3467408796491</c:v>
                </c:pt>
                <c:pt idx="25">
                  <c:v>251.68630842543334</c:v>
                </c:pt>
                <c:pt idx="26">
                  <c:v>227.54978126937522</c:v>
                </c:pt>
                <c:pt idx="27">
                  <c:v>244.38857854162791</c:v>
                </c:pt>
                <c:pt idx="28">
                  <c:v>261.20101234521547</c:v>
                </c:pt>
                <c:pt idx="29">
                  <c:v>277.98901838300623</c:v>
                </c:pt>
                <c:pt idx="30">
                  <c:v>294.75427939915829</c:v>
                </c:pt>
                <c:pt idx="31">
                  <c:v>311.49827104877619</c:v>
                </c:pt>
                <c:pt idx="32">
                  <c:v>328.2222973801135</c:v>
                </c:pt>
                <c:pt idx="33">
                  <c:v>344.9275187017883</c:v>
                </c:pt>
                <c:pt idx="34">
                  <c:v>361.61497376640023</c:v>
                </c:pt>
                <c:pt idx="35">
                  <c:v>378.28559764379855</c:v>
                </c:pt>
                <c:pt idx="36">
                  <c:v>336.78141249555159</c:v>
                </c:pt>
                <c:pt idx="37">
                  <c:v>356.93340847445961</c:v>
                </c:pt>
                <c:pt idx="38">
                  <c:v>377.06050520976282</c:v>
                </c:pt>
                <c:pt idx="39">
                  <c:v>397.16421804474311</c:v>
                </c:pt>
                <c:pt idx="40">
                  <c:v>417.2458964618491</c:v>
                </c:pt>
                <c:pt idx="41">
                  <c:v>437.30674950985781</c:v>
                </c:pt>
                <c:pt idx="42">
                  <c:v>457.34786632183381</c:v>
                </c:pt>
                <c:pt idx="43">
                  <c:v>477.37023284953779</c:v>
                </c:pt>
                <c:pt idx="44">
                  <c:v>497.37474564451827</c:v>
                </c:pt>
                <c:pt idx="45">
                  <c:v>517.36222330724979</c:v>
                </c:pt>
                <c:pt idx="46">
                  <c:v>455.86400838849016</c:v>
                </c:pt>
                <c:pt idx="47">
                  <c:v>478.7566120372976</c:v>
                </c:pt>
                <c:pt idx="48">
                  <c:v>501.62595115527165</c:v>
                </c:pt>
                <c:pt idx="49">
                  <c:v>524.47323457578216</c:v>
                </c:pt>
                <c:pt idx="50">
                  <c:v>547.29955731854454</c:v>
                </c:pt>
                <c:pt idx="51">
                  <c:v>570.10591570080203</c:v>
                </c:pt>
                <c:pt idx="52">
                  <c:v>592.89321990600638</c:v>
                </c:pt>
                <c:pt idx="53">
                  <c:v>615.66230452094658</c:v>
                </c:pt>
                <c:pt idx="54">
                  <c:v>638.41393743413596</c:v>
                </c:pt>
                <c:pt idx="55">
                  <c:v>661.14882740076098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6330112"/>
        <c:axId val="-56329024"/>
      </c:scatterChart>
      <c:valAx>
        <c:axId val="-56330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329024"/>
        <c:crosses val="autoZero"/>
        <c:crossBetween val="midCat"/>
      </c:valAx>
      <c:valAx>
        <c:axId val="-563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330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5.1599883092445076</c:v>
                </c:pt>
                <c:pt idx="2">
                  <c:v>10.082132218883183</c:v>
                </c:pt>
                <c:pt idx="3">
                  <c:v>14.927464326491176</c:v>
                </c:pt>
                <c:pt idx="4">
                  <c:v>19.72544785211397</c:v>
                </c:pt>
                <c:pt idx="5">
                  <c:v>24.489436492944403</c:v>
                </c:pt>
                <c:pt idx="6">
                  <c:v>29.227047755393698</c:v>
                </c:pt>
                <c:pt idx="7">
                  <c:v>33.943192351309982</c:v>
                </c:pt>
                <c:pt idx="8">
                  <c:v>38.641290785370288</c:v>
                </c:pt>
                <c:pt idx="9">
                  <c:v>43.32385717202451</c:v>
                </c:pt>
                <c:pt idx="10">
                  <c:v>47.992814157877746</c:v>
                </c:pt>
                <c:pt idx="11">
                  <c:v>52.649677608529935</c:v>
                </c:pt>
                <c:pt idx="12">
                  <c:v>57.295671969460251</c:v>
                </c:pt>
                <c:pt idx="13">
                  <c:v>61.931805974726849</c:v>
                </c:pt>
                <c:pt idx="14">
                  <c:v>66.55892435275031</c:v>
                </c:pt>
                <c:pt idx="15">
                  <c:v>71.177744318420352</c:v>
                </c:pt>
                <c:pt idx="16">
                  <c:v>75.78888204782028</c:v>
                </c:pt>
                <c:pt idx="17">
                  <c:v>80.392872341725024</c:v>
                </c:pt>
                <c:pt idx="18">
                  <c:v>84.990183528902335</c:v>
                </c:pt>
                <c:pt idx="19">
                  <c:v>89.581228962621935</c:v>
                </c:pt>
                <c:pt idx="20">
                  <c:v>94.16637602780041</c:v>
                </c:pt>
                <c:pt idx="21">
                  <c:v>98.745953295523933</c:v>
                </c:pt>
                <c:pt idx="22">
                  <c:v>103.32025627619272</c:v>
                </c:pt>
                <c:pt idx="23">
                  <c:v>107.88955209707041</c:v>
                </c:pt>
                <c:pt idx="24">
                  <c:v>112.45408334339265</c:v>
                </c:pt>
                <c:pt idx="25">
                  <c:v>117.01407124125171</c:v>
                </c:pt>
                <c:pt idx="26">
                  <c:v>121.56971831688406</c:v>
                </c:pt>
                <c:pt idx="27">
                  <c:v>126.12121063532989</c:v>
                </c:pt>
                <c:pt idx="28">
                  <c:v>130.66871969811555</c:v>
                </c:pt>
                <c:pt idx="29">
                  <c:v>135.21240406222077</c:v>
                </c:pt>
                <c:pt idx="30">
                  <c:v>139.75241072946582</c:v>
                </c:pt>
                <c:pt idx="31">
                  <c:v>144.28887634544367</c:v>
                </c:pt>
                <c:pt idx="32">
                  <c:v>148.82192823940537</c:v>
                </c:pt>
                <c:pt idx="33">
                  <c:v>153.35168533050771</c:v>
                </c:pt>
                <c:pt idx="34">
                  <c:v>157.8782589211271</c:v>
                </c:pt>
                <c:pt idx="35">
                  <c:v>162.40175339421916</c:v>
                </c:pt>
                <c:pt idx="36">
                  <c:v>166.92226682874025</c:v>
                </c:pt>
                <c:pt idx="37">
                  <c:v>171.43989154476654</c:v>
                </c:pt>
                <c:pt idx="38">
                  <c:v>175.95471458802356</c:v>
                </c:pt>
                <c:pt idx="39">
                  <c:v>180.46681816197852</c:v>
                </c:pt>
                <c:pt idx="40">
                  <c:v>184.97628001436814</c:v>
                </c:pt>
                <c:pt idx="41">
                  <c:v>189.48317378398531</c:v>
                </c:pt>
                <c:pt idx="42">
                  <c:v>193.98756931268107</c:v>
                </c:pt>
                <c:pt idx="43">
                  <c:v>153.99280708740017</c:v>
                </c:pt>
                <c:pt idx="44">
                  <c:v>164.36233655358424</c:v>
                </c:pt>
                <c:pt idx="45">
                  <c:v>174.71640889684613</c:v>
                </c:pt>
                <c:pt idx="46">
                  <c:v>185.05607015851481</c:v>
                </c:pt>
                <c:pt idx="47">
                  <c:v>195.3822397866102</c:v>
                </c:pt>
                <c:pt idx="48">
                  <c:v>205.69573198483525</c:v>
                </c:pt>
                <c:pt idx="49">
                  <c:v>168.42179443808249</c:v>
                </c:pt>
                <c:pt idx="50">
                  <c:v>178.07134474332108</c:v>
                </c:pt>
                <c:pt idx="51">
                  <c:v>187.70863707245701</c:v>
                </c:pt>
                <c:pt idx="52">
                  <c:v>197.3343901571734</c:v>
                </c:pt>
                <c:pt idx="53">
                  <c:v>206.94924679590613</c:v>
                </c:pt>
                <c:pt idx="54">
                  <c:v>216.55378510897995</c:v>
                </c:pt>
                <c:pt idx="55">
                  <c:v>226.14852768950928</c:v>
                </c:pt>
                <c:pt idx="56">
                  <c:v>235.73394911793238</c:v>
                </c:pt>
                <c:pt idx="57">
                  <c:v>186.66167644303536</c:v>
                </c:pt>
                <c:pt idx="58">
                  <c:v>197.75264958688945</c:v>
                </c:pt>
                <c:pt idx="59">
                  <c:v>208.829190382782</c:v>
                </c:pt>
                <c:pt idx="60">
                  <c:v>219.89217279584656</c:v>
                </c:pt>
                <c:pt idx="61">
                  <c:v>230.94237558413712</c:v>
                </c:pt>
                <c:pt idx="62">
                  <c:v>241.98049682860923</c:v>
                </c:pt>
                <c:pt idx="63">
                  <c:v>253.00716566985147</c:v>
                </c:pt>
                <c:pt idx="64">
                  <c:v>264.02295188940849</c:v>
                </c:pt>
                <c:pt idx="65">
                  <c:v>205.27785450969648</c:v>
                </c:pt>
                <c:pt idx="66">
                  <c:v>214.88414831813779</c:v>
                </c:pt>
                <c:pt idx="67">
                  <c:v>224.48055915021368</c:v>
                </c:pt>
                <c:pt idx="68">
                  <c:v>234.06756945668585</c:v>
                </c:pt>
                <c:pt idx="69">
                  <c:v>243.64561889961655</c:v>
                </c:pt>
                <c:pt idx="70">
                  <c:v>253.21510971702904</c:v>
                </c:pt>
                <c:pt idx="71">
                  <c:v>262.7764112333046</c:v>
                </c:pt>
                <c:pt idx="72">
                  <c:v>272.32986367813226</c:v>
                </c:pt>
                <c:pt idx="73">
                  <c:v>227.21402656262276</c:v>
                </c:pt>
                <c:pt idx="74">
                  <c:v>235.36366582810683</c:v>
                </c:pt>
                <c:pt idx="75">
                  <c:v>243.5068686389819</c:v>
                </c:pt>
                <c:pt idx="76">
                  <c:v>251.64388084008013</c:v>
                </c:pt>
                <c:pt idx="77">
                  <c:v>259.77493106080311</c:v>
                </c:pt>
                <c:pt idx="78">
                  <c:v>267.90023243367546</c:v>
                </c:pt>
                <c:pt idx="79">
                  <c:v>276.01998409329258</c:v>
                </c:pt>
                <c:pt idx="80">
                  <c:v>284.13437248949543</c:v>
                </c:pt>
                <c:pt idx="81">
                  <c:v>292.24357254255864</c:v>
                </c:pt>
                <c:pt idx="82">
                  <c:v>248.68566880257413</c:v>
                </c:pt>
                <c:pt idx="83">
                  <c:v>256.63408176944137</c:v>
                </c:pt>
                <c:pt idx="84">
                  <c:v>264.57692729508079</c:v>
                </c:pt>
                <c:pt idx="85">
                  <c:v>272.51439627621914</c:v>
                </c:pt>
                <c:pt idx="86">
                  <c:v>280.44666756915268</c:v>
                </c:pt>
                <c:pt idx="87">
                  <c:v>288.37390907578384</c:v>
                </c:pt>
                <c:pt idx="88">
                  <c:v>296.29627870388862</c:v>
                </c:pt>
                <c:pt idx="89">
                  <c:v>304.21392521922411</c:v>
                </c:pt>
                <c:pt idx="90">
                  <c:v>312.12698900421793</c:v>
                </c:pt>
                <c:pt idx="91">
                  <c:v>270.25367761689517</c:v>
                </c:pt>
                <c:pt idx="92">
                  <c:v>278.14130055367315</c:v>
                </c:pt>
                <c:pt idx="93">
                  <c:v>286.02390484535323</c:v>
                </c:pt>
                <c:pt idx="94">
                  <c:v>293.90164845238678</c:v>
                </c:pt>
                <c:pt idx="95">
                  <c:v>301.7746801674329</c:v>
                </c:pt>
                <c:pt idx="96">
                  <c:v>309.64314037802706</c:v>
                </c:pt>
                <c:pt idx="97">
                  <c:v>317.50716174761419</c:v>
                </c:pt>
                <c:pt idx="98">
                  <c:v>325.36686982553408</c:v>
                </c:pt>
                <c:pt idx="99">
                  <c:v>333.22238359494423</c:v>
                </c:pt>
                <c:pt idx="100">
                  <c:v>341.07381596633996</c:v>
                </c:pt>
                <c:pt idx="101">
                  <c:v>348.92127422322795</c:v>
                </c:pt>
                <c:pt idx="102">
                  <c:v>356.7648604255873</c:v>
                </c:pt>
                <c:pt idx="103">
                  <c:v>296.52650880215845</c:v>
                </c:pt>
                <c:pt idx="104">
                  <c:v>304.1218861603906</c:v>
                </c:pt>
                <c:pt idx="105">
                  <c:v>311.71304479765791</c:v>
                </c:pt>
                <c:pt idx="106">
                  <c:v>319.30010204570368</c:v>
                </c:pt>
                <c:pt idx="107">
                  <c:v>326.88316919981963</c:v>
                </c:pt>
                <c:pt idx="108">
                  <c:v>334.4623519653349</c:v>
                </c:pt>
                <c:pt idx="109">
                  <c:v>342.03775086149125</c:v>
                </c:pt>
                <c:pt idx="110">
                  <c:v>349.60946158764392</c:v>
                </c:pt>
                <c:pt idx="111">
                  <c:v>357.17757535606285</c:v>
                </c:pt>
                <c:pt idx="112">
                  <c:v>364.7421791950357</c:v>
                </c:pt>
                <c:pt idx="113">
                  <c:v>372.30335622549779</c:v>
                </c:pt>
                <c:pt idx="114">
                  <c:v>379.86118591400509</c:v>
                </c:pt>
                <c:pt idx="115">
                  <c:v>326.33180562797025</c:v>
                </c:pt>
                <c:pt idx="116">
                  <c:v>333.91126744474906</c:v>
                </c:pt>
                <c:pt idx="117">
                  <c:v>341.48693824841212</c:v>
                </c:pt>
                <c:pt idx="118">
                  <c:v>349.05891407725039</c:v>
                </c:pt>
                <c:pt idx="119">
                  <c:v>356.62728645930866</c:v>
                </c:pt>
                <c:pt idx="120">
                  <c:v>364.19214271753418</c:v>
                </c:pt>
                <c:pt idx="121">
                  <c:v>371.75356624823348</c:v>
                </c:pt>
                <c:pt idx="122">
                  <c:v>379.31163677567798</c:v>
                </c:pt>
                <c:pt idx="123">
                  <c:v>386.86643058534673</c:v>
                </c:pt>
                <c:pt idx="124">
                  <c:v>394.41802073798885</c:v>
                </c:pt>
                <c:pt idx="125">
                  <c:v>401.96647726643005</c:v>
                </c:pt>
                <c:pt idx="126">
                  <c:v>409.51186735681591</c:v>
                </c:pt>
                <c:pt idx="127">
                  <c:v>354.70112866153909</c:v>
                </c:pt>
                <c:pt idx="128">
                  <c:v>362.54192422951854</c:v>
                </c:pt>
                <c:pt idx="129">
                  <c:v>370.37901365578267</c:v>
                </c:pt>
                <c:pt idx="130">
                  <c:v>378.2124864803132</c:v>
                </c:pt>
                <c:pt idx="131">
                  <c:v>386.04242822867735</c:v>
                </c:pt>
                <c:pt idx="132">
                  <c:v>393.8689206715697</c:v>
                </c:pt>
                <c:pt idx="133">
                  <c:v>401.6920420626397</c:v>
                </c:pt>
                <c:pt idx="134">
                  <c:v>409.51186735681608</c:v>
                </c:pt>
                <c:pt idx="135">
                  <c:v>417.32846841107903</c:v>
                </c:pt>
                <c:pt idx="136">
                  <c:v>425.14191416939912</c:v>
                </c:pt>
                <c:pt idx="137">
                  <c:v>432.95227083336721</c:v>
                </c:pt>
                <c:pt idx="138">
                  <c:v>440.75960201986459</c:v>
                </c:pt>
                <c:pt idx="139">
                  <c:v>384.58659727728332</c:v>
                </c:pt>
                <c:pt idx="140">
                  <c:v>392.60592747932736</c:v>
                </c:pt>
                <c:pt idx="141">
                  <c:v>400.6217059675464</c:v>
                </c:pt>
                <c:pt idx="142">
                  <c:v>408.63401387290719</c:v>
                </c:pt>
                <c:pt idx="143">
                  <c:v>416.64292888331937</c:v>
                </c:pt>
                <c:pt idx="144">
                  <c:v>424.6485254545766</c:v>
                </c:pt>
                <c:pt idx="145">
                  <c:v>432.65087500455542</c:v>
                </c:pt>
                <c:pt idx="146">
                  <c:v>440.650046092293</c:v>
                </c:pt>
                <c:pt idx="147">
                  <c:v>448.64610458337773</c:v>
                </c:pt>
                <c:pt idx="148">
                  <c:v>456.63911380293342</c:v>
                </c:pt>
                <c:pt idx="149">
                  <c:v>464.62913467732864</c:v>
                </c:pt>
                <c:pt idx="150">
                  <c:v>472.61622586562953</c:v>
                </c:pt>
                <c:pt idx="151">
                  <c:v>480.60044388170064</c:v>
                </c:pt>
                <c:pt idx="152">
                  <c:v>488.58184320776718</c:v>
                </c:pt>
                <c:pt idx="153">
                  <c:v>496.5604764001705</c:v>
                </c:pt>
                <c:pt idx="154">
                  <c:v>3.036919790734272E-12</c:v>
                </c:pt>
                <c:pt idx="155">
                  <c:v>3.036919790734272E-12</c:v>
                </c:pt>
                <c:pt idx="156">
                  <c:v>3.036919790734272E-12</c:v>
                </c:pt>
                <c:pt idx="157">
                  <c:v>3.036919790734272E-12</c:v>
                </c:pt>
                <c:pt idx="158">
                  <c:v>3.036919790734272E-12</c:v>
                </c:pt>
                <c:pt idx="159">
                  <c:v>3.036919790734272E-12</c:v>
                </c:pt>
                <c:pt idx="160">
                  <c:v>3.036919790734272E-12</c:v>
                </c:pt>
                <c:pt idx="161">
                  <c:v>3.036919790734272E-12</c:v>
                </c:pt>
                <c:pt idx="162">
                  <c:v>3.036919790734272E-12</c:v>
                </c:pt>
                <c:pt idx="163">
                  <c:v>3.036919790734272E-12</c:v>
                </c:pt>
                <c:pt idx="164">
                  <c:v>3.036919790734272E-12</c:v>
                </c:pt>
                <c:pt idx="165">
                  <c:v>3.036919790734272E-12</c:v>
                </c:pt>
                <c:pt idx="166">
                  <c:v>3.036919790734272E-12</c:v>
                </c:pt>
                <c:pt idx="167">
                  <c:v>3.036919790734272E-12</c:v>
                </c:pt>
                <c:pt idx="168">
                  <c:v>3.036919790734272E-12</c:v>
                </c:pt>
                <c:pt idx="169">
                  <c:v>3.036919790734272E-12</c:v>
                </c:pt>
                <c:pt idx="170">
                  <c:v>3.036919790734272E-12</c:v>
                </c:pt>
                <c:pt idx="171">
                  <c:v>3.036919790734272E-12</c:v>
                </c:pt>
                <c:pt idx="172">
                  <c:v>3.036919790734272E-12</c:v>
                </c:pt>
                <c:pt idx="173">
                  <c:v>3.036919790734272E-12</c:v>
                </c:pt>
                <c:pt idx="174">
                  <c:v>3.036919790734272E-12</c:v>
                </c:pt>
                <c:pt idx="175">
                  <c:v>3.036919790734272E-12</c:v>
                </c:pt>
                <c:pt idx="176">
                  <c:v>3.036919790734272E-12</c:v>
                </c:pt>
                <c:pt idx="177">
                  <c:v>3.036919790734272E-12</c:v>
                </c:pt>
                <c:pt idx="178">
                  <c:v>3.036919790734272E-12</c:v>
                </c:pt>
                <c:pt idx="179">
                  <c:v>3.036919790734272E-12</c:v>
                </c:pt>
                <c:pt idx="180">
                  <c:v>3.036919790734272E-12</c:v>
                </c:pt>
                <c:pt idx="181">
                  <c:v>3.036919790734272E-12</c:v>
                </c:pt>
                <c:pt idx="182">
                  <c:v>3.036919790734272E-12</c:v>
                </c:pt>
                <c:pt idx="183">
                  <c:v>3.036919790734272E-12</c:v>
                </c:pt>
                <c:pt idx="184">
                  <c:v>3.036919790734272E-12</c:v>
                </c:pt>
                <c:pt idx="185">
                  <c:v>3.036919790734272E-12</c:v>
                </c:pt>
                <c:pt idx="186">
                  <c:v>3.036919790734272E-12</c:v>
                </c:pt>
                <c:pt idx="187">
                  <c:v>3.036919790734272E-12</c:v>
                </c:pt>
                <c:pt idx="188">
                  <c:v>3.036919790734272E-12</c:v>
                </c:pt>
                <c:pt idx="189">
                  <c:v>3.036919790734272E-12</c:v>
                </c:pt>
                <c:pt idx="190">
                  <c:v>3.036919790734272E-12</c:v>
                </c:pt>
                <c:pt idx="191">
                  <c:v>3.036919790734272E-12</c:v>
                </c:pt>
                <c:pt idx="192">
                  <c:v>3.036919790734272E-12</c:v>
                </c:pt>
                <c:pt idx="193">
                  <c:v>3.036919790734272E-12</c:v>
                </c:pt>
                <c:pt idx="194">
                  <c:v>3.036919790734272E-12</c:v>
                </c:pt>
                <c:pt idx="195">
                  <c:v>3.036919790734272E-12</c:v>
                </c:pt>
                <c:pt idx="196">
                  <c:v>3.036919790734272E-12</c:v>
                </c:pt>
                <c:pt idx="197">
                  <c:v>3.036919790734272E-12</c:v>
                </c:pt>
                <c:pt idx="198">
                  <c:v>3.036919790734272E-12</c:v>
                </c:pt>
                <c:pt idx="199">
                  <c:v>3.036919790734272E-12</c:v>
                </c:pt>
                <c:pt idx="200">
                  <c:v>3.036919790734272E-12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6330656"/>
        <c:axId val="-56324128"/>
      </c:scatterChart>
      <c:valAx>
        <c:axId val="-56330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324128"/>
        <c:crosses val="autoZero"/>
        <c:crossBetween val="midCat"/>
      </c:valAx>
      <c:valAx>
        <c:axId val="-5632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330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1.9813408973472812</c:v>
                </c:pt>
                <c:pt idx="2">
                  <c:v>2.9590640873030938</c:v>
                </c:pt>
                <c:pt idx="3">
                  <c:v>6.8632884318575291</c:v>
                </c:pt>
                <c:pt idx="4">
                  <c:v>12.472048425337261</c:v>
                </c:pt>
                <c:pt idx="5">
                  <c:v>27.30760826137589</c:v>
                </c:pt>
                <c:pt idx="6">
                  <c:v>46.015628804382011</c:v>
                </c:pt>
                <c:pt idx="7">
                  <c:v>63.497979229561842</c:v>
                </c:pt>
                <c:pt idx="8">
                  <c:v>83.437982576277562</c:v>
                </c:pt>
                <c:pt idx="9">
                  <c:v>105.2668155361357</c:v>
                </c:pt>
                <c:pt idx="10">
                  <c:v>128.65001863129791</c:v>
                </c:pt>
                <c:pt idx="11">
                  <c:v>153.25764447193231</c:v>
                </c:pt>
                <c:pt idx="12">
                  <c:v>178.4324525203368</c:v>
                </c:pt>
                <c:pt idx="13">
                  <c:v>203.85355302229979</c:v>
                </c:pt>
                <c:pt idx="14">
                  <c:v>216.04215381560263</c:v>
                </c:pt>
                <c:pt idx="15">
                  <c:v>226.35162391671903</c:v>
                </c:pt>
                <c:pt idx="16">
                  <c:v>235.00762889431576</c:v>
                </c:pt>
                <c:pt idx="17">
                  <c:v>241.79584024954406</c:v>
                </c:pt>
                <c:pt idx="18">
                  <c:v>246.93884596145651</c:v>
                </c:pt>
                <c:pt idx="19">
                  <c:v>250.43907177030067</c:v>
                </c:pt>
                <c:pt idx="20">
                  <c:v>252.51680485136703</c:v>
                </c:pt>
                <c:pt idx="21">
                  <c:v>253.1728504337099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6326304"/>
        <c:axId val="-56326848"/>
      </c:scatterChart>
      <c:valAx>
        <c:axId val="-56326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326848"/>
        <c:crosses val="autoZero"/>
        <c:crossBetween val="midCat"/>
      </c:valAx>
      <c:valAx>
        <c:axId val="-5632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326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950928"/>
        <c:axId val="-55952560"/>
      </c:scatterChart>
      <c:valAx>
        <c:axId val="-55950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952560"/>
        <c:crosses val="autoZero"/>
        <c:crossBetween val="midCat"/>
      </c:valAx>
      <c:valAx>
        <c:axId val="-5595256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950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22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7" t="s">
        <v>291</v>
      </c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</row>
    <row r="13" spans="2:13" ht="15" customHeight="1" x14ac:dyDescent="0.25">
      <c r="B13" s="287"/>
      <c r="C13" s="287"/>
      <c r="D13" s="287"/>
      <c r="E13" s="287"/>
      <c r="F13" s="287"/>
      <c r="G13" s="287"/>
      <c r="H13" s="287"/>
      <c r="I13" s="287"/>
      <c r="J13" s="287"/>
      <c r="K13" s="287"/>
      <c r="L13" s="287"/>
      <c r="M13" s="287"/>
    </row>
    <row r="14" spans="2:13" ht="15" customHeight="1" x14ac:dyDescent="0.25"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</row>
    <row r="15" spans="2:13" ht="18.75" customHeight="1" x14ac:dyDescent="0.25"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</row>
    <row r="16" spans="2:13" ht="18.75" customHeight="1" x14ac:dyDescent="0.25"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</row>
    <row r="18" spans="2:13" ht="12" customHeight="1" x14ac:dyDescent="0.25">
      <c r="B18" s="287" t="s">
        <v>292</v>
      </c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</row>
    <row r="19" spans="2:13" ht="12" customHeight="1" x14ac:dyDescent="0.25"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</row>
    <row r="20" spans="2:13" ht="12" customHeight="1" x14ac:dyDescent="0.25">
      <c r="B20" s="287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</row>
    <row r="21" spans="2:13" ht="12" customHeight="1" x14ac:dyDescent="0.25"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</row>
    <row r="22" spans="2:13" ht="12" customHeight="1" x14ac:dyDescent="0.25"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</row>
    <row r="23" spans="2:13" ht="12" customHeight="1" x14ac:dyDescent="0.25"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</row>
    <row r="24" spans="2:13" ht="12" customHeight="1" x14ac:dyDescent="0.25"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</row>
    <row r="25" spans="2:13" ht="12" customHeight="1" x14ac:dyDescent="0.25"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</row>
    <row r="26" spans="2:13" ht="12" customHeight="1" x14ac:dyDescent="0.25"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</row>
    <row r="27" spans="2:13" ht="12" customHeight="1" x14ac:dyDescent="0.25"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</row>
    <row r="28" spans="2:13" ht="12" customHeight="1" x14ac:dyDescent="0.25"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</row>
    <row r="29" spans="2:13" ht="12" customHeight="1" x14ac:dyDescent="0.25">
      <c r="B29" s="287"/>
      <c r="C29" s="287"/>
      <c r="D29" s="287"/>
      <c r="E29" s="287"/>
      <c r="F29" s="287"/>
      <c r="G29" s="287"/>
      <c r="H29" s="287"/>
      <c r="I29" s="287"/>
      <c r="J29" s="287"/>
      <c r="K29" s="287"/>
      <c r="L29" s="287"/>
      <c r="M29" s="287"/>
    </row>
    <row r="30" spans="2:13" ht="12" customHeight="1" x14ac:dyDescent="0.25"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</row>
    <row r="31" spans="2:13" ht="12" customHeight="1" x14ac:dyDescent="0.25"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90" zoomScaleNormal="90" workbookViewId="0">
      <selection activeCell="D19" sqref="D19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92" t="s">
        <v>190</v>
      </c>
      <c r="D1" s="292"/>
      <c r="E1" s="29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93" t="s">
        <v>192</v>
      </c>
      <c r="C3" s="294"/>
      <c r="D3" s="294"/>
      <c r="E3" s="294"/>
      <c r="F3" s="295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98" t="s">
        <v>231</v>
      </c>
      <c r="B5" s="298"/>
      <c r="C5" s="24">
        <v>10.1487</v>
      </c>
      <c r="D5" s="299" t="s">
        <v>229</v>
      </c>
      <c r="E5" s="300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89"/>
      <c r="B6" s="89"/>
      <c r="C6" s="4"/>
      <c r="D6" s="84"/>
      <c r="E6" s="84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97" t="s">
        <v>226</v>
      </c>
      <c r="B7" s="297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0.15579999999999999</v>
      </c>
      <c r="D9" s="33">
        <f t="shared" ref="D9:D18" si="0">C9*$C$5</f>
        <v>1.5811674599999999</v>
      </c>
      <c r="E9" s="34">
        <v>150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11</v>
      </c>
      <c r="C10" s="32">
        <v>6.7900000000000002E-2</v>
      </c>
      <c r="D10" s="33">
        <f t="shared" ref="D10:D15" si="1">C10*$C$5</f>
        <v>0.68909673000000005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164</v>
      </c>
      <c r="C11" s="32">
        <v>0.50249999999999995</v>
      </c>
      <c r="D11" s="33">
        <f t="shared" si="1"/>
        <v>5.0997217499999996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6</v>
      </c>
      <c r="C12" s="32">
        <v>8.9499999999999996E-2</v>
      </c>
      <c r="D12" s="33">
        <f t="shared" si="1"/>
        <v>0.90830864999999994</v>
      </c>
      <c r="E12" s="34">
        <v>150</v>
      </c>
      <c r="F12" s="35" t="str">
        <f t="array" ref="F12">IF(E12="","",IF(INDEX(A:A,MAX(IF(ISNUMBER($A$114:$A$133),ROW($A$114:$A$133),"")))&lt;&gt;E12,"Corrigez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18</v>
      </c>
      <c r="C13" s="32">
        <v>3.5099999999999999E-2</v>
      </c>
      <c r="D13" s="33">
        <f t="shared" si="1"/>
        <v>0.35621936999999998</v>
      </c>
      <c r="E13" s="34">
        <v>60</v>
      </c>
      <c r="F13" s="35" t="str">
        <f t="array" ref="F13">IF(E13="","",IF(INDEX(A:A,MAX(IF(ISNUMBER($A$140:$A$159),ROW($A$140:$A$159),"")))&lt;&gt;E13,"Corrigez : révolution incorrecte","OK"))</f>
        <v>OK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4</v>
      </c>
      <c r="C14" s="32">
        <v>5.4399999999999997E-2</v>
      </c>
      <c r="D14" s="33">
        <f t="shared" si="1"/>
        <v>0.55208928000000002</v>
      </c>
      <c r="E14" s="34">
        <v>55</v>
      </c>
      <c r="F14" s="35" t="str">
        <f t="array" ref="F14">IF(E14="","",IF(INDEX(A:A,MAX(IF(ISNUMBER($A$166:$A$185),ROW($A$166:$A$185),"")))&lt;&gt;E14,"Corrigez : révolution incorrecte","OK"))</f>
        <v>OK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</v>
      </c>
      <c r="C15" s="32">
        <v>4.4699999999999997E-2</v>
      </c>
      <c r="D15" s="33">
        <f t="shared" si="1"/>
        <v>0.45364688999999997</v>
      </c>
      <c r="E15" s="34">
        <v>153</v>
      </c>
      <c r="F15" s="35" t="str">
        <f t="array" ref="F15">IF(E15="","",IF(INDEX(A:A,MAX(IF(ISNUMBER($A$192:$A$211),ROW($A$192:$A$211),"")))&lt;&gt;E15,"Corrigez : révolution incorrecte","OK"))</f>
        <v>OK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112</v>
      </c>
      <c r="C16" s="32">
        <v>5.0099999999999999E-2</v>
      </c>
      <c r="D16" s="33">
        <f t="shared" si="0"/>
        <v>0.50844986999999997</v>
      </c>
      <c r="E16" s="34">
        <v>21</v>
      </c>
      <c r="F16" s="35" t="str">
        <f t="array" ref="F16">IF(E16="","",IF(INDEX(A:A,MAX(IF(ISNUMBER($A$218:$A$237),ROW($A$218:$A$237),"")))&lt;&gt;E16,"Corrigez : révolution incorrecte","OK"))</f>
        <v>OK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6"/>
      <c r="B19" s="36" t="s">
        <v>175</v>
      </c>
      <c r="C19" s="37">
        <f>SUM(C9:C18)</f>
        <v>1</v>
      </c>
      <c r="D19" s="38">
        <f>SUM(D9:D18)</f>
        <v>10.1487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6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96" t="s">
        <v>232</v>
      </c>
      <c r="B22" s="29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0.05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97" t="s">
        <v>227</v>
      </c>
      <c r="B30" s="297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C32" s="23">
        <v>2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3" t="s">
        <v>185</v>
      </c>
      <c r="C34" s="288" t="s">
        <v>186</v>
      </c>
      <c r="D34" s="288"/>
      <c r="E34" s="289" t="s">
        <v>187</v>
      </c>
      <c r="F34" s="290"/>
      <c r="G34" s="290"/>
      <c r="H34" s="29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255">
        <v>20</v>
      </c>
      <c r="B36" s="255">
        <v>73</v>
      </c>
      <c r="C36" s="256">
        <v>1</v>
      </c>
      <c r="D36" s="256">
        <v>6</v>
      </c>
      <c r="E36" s="257"/>
      <c r="F36" s="257"/>
      <c r="G36" s="257"/>
      <c r="H36" s="257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255">
        <v>25</v>
      </c>
      <c r="B37" s="255">
        <v>103</v>
      </c>
      <c r="C37" s="256">
        <v>2</v>
      </c>
      <c r="D37" s="256">
        <v>28</v>
      </c>
      <c r="E37" s="257"/>
      <c r="F37" s="257"/>
      <c r="G37" s="257"/>
      <c r="H37" s="257">
        <v>1</v>
      </c>
      <c r="I37" s="53">
        <f t="shared" ref="I37:I55" si="2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255">
        <v>30</v>
      </c>
      <c r="B38" s="255">
        <v>121</v>
      </c>
      <c r="C38" s="256">
        <v>3</v>
      </c>
      <c r="D38" s="256">
        <v>28</v>
      </c>
      <c r="E38" s="257"/>
      <c r="F38" s="257"/>
      <c r="G38" s="257"/>
      <c r="H38" s="257">
        <v>1</v>
      </c>
      <c r="I38" s="53">
        <f t="shared" si="2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255">
        <v>35</v>
      </c>
      <c r="B39" s="255">
        <v>147</v>
      </c>
      <c r="C39" s="256">
        <v>4</v>
      </c>
      <c r="D39" s="256">
        <v>28</v>
      </c>
      <c r="E39" s="257"/>
      <c r="F39" s="257"/>
      <c r="G39" s="257"/>
      <c r="H39" s="257">
        <v>1</v>
      </c>
      <c r="I39" s="49">
        <f t="shared" si="2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255">
        <v>40</v>
      </c>
      <c r="B40" s="255">
        <v>175</v>
      </c>
      <c r="C40" s="256">
        <v>5</v>
      </c>
      <c r="D40" s="256">
        <v>28</v>
      </c>
      <c r="E40" s="257"/>
      <c r="F40" s="257"/>
      <c r="G40" s="257"/>
      <c r="H40" s="257"/>
      <c r="I40" s="49">
        <f t="shared" si="2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255">
        <v>45</v>
      </c>
      <c r="B41" s="255">
        <v>204</v>
      </c>
      <c r="C41" s="256">
        <v>6</v>
      </c>
      <c r="D41" s="256">
        <v>28</v>
      </c>
      <c r="E41" s="257"/>
      <c r="F41" s="257"/>
      <c r="G41" s="257"/>
      <c r="H41" s="257"/>
      <c r="I41" s="53">
        <f t="shared" si="2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255">
        <v>50</v>
      </c>
      <c r="B42" s="255">
        <v>231</v>
      </c>
      <c r="C42" s="256">
        <v>7</v>
      </c>
      <c r="D42" s="256">
        <v>28</v>
      </c>
      <c r="E42" s="257"/>
      <c r="F42" s="257"/>
      <c r="G42" s="257"/>
      <c r="H42" s="257"/>
      <c r="I42" s="53">
        <f t="shared" si="2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255">
        <v>55</v>
      </c>
      <c r="B43" s="255">
        <v>254</v>
      </c>
      <c r="C43" s="256">
        <v>8</v>
      </c>
      <c r="D43" s="256">
        <v>28</v>
      </c>
      <c r="E43" s="257"/>
      <c r="F43" s="257"/>
      <c r="G43" s="257"/>
      <c r="H43" s="257"/>
      <c r="I43" s="49">
        <f t="shared" si="2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255">
        <v>60</v>
      </c>
      <c r="B44" s="255">
        <v>273</v>
      </c>
      <c r="C44" s="256">
        <v>9</v>
      </c>
      <c r="D44" s="256">
        <v>28</v>
      </c>
      <c r="E44" s="257"/>
      <c r="F44" s="257"/>
      <c r="G44" s="257"/>
      <c r="H44" s="257"/>
      <c r="I44" s="49">
        <f t="shared" si="2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255">
        <v>65</v>
      </c>
      <c r="B45" s="255">
        <v>289</v>
      </c>
      <c r="C45" s="256">
        <v>10</v>
      </c>
      <c r="D45" s="256">
        <v>28</v>
      </c>
      <c r="E45" s="257"/>
      <c r="F45" s="257"/>
      <c r="G45" s="257"/>
      <c r="H45" s="257"/>
      <c r="I45" s="49">
        <f t="shared" si="2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255">
        <v>70</v>
      </c>
      <c r="B46" s="255">
        <v>302</v>
      </c>
      <c r="C46" s="256">
        <v>11</v>
      </c>
      <c r="D46" s="256">
        <v>28</v>
      </c>
      <c r="E46" s="257"/>
      <c r="F46" s="257"/>
      <c r="G46" s="257"/>
      <c r="H46" s="257"/>
      <c r="I46" s="49">
        <f t="shared" si="2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255">
        <v>75</v>
      </c>
      <c r="B47" s="255">
        <v>312</v>
      </c>
      <c r="C47" s="256">
        <v>12</v>
      </c>
      <c r="D47" s="256">
        <v>28</v>
      </c>
      <c r="E47" s="257"/>
      <c r="F47" s="257"/>
      <c r="G47" s="257"/>
      <c r="H47" s="257"/>
      <c r="I47" s="49">
        <f t="shared" si="2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85</v>
      </c>
      <c r="B48" s="58">
        <v>354</v>
      </c>
      <c r="C48" s="58">
        <v>13</v>
      </c>
      <c r="D48" s="58">
        <v>56</v>
      </c>
      <c r="E48" s="51"/>
      <c r="F48" s="51"/>
      <c r="G48" s="51"/>
      <c r="H48" s="51"/>
      <c r="I48" s="49">
        <f t="shared" si="2"/>
        <v>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95</v>
      </c>
      <c r="B49" s="58">
        <v>361</v>
      </c>
      <c r="C49" s="58">
        <v>14</v>
      </c>
      <c r="D49" s="58">
        <v>56</v>
      </c>
      <c r="E49" s="51"/>
      <c r="F49" s="51"/>
      <c r="G49" s="51"/>
      <c r="H49" s="51"/>
      <c r="I49" s="49">
        <f t="shared" si="2"/>
        <v>6.3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105</v>
      </c>
      <c r="B50" s="50">
        <v>360</v>
      </c>
      <c r="C50" s="50">
        <v>15</v>
      </c>
      <c r="D50" s="50">
        <v>53</v>
      </c>
      <c r="E50" s="51"/>
      <c r="F50" s="51"/>
      <c r="G50" s="51"/>
      <c r="H50" s="51"/>
      <c r="I50" s="49">
        <f t="shared" si="2"/>
        <v>5.5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115</v>
      </c>
      <c r="B51" s="50">
        <v>356</v>
      </c>
      <c r="C51" s="50">
        <v>16</v>
      </c>
      <c r="D51" s="50">
        <v>49</v>
      </c>
      <c r="E51" s="51"/>
      <c r="F51" s="51"/>
      <c r="G51" s="51"/>
      <c r="H51" s="51"/>
      <c r="I51" s="49">
        <f t="shared" si="2"/>
        <v>4.9000000000000004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125</v>
      </c>
      <c r="B52" s="50">
        <v>349</v>
      </c>
      <c r="C52" s="50">
        <v>17</v>
      </c>
      <c r="D52" s="50">
        <v>45</v>
      </c>
      <c r="E52" s="51"/>
      <c r="F52" s="51"/>
      <c r="G52" s="51"/>
      <c r="H52" s="51"/>
      <c r="I52" s="49">
        <f t="shared" si="2"/>
        <v>4.2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135</v>
      </c>
      <c r="B53" s="50">
        <v>344</v>
      </c>
      <c r="C53" s="50">
        <v>18</v>
      </c>
      <c r="D53" s="50">
        <v>43</v>
      </c>
      <c r="E53" s="51"/>
      <c r="F53" s="51"/>
      <c r="G53" s="51"/>
      <c r="H53" s="51"/>
      <c r="I53" s="49">
        <f t="shared" si="2"/>
        <v>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>
        <v>145</v>
      </c>
      <c r="B54" s="50">
        <v>338</v>
      </c>
      <c r="C54" s="50">
        <v>19</v>
      </c>
      <c r="D54" s="50">
        <v>39</v>
      </c>
      <c r="E54" s="51"/>
      <c r="F54" s="51"/>
      <c r="G54" s="51"/>
      <c r="H54" s="51"/>
      <c r="I54" s="49">
        <f t="shared" si="2"/>
        <v>3.7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>
        <v>150</v>
      </c>
      <c r="B55" s="50">
        <v>316</v>
      </c>
      <c r="C55" s="50" t="s">
        <v>324</v>
      </c>
      <c r="D55" s="50">
        <v>316</v>
      </c>
      <c r="E55" s="51"/>
      <c r="F55" s="51"/>
      <c r="G55" s="51"/>
      <c r="H55" s="51"/>
      <c r="I55" s="49">
        <f t="shared" si="2"/>
        <v>3.4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pédonculé</v>
      </c>
      <c r="C58" s="23">
        <v>2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3" t="s">
        <v>185</v>
      </c>
      <c r="C60" s="288" t="s">
        <v>186</v>
      </c>
      <c r="D60" s="288"/>
      <c r="E60" s="289" t="s">
        <v>187</v>
      </c>
      <c r="F60" s="290"/>
      <c r="G60" s="290"/>
      <c r="H60" s="29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258">
        <v>20</v>
      </c>
      <c r="B62" s="258">
        <v>73</v>
      </c>
      <c r="C62" s="258">
        <v>1</v>
      </c>
      <c r="D62" s="259">
        <v>6</v>
      </c>
      <c r="E62" s="260"/>
      <c r="F62" s="257"/>
      <c r="G62" s="257"/>
      <c r="H62" s="257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258">
        <v>25</v>
      </c>
      <c r="B63" s="258">
        <v>103</v>
      </c>
      <c r="C63" s="258">
        <v>2</v>
      </c>
      <c r="D63" s="256">
        <v>28</v>
      </c>
      <c r="E63" s="258"/>
      <c r="F63" s="257"/>
      <c r="G63" s="257"/>
      <c r="H63" s="257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258">
        <v>30</v>
      </c>
      <c r="B64" s="258">
        <v>121</v>
      </c>
      <c r="C64" s="258">
        <v>3</v>
      </c>
      <c r="D64" s="256">
        <v>28</v>
      </c>
      <c r="E64" s="258"/>
      <c r="F64" s="257"/>
      <c r="G64" s="257"/>
      <c r="H64" s="257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258">
        <v>35</v>
      </c>
      <c r="B65" s="258">
        <v>147</v>
      </c>
      <c r="C65" s="258">
        <v>4</v>
      </c>
      <c r="D65" s="256">
        <v>28</v>
      </c>
      <c r="E65" s="258"/>
      <c r="F65" s="257"/>
      <c r="G65" s="257"/>
      <c r="H65" s="257">
        <v>1</v>
      </c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258">
        <v>40</v>
      </c>
      <c r="B66" s="258">
        <v>175</v>
      </c>
      <c r="C66" s="258">
        <v>5</v>
      </c>
      <c r="D66" s="256">
        <v>28</v>
      </c>
      <c r="E66" s="258"/>
      <c r="F66" s="257"/>
      <c r="G66" s="257"/>
      <c r="H66" s="257"/>
      <c r="I66" s="49">
        <f t="shared" ref="I66:I81" si="3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258">
        <v>45</v>
      </c>
      <c r="B67" s="258">
        <v>204</v>
      </c>
      <c r="C67" s="258">
        <v>6</v>
      </c>
      <c r="D67" s="256">
        <v>28</v>
      </c>
      <c r="E67" s="258"/>
      <c r="F67" s="51"/>
      <c r="G67" s="51"/>
      <c r="H67" s="51"/>
      <c r="I67" s="49">
        <f t="shared" si="3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258">
        <v>50</v>
      </c>
      <c r="B68" s="258">
        <v>231</v>
      </c>
      <c r="C68" s="258">
        <v>7</v>
      </c>
      <c r="D68" s="256">
        <v>28</v>
      </c>
      <c r="E68" s="258"/>
      <c r="F68" s="51"/>
      <c r="G68" s="51"/>
      <c r="H68" s="51"/>
      <c r="I68" s="49">
        <f t="shared" si="3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258">
        <v>55</v>
      </c>
      <c r="B69" s="258">
        <v>254</v>
      </c>
      <c r="C69" s="258">
        <v>8</v>
      </c>
      <c r="D69" s="256">
        <v>28</v>
      </c>
      <c r="E69" s="258"/>
      <c r="F69" s="51"/>
      <c r="G69" s="51"/>
      <c r="H69" s="51"/>
      <c r="I69" s="49">
        <f t="shared" si="3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258">
        <v>60</v>
      </c>
      <c r="B70" s="258">
        <v>273</v>
      </c>
      <c r="C70" s="258">
        <v>9</v>
      </c>
      <c r="D70" s="256">
        <v>28</v>
      </c>
      <c r="E70" s="258"/>
      <c r="F70" s="51"/>
      <c r="G70" s="51"/>
      <c r="H70" s="51"/>
      <c r="I70" s="49">
        <f t="shared" si="3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65</v>
      </c>
      <c r="B71" s="50">
        <v>289</v>
      </c>
      <c r="C71" s="50">
        <v>10</v>
      </c>
      <c r="D71" s="50">
        <v>28</v>
      </c>
      <c r="E71" s="51"/>
      <c r="F71" s="51"/>
      <c r="G71" s="51"/>
      <c r="H71" s="51"/>
      <c r="I71" s="49">
        <f t="shared" si="3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70</v>
      </c>
      <c r="B72" s="50">
        <v>302</v>
      </c>
      <c r="C72" s="50">
        <v>11</v>
      </c>
      <c r="D72" s="50">
        <v>28</v>
      </c>
      <c r="E72" s="51"/>
      <c r="F72" s="51"/>
      <c r="G72" s="51"/>
      <c r="H72" s="51"/>
      <c r="I72" s="49">
        <f t="shared" si="3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75</v>
      </c>
      <c r="B73" s="50">
        <v>312</v>
      </c>
      <c r="C73" s="50">
        <v>12</v>
      </c>
      <c r="D73" s="50">
        <v>28</v>
      </c>
      <c r="E73" s="51"/>
      <c r="F73" s="51"/>
      <c r="G73" s="51"/>
      <c r="H73" s="51"/>
      <c r="I73" s="49">
        <f t="shared" si="3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85</v>
      </c>
      <c r="B74" s="50">
        <v>354</v>
      </c>
      <c r="C74" s="50">
        <v>13</v>
      </c>
      <c r="D74" s="50">
        <v>56</v>
      </c>
      <c r="E74" s="51"/>
      <c r="F74" s="51"/>
      <c r="G74" s="51"/>
      <c r="H74" s="51"/>
      <c r="I74" s="49">
        <f t="shared" si="3"/>
        <v>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95</v>
      </c>
      <c r="B75" s="50">
        <v>361</v>
      </c>
      <c r="C75" s="50">
        <v>14</v>
      </c>
      <c r="D75" s="50">
        <v>56</v>
      </c>
      <c r="E75" s="51"/>
      <c r="F75" s="51"/>
      <c r="G75" s="51"/>
      <c r="H75" s="51"/>
      <c r="I75" s="49">
        <f t="shared" si="3"/>
        <v>6.3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105</v>
      </c>
      <c r="B76" s="50">
        <v>360</v>
      </c>
      <c r="C76" s="50">
        <v>15</v>
      </c>
      <c r="D76" s="50">
        <v>53</v>
      </c>
      <c r="E76" s="51"/>
      <c r="F76" s="51"/>
      <c r="G76" s="51"/>
      <c r="H76" s="51"/>
      <c r="I76" s="49">
        <f t="shared" si="3"/>
        <v>5.5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115</v>
      </c>
      <c r="B77" s="50">
        <v>356</v>
      </c>
      <c r="C77" s="50">
        <v>16</v>
      </c>
      <c r="D77" s="50">
        <v>49</v>
      </c>
      <c r="E77" s="51"/>
      <c r="F77" s="51"/>
      <c r="G77" s="51"/>
      <c r="H77" s="51"/>
      <c r="I77" s="49">
        <f t="shared" si="3"/>
        <v>4.9000000000000004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125</v>
      </c>
      <c r="B78" s="50">
        <v>349</v>
      </c>
      <c r="C78" s="50">
        <v>17</v>
      </c>
      <c r="D78" s="50">
        <v>45</v>
      </c>
      <c r="E78" s="51"/>
      <c r="F78" s="51"/>
      <c r="G78" s="51"/>
      <c r="H78" s="51"/>
      <c r="I78" s="49">
        <f t="shared" si="3"/>
        <v>4.2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135</v>
      </c>
      <c r="B79" s="50">
        <v>344</v>
      </c>
      <c r="C79" s="50">
        <v>18</v>
      </c>
      <c r="D79" s="50">
        <v>43</v>
      </c>
      <c r="E79" s="51"/>
      <c r="F79" s="51"/>
      <c r="G79" s="51"/>
      <c r="H79" s="51"/>
      <c r="I79" s="49">
        <f t="shared" si="3"/>
        <v>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>
        <v>145</v>
      </c>
      <c r="B80" s="50">
        <v>338</v>
      </c>
      <c r="C80" s="50">
        <v>19</v>
      </c>
      <c r="D80" s="50">
        <v>39</v>
      </c>
      <c r="E80" s="51"/>
      <c r="F80" s="51"/>
      <c r="G80" s="51"/>
      <c r="H80" s="51"/>
      <c r="I80" s="49">
        <f t="shared" si="3"/>
        <v>3.7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>
        <v>150</v>
      </c>
      <c r="B81" s="50">
        <v>316</v>
      </c>
      <c r="C81" s="50" t="s">
        <v>324</v>
      </c>
      <c r="D81" s="50">
        <v>316</v>
      </c>
      <c r="E81" s="51"/>
      <c r="F81" s="51"/>
      <c r="G81" s="51"/>
      <c r="H81" s="51"/>
      <c r="I81" s="49">
        <f t="shared" si="3"/>
        <v>3.4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Cèdre de l'Atlas</v>
      </c>
      <c r="C84" s="23">
        <v>1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3" t="s">
        <v>185</v>
      </c>
      <c r="C86" s="288" t="s">
        <v>186</v>
      </c>
      <c r="D86" s="288"/>
      <c r="E86" s="289" t="s">
        <v>187</v>
      </c>
      <c r="F86" s="290"/>
      <c r="G86" s="290"/>
      <c r="H86" s="29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8">
        <v>20</v>
      </c>
      <c r="B88" s="58">
        <v>158</v>
      </c>
      <c r="C88" s="58">
        <v>1</v>
      </c>
      <c r="D88" s="58">
        <v>31.6</v>
      </c>
      <c r="E88" s="51">
        <v>0</v>
      </c>
      <c r="F88" s="51">
        <v>0.56000000000000005</v>
      </c>
      <c r="G88" s="51">
        <v>0.44</v>
      </c>
      <c r="H88" s="51">
        <v>0</v>
      </c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8">
        <v>30</v>
      </c>
      <c r="B89" s="58">
        <v>218</v>
      </c>
      <c r="C89" s="58">
        <v>2</v>
      </c>
      <c r="D89" s="58">
        <v>36.4</v>
      </c>
      <c r="E89" s="51">
        <v>0.7</v>
      </c>
      <c r="F89" s="51">
        <v>0.16800000000000001</v>
      </c>
      <c r="G89" s="51">
        <v>0.13200000000000001</v>
      </c>
      <c r="H89" s="51">
        <v>0</v>
      </c>
      <c r="I89" s="53">
        <f t="shared" ref="I89:I107" si="4">IF(A89&lt;&gt;0,(B89-(B88-D88))/(A89-A88),"")</f>
        <v>9.16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8">
        <v>40</v>
      </c>
      <c r="B90" s="58">
        <v>310</v>
      </c>
      <c r="C90" s="58">
        <v>3</v>
      </c>
      <c r="D90" s="58">
        <v>52.26666666666668</v>
      </c>
      <c r="E90" s="51">
        <v>0.7</v>
      </c>
      <c r="F90" s="51">
        <v>0.16800000000000001</v>
      </c>
      <c r="G90" s="51">
        <v>0.13200000000000001</v>
      </c>
      <c r="H90" s="51">
        <v>0</v>
      </c>
      <c r="I90" s="53">
        <f t="shared" si="4"/>
        <v>12.84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8">
        <v>50</v>
      </c>
      <c r="B91" s="58">
        <v>496</v>
      </c>
      <c r="C91" s="58">
        <v>4</v>
      </c>
      <c r="D91" s="58">
        <v>68.788888888888891</v>
      </c>
      <c r="E91" s="51">
        <v>0.7</v>
      </c>
      <c r="F91" s="51">
        <v>0.16800000000000001</v>
      </c>
      <c r="G91" s="51">
        <v>0.13200000000000001</v>
      </c>
      <c r="H91" s="51">
        <v>0</v>
      </c>
      <c r="I91" s="53">
        <f t="shared" si="4"/>
        <v>23.826666666666664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8">
        <v>60</v>
      </c>
      <c r="B92" s="58">
        <v>620</v>
      </c>
      <c r="C92" s="58">
        <v>5</v>
      </c>
      <c r="D92" s="58">
        <v>88.535185185185185</v>
      </c>
      <c r="E92" s="51">
        <v>0.7</v>
      </c>
      <c r="F92" s="51">
        <v>0.16800000000000001</v>
      </c>
      <c r="G92" s="51">
        <v>0.13200000000000001</v>
      </c>
      <c r="H92" s="51">
        <v>0</v>
      </c>
      <c r="I92" s="53">
        <f t="shared" si="4"/>
        <v>19.27888888888889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8">
        <v>70</v>
      </c>
      <c r="B93" s="58">
        <v>680</v>
      </c>
      <c r="C93" s="58">
        <v>6</v>
      </c>
      <c r="D93" s="58">
        <v>111.0774691358025</v>
      </c>
      <c r="E93" s="51">
        <v>0.7</v>
      </c>
      <c r="F93" s="51">
        <v>0.16800000000000001</v>
      </c>
      <c r="G93" s="51">
        <v>0.13200000000000001</v>
      </c>
      <c r="H93" s="51">
        <v>0</v>
      </c>
      <c r="I93" s="53">
        <f t="shared" si="4"/>
        <v>14.853518518518513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8">
        <v>80</v>
      </c>
      <c r="B94" s="58">
        <v>700</v>
      </c>
      <c r="C94" s="58">
        <v>7</v>
      </c>
      <c r="D94" s="58">
        <v>135.65375514403294</v>
      </c>
      <c r="E94" s="51">
        <v>0.7</v>
      </c>
      <c r="F94" s="51">
        <v>0.16800000000000001</v>
      </c>
      <c r="G94" s="51">
        <v>0.13200000000000001</v>
      </c>
      <c r="H94" s="51">
        <v>0</v>
      </c>
      <c r="I94" s="53">
        <f t="shared" si="4"/>
        <v>13.107746913580252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50">
        <v>90</v>
      </c>
      <c r="B95" s="50">
        <v>680</v>
      </c>
      <c r="C95" s="58">
        <v>8</v>
      </c>
      <c r="D95" s="50">
        <v>160.72437414266119</v>
      </c>
      <c r="E95" s="51">
        <v>0.7</v>
      </c>
      <c r="F95" s="51">
        <v>0.16800000000000001</v>
      </c>
      <c r="G95" s="51">
        <v>0.13200000000000001</v>
      </c>
      <c r="H95" s="51">
        <v>0</v>
      </c>
      <c r="I95" s="53">
        <f t="shared" si="4"/>
        <v>11.565375514403296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50">
        <v>100</v>
      </c>
      <c r="B96" s="50">
        <v>599.95366083676254</v>
      </c>
      <c r="C96" s="58" t="s">
        <v>324</v>
      </c>
      <c r="D96" s="50">
        <v>599.95366083676254</v>
      </c>
      <c r="E96" s="51">
        <v>0.7</v>
      </c>
      <c r="F96" s="51">
        <v>0.16800000000000001</v>
      </c>
      <c r="G96" s="51">
        <v>0.13200000000000001</v>
      </c>
      <c r="H96" s="51">
        <v>0</v>
      </c>
      <c r="I96" s="53">
        <f t="shared" si="4"/>
        <v>8.0678034979423732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58"/>
      <c r="B97" s="58"/>
      <c r="C97" s="58"/>
      <c r="D97" s="58"/>
      <c r="E97" s="85"/>
      <c r="F97" s="85"/>
      <c r="G97" s="85"/>
      <c r="H97" s="85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58"/>
      <c r="B98" s="58"/>
      <c r="C98" s="58"/>
      <c r="D98" s="58"/>
      <c r="E98" s="85"/>
      <c r="F98" s="85"/>
      <c r="G98" s="85"/>
      <c r="H98" s="85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58"/>
      <c r="B99" s="58"/>
      <c r="C99" s="58"/>
      <c r="D99" s="58"/>
      <c r="E99" s="85"/>
      <c r="F99" s="85"/>
      <c r="G99" s="85"/>
      <c r="H99" s="85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58"/>
      <c r="B100" s="58"/>
      <c r="C100" s="58"/>
      <c r="D100" s="58"/>
      <c r="E100" s="63"/>
      <c r="F100" s="63"/>
      <c r="G100" s="63"/>
      <c r="H100" s="63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58"/>
      <c r="B101" s="58"/>
      <c r="C101" s="58"/>
      <c r="D101" s="58"/>
      <c r="E101" s="63"/>
      <c r="F101" s="63"/>
      <c r="G101" s="63"/>
      <c r="H101" s="63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58"/>
      <c r="B102" s="50"/>
      <c r="C102" s="58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58"/>
      <c r="B103" s="50"/>
      <c r="C103" s="58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58"/>
      <c r="B104" s="50"/>
      <c r="C104" s="58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Charme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3" t="s">
        <v>185</v>
      </c>
      <c r="C112" s="288" t="s">
        <v>186</v>
      </c>
      <c r="D112" s="288"/>
      <c r="E112" s="289" t="s">
        <v>187</v>
      </c>
      <c r="F112" s="290"/>
      <c r="G112" s="290"/>
      <c r="H112" s="29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25</v>
      </c>
      <c r="B114" s="58">
        <v>70</v>
      </c>
      <c r="C114" s="50">
        <v>1</v>
      </c>
      <c r="D114" s="58">
        <v>8</v>
      </c>
      <c r="E114" s="51"/>
      <c r="F114" s="51"/>
      <c r="G114" s="51"/>
      <c r="H114" s="51">
        <v>1</v>
      </c>
      <c r="I114" s="53">
        <f>IFERROR(B114/A114,"")</f>
        <v>2.8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58">
        <v>97</v>
      </c>
      <c r="C115" s="50">
        <v>2</v>
      </c>
      <c r="D115" s="58">
        <v>21</v>
      </c>
      <c r="E115" s="51"/>
      <c r="F115" s="51"/>
      <c r="G115" s="51"/>
      <c r="H115" s="51">
        <v>1</v>
      </c>
      <c r="I115" s="53">
        <f t="shared" ref="I115:I133" si="5">IF(A115&lt;&gt;0,(B115-(B114-D114))/(A115-A114),"")</f>
        <v>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35</v>
      </c>
      <c r="B116" s="58">
        <v>116</v>
      </c>
      <c r="C116" s="50">
        <v>3</v>
      </c>
      <c r="D116" s="58">
        <v>21</v>
      </c>
      <c r="E116" s="51"/>
      <c r="F116" s="51"/>
      <c r="G116" s="51"/>
      <c r="H116" s="51">
        <v>1</v>
      </c>
      <c r="I116" s="53">
        <f t="shared" si="5"/>
        <v>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58">
        <v>137</v>
      </c>
      <c r="C117" s="50">
        <v>4</v>
      </c>
      <c r="D117" s="58">
        <v>21</v>
      </c>
      <c r="E117" s="51"/>
      <c r="F117" s="51"/>
      <c r="G117" s="51"/>
      <c r="H117" s="51">
        <v>1</v>
      </c>
      <c r="I117" s="53">
        <f t="shared" si="5"/>
        <v>8.4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45</v>
      </c>
      <c r="B118" s="58">
        <v>158</v>
      </c>
      <c r="C118" s="50">
        <v>5</v>
      </c>
      <c r="D118" s="58">
        <v>21</v>
      </c>
      <c r="E118" s="51"/>
      <c r="F118" s="51"/>
      <c r="G118" s="51"/>
      <c r="H118" s="51"/>
      <c r="I118" s="53">
        <f t="shared" si="5"/>
        <v>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50</v>
      </c>
      <c r="B119" s="58">
        <v>178</v>
      </c>
      <c r="C119" s="50">
        <v>6</v>
      </c>
      <c r="D119" s="58">
        <v>21</v>
      </c>
      <c r="E119" s="51"/>
      <c r="F119" s="51"/>
      <c r="G119" s="51"/>
      <c r="H119" s="51"/>
      <c r="I119" s="53">
        <f t="shared" si="5"/>
        <v>8.1999999999999993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58">
        <v>55</v>
      </c>
      <c r="B120" s="58">
        <v>197</v>
      </c>
      <c r="C120" s="58">
        <v>7</v>
      </c>
      <c r="D120" s="58">
        <v>21</v>
      </c>
      <c r="E120" s="85"/>
      <c r="F120" s="85"/>
      <c r="G120" s="85"/>
      <c r="H120" s="85"/>
      <c r="I120" s="53">
        <f t="shared" si="5"/>
        <v>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58">
        <v>60</v>
      </c>
      <c r="B121" s="58">
        <v>214</v>
      </c>
      <c r="C121" s="58">
        <v>8</v>
      </c>
      <c r="D121" s="58">
        <v>21</v>
      </c>
      <c r="E121" s="85"/>
      <c r="F121" s="85"/>
      <c r="G121" s="85"/>
      <c r="H121" s="85"/>
      <c r="I121" s="53">
        <f t="shared" si="5"/>
        <v>7.6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58">
        <v>65</v>
      </c>
      <c r="B122" s="58">
        <v>229</v>
      </c>
      <c r="C122" s="58">
        <v>9</v>
      </c>
      <c r="D122" s="58">
        <v>21</v>
      </c>
      <c r="E122" s="85"/>
      <c r="F122" s="85"/>
      <c r="G122" s="85"/>
      <c r="H122" s="85"/>
      <c r="I122" s="53">
        <f t="shared" si="5"/>
        <v>7.2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58">
        <v>70</v>
      </c>
      <c r="B123" s="58">
        <v>242</v>
      </c>
      <c r="C123" s="58">
        <v>10</v>
      </c>
      <c r="D123" s="58">
        <v>21</v>
      </c>
      <c r="E123" s="85"/>
      <c r="F123" s="85"/>
      <c r="G123" s="85"/>
      <c r="H123" s="85"/>
      <c r="I123" s="53">
        <f t="shared" si="5"/>
        <v>6.8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58">
        <v>75</v>
      </c>
      <c r="B124" s="58">
        <v>252</v>
      </c>
      <c r="C124" s="58">
        <v>11</v>
      </c>
      <c r="D124" s="58">
        <v>21</v>
      </c>
      <c r="E124" s="85"/>
      <c r="F124" s="85"/>
      <c r="G124" s="85"/>
      <c r="H124" s="85"/>
      <c r="I124" s="53">
        <f t="shared" si="5"/>
        <v>6.2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58">
        <v>80</v>
      </c>
      <c r="B125" s="58">
        <v>261</v>
      </c>
      <c r="C125" s="58">
        <v>12</v>
      </c>
      <c r="D125" s="58">
        <v>21</v>
      </c>
      <c r="E125" s="85"/>
      <c r="F125" s="85"/>
      <c r="G125" s="85"/>
      <c r="H125" s="85"/>
      <c r="I125" s="53">
        <f t="shared" si="5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58">
        <v>85</v>
      </c>
      <c r="B126" s="58">
        <v>269</v>
      </c>
      <c r="C126" s="58">
        <v>13</v>
      </c>
      <c r="D126" s="58">
        <v>21</v>
      </c>
      <c r="E126" s="63"/>
      <c r="F126" s="63"/>
      <c r="G126" s="63"/>
      <c r="H126" s="63"/>
      <c r="I126" s="53">
        <f t="shared" si="5"/>
        <v>5.8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58">
        <v>90</v>
      </c>
      <c r="B127" s="58">
        <v>275</v>
      </c>
      <c r="C127" s="58">
        <v>14</v>
      </c>
      <c r="D127" s="58">
        <v>21</v>
      </c>
      <c r="E127" s="63"/>
      <c r="F127" s="63"/>
      <c r="G127" s="63"/>
      <c r="H127" s="63"/>
      <c r="I127" s="53">
        <f t="shared" si="5"/>
        <v>5.4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>
        <v>100</v>
      </c>
      <c r="B128" s="50">
        <v>303</v>
      </c>
      <c r="C128" s="50">
        <v>15</v>
      </c>
      <c r="D128" s="50">
        <v>42</v>
      </c>
      <c r="E128" s="54"/>
      <c r="F128" s="54"/>
      <c r="G128" s="54"/>
      <c r="H128" s="54"/>
      <c r="I128" s="53">
        <f t="shared" si="5"/>
        <v>4.9000000000000004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>
        <v>110</v>
      </c>
      <c r="B129" s="50">
        <v>305</v>
      </c>
      <c r="C129" s="50">
        <v>16</v>
      </c>
      <c r="D129" s="50">
        <v>39</v>
      </c>
      <c r="E129" s="54"/>
      <c r="F129" s="54"/>
      <c r="G129" s="54"/>
      <c r="H129" s="54"/>
      <c r="I129" s="53">
        <f t="shared" si="5"/>
        <v>4.4000000000000004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>
        <v>120</v>
      </c>
      <c r="B130" s="50">
        <v>303</v>
      </c>
      <c r="C130" s="50">
        <v>17</v>
      </c>
      <c r="D130" s="50">
        <v>35</v>
      </c>
      <c r="E130" s="54"/>
      <c r="F130" s="54"/>
      <c r="G130" s="54"/>
      <c r="H130" s="54"/>
      <c r="I130" s="53">
        <f t="shared" si="5"/>
        <v>3.7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>
        <v>130</v>
      </c>
      <c r="B131" s="50">
        <v>300</v>
      </c>
      <c r="C131" s="50">
        <v>18</v>
      </c>
      <c r="D131" s="50">
        <v>31</v>
      </c>
      <c r="E131" s="54"/>
      <c r="F131" s="54"/>
      <c r="G131" s="54"/>
      <c r="H131" s="54"/>
      <c r="I131" s="53">
        <f t="shared" si="5"/>
        <v>3.2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>
        <v>140</v>
      </c>
      <c r="B132" s="50">
        <v>296</v>
      </c>
      <c r="C132" s="50">
        <v>19</v>
      </c>
      <c r="D132" s="50">
        <v>27</v>
      </c>
      <c r="E132" s="54"/>
      <c r="F132" s="54"/>
      <c r="G132" s="54"/>
      <c r="H132" s="54"/>
      <c r="I132" s="53">
        <f t="shared" si="5"/>
        <v>2.7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>
        <v>150</v>
      </c>
      <c r="B133" s="50">
        <v>293</v>
      </c>
      <c r="C133" s="50" t="s">
        <v>324</v>
      </c>
      <c r="D133" s="50">
        <v>293</v>
      </c>
      <c r="E133" s="54"/>
      <c r="F133" s="54"/>
      <c r="G133" s="54"/>
      <c r="H133" s="54"/>
      <c r="I133" s="53">
        <f t="shared" si="5"/>
        <v>2.4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Douglas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3" t="s">
        <v>185</v>
      </c>
      <c r="C138" s="288" t="s">
        <v>186</v>
      </c>
      <c r="D138" s="288"/>
      <c r="E138" s="289" t="s">
        <v>187</v>
      </c>
      <c r="F138" s="290"/>
      <c r="G138" s="290"/>
      <c r="H138" s="29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19</v>
      </c>
      <c r="B140" s="58">
        <v>162</v>
      </c>
      <c r="C140" s="58"/>
      <c r="D140" s="58">
        <v>0</v>
      </c>
      <c r="E140" s="51">
        <v>0</v>
      </c>
      <c r="F140" s="51">
        <v>0.56000000000000005</v>
      </c>
      <c r="G140" s="51">
        <v>0.44</v>
      </c>
      <c r="H140" s="51">
        <v>0</v>
      </c>
      <c r="I140" s="56">
        <f>IFERROR(B140/A140,"")</f>
        <v>8.526315789473685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25</v>
      </c>
      <c r="B141" s="58">
        <v>335</v>
      </c>
      <c r="C141" s="58">
        <v>1</v>
      </c>
      <c r="D141" s="58">
        <v>54</v>
      </c>
      <c r="E141" s="51">
        <v>0</v>
      </c>
      <c r="F141" s="51">
        <v>0.56000000000000005</v>
      </c>
      <c r="G141" s="51">
        <v>0.44</v>
      </c>
      <c r="H141" s="51">
        <v>0</v>
      </c>
      <c r="I141" s="56">
        <f t="shared" ref="I141:I159" si="6">IF(A141&lt;&gt;0,(B141-(B140-D140))/(A141-A140),"")</f>
        <v>28.833333333333332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58">
        <v>421</v>
      </c>
      <c r="C142" s="58">
        <v>2</v>
      </c>
      <c r="D142" s="58">
        <v>54</v>
      </c>
      <c r="E142" s="51">
        <v>0.7</v>
      </c>
      <c r="F142" s="51">
        <v>0.16800000000000001</v>
      </c>
      <c r="G142" s="51">
        <v>0.13200000000000001</v>
      </c>
      <c r="H142" s="51">
        <v>0</v>
      </c>
      <c r="I142" s="56">
        <f t="shared" si="6"/>
        <v>28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35</v>
      </c>
      <c r="B143" s="58">
        <v>505</v>
      </c>
      <c r="C143" s="58">
        <v>3</v>
      </c>
      <c r="D143" s="58">
        <v>69</v>
      </c>
      <c r="E143" s="51">
        <v>0.7</v>
      </c>
      <c r="F143" s="51">
        <v>0.16800000000000001</v>
      </c>
      <c r="G143" s="51">
        <v>0.13200000000000001</v>
      </c>
      <c r="H143" s="51">
        <v>0</v>
      </c>
      <c r="I143" s="56">
        <f t="shared" si="6"/>
        <v>27.6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40</v>
      </c>
      <c r="B144" s="58">
        <v>564</v>
      </c>
      <c r="C144" s="58">
        <v>4</v>
      </c>
      <c r="D144" s="58">
        <v>72</v>
      </c>
      <c r="E144" s="51">
        <v>0.7</v>
      </c>
      <c r="F144" s="51">
        <v>0.16800000000000001</v>
      </c>
      <c r="G144" s="51">
        <v>0.13200000000000001</v>
      </c>
      <c r="H144" s="51">
        <v>0</v>
      </c>
      <c r="I144" s="56">
        <f t="shared" si="6"/>
        <v>25.6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45</v>
      </c>
      <c r="B145" s="58">
        <v>606</v>
      </c>
      <c r="C145" s="58">
        <v>5</v>
      </c>
      <c r="D145" s="58">
        <v>66</v>
      </c>
      <c r="E145" s="51">
        <v>0.7</v>
      </c>
      <c r="F145" s="51">
        <v>0.16800000000000001</v>
      </c>
      <c r="G145" s="51">
        <v>0.13200000000000001</v>
      </c>
      <c r="H145" s="51">
        <v>0</v>
      </c>
      <c r="I145" s="56">
        <f t="shared" si="6"/>
        <v>22.8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50</v>
      </c>
      <c r="B146" s="58">
        <v>629</v>
      </c>
      <c r="C146" s="58">
        <v>6</v>
      </c>
      <c r="D146" s="58">
        <v>48</v>
      </c>
      <c r="E146" s="51">
        <v>0.7</v>
      </c>
      <c r="F146" s="51">
        <v>0.16800000000000001</v>
      </c>
      <c r="G146" s="51">
        <v>0.13200000000000001</v>
      </c>
      <c r="H146" s="51">
        <v>0</v>
      </c>
      <c r="I146" s="56">
        <f t="shared" si="6"/>
        <v>17.8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55</v>
      </c>
      <c r="B147" s="58">
        <v>650</v>
      </c>
      <c r="C147" s="58">
        <v>7</v>
      </c>
      <c r="D147" s="58">
        <v>35</v>
      </c>
      <c r="E147" s="51">
        <v>0.7</v>
      </c>
      <c r="F147" s="51">
        <v>0.16800000000000001</v>
      </c>
      <c r="G147" s="51">
        <v>0.13200000000000001</v>
      </c>
      <c r="H147" s="51">
        <v>0</v>
      </c>
      <c r="I147" s="56">
        <f>IF(A147&lt;&gt;0,(B147-(B146-D146))/(A147-A146),"")</f>
        <v>13.8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60</v>
      </c>
      <c r="B148" s="58">
        <v>666</v>
      </c>
      <c r="C148" s="58" t="s">
        <v>324</v>
      </c>
      <c r="D148" s="58">
        <f>637+29</f>
        <v>666</v>
      </c>
      <c r="E148" s="51">
        <v>0.7</v>
      </c>
      <c r="F148" s="51">
        <v>0.16800000000000001</v>
      </c>
      <c r="G148" s="51">
        <v>0.13200000000000001</v>
      </c>
      <c r="H148" s="51">
        <v>0</v>
      </c>
      <c r="I148" s="56">
        <f t="shared" si="6"/>
        <v>10.199999999999999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58"/>
      <c r="C149" s="58"/>
      <c r="D149" s="58"/>
      <c r="E149" s="51"/>
      <c r="F149" s="51"/>
      <c r="G149" s="51"/>
      <c r="H149" s="51"/>
      <c r="I149" s="56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58"/>
      <c r="C150" s="58"/>
      <c r="D150" s="58"/>
      <c r="E150" s="51"/>
      <c r="F150" s="51"/>
      <c r="G150" s="51"/>
      <c r="H150" s="51"/>
      <c r="I150" s="56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58"/>
      <c r="C151" s="58"/>
      <c r="D151" s="58"/>
      <c r="E151" s="51"/>
      <c r="F151" s="51"/>
      <c r="G151" s="51"/>
      <c r="H151" s="51"/>
      <c r="I151" s="56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58"/>
      <c r="C152" s="58"/>
      <c r="D152" s="58"/>
      <c r="E152" s="51"/>
      <c r="F152" s="51"/>
      <c r="G152" s="51"/>
      <c r="H152" s="51"/>
      <c r="I152" s="56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58"/>
      <c r="C153" s="58"/>
      <c r="D153" s="58"/>
      <c r="E153" s="51"/>
      <c r="F153" s="51"/>
      <c r="G153" s="51"/>
      <c r="H153" s="51"/>
      <c r="I153" s="56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0"/>
      <c r="B154" s="50"/>
      <c r="C154" s="50"/>
      <c r="D154" s="50"/>
      <c r="E154" s="51"/>
      <c r="F154" s="51"/>
      <c r="G154" s="51"/>
      <c r="H154" s="51"/>
      <c r="I154" s="56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0"/>
      <c r="B155" s="50"/>
      <c r="C155" s="50"/>
      <c r="D155" s="50"/>
      <c r="E155" s="51"/>
      <c r="F155" s="51"/>
      <c r="G155" s="51"/>
      <c r="H155" s="51"/>
      <c r="I155" s="56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0"/>
      <c r="B156" s="50"/>
      <c r="C156" s="50"/>
      <c r="D156" s="50"/>
      <c r="E156" s="51"/>
      <c r="F156" s="51"/>
      <c r="G156" s="51"/>
      <c r="H156" s="51"/>
      <c r="I156" s="56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0"/>
      <c r="B157" s="50"/>
      <c r="C157" s="50"/>
      <c r="D157" s="50"/>
      <c r="E157" s="51"/>
      <c r="F157" s="51"/>
      <c r="G157" s="51"/>
      <c r="H157" s="51"/>
      <c r="I157" s="56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0"/>
      <c r="B158" s="50"/>
      <c r="C158" s="50"/>
      <c r="D158" s="50"/>
      <c r="E158" s="51"/>
      <c r="F158" s="51"/>
      <c r="G158" s="51"/>
      <c r="H158" s="51"/>
      <c r="I158" s="56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0"/>
      <c r="B159" s="50"/>
      <c r="C159" s="50"/>
      <c r="D159" s="50"/>
      <c r="E159" s="51"/>
      <c r="F159" s="51"/>
      <c r="G159" s="51"/>
      <c r="H159" s="51"/>
      <c r="I159" s="56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Aulne glutineux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3" t="s">
        <v>185</v>
      </c>
      <c r="C164" s="288" t="s">
        <v>186</v>
      </c>
      <c r="D164" s="288"/>
      <c r="E164" s="289" t="s">
        <v>187</v>
      </c>
      <c r="F164" s="290"/>
      <c r="G164" s="290"/>
      <c r="H164" s="29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15</v>
      </c>
      <c r="B166" s="58">
        <v>99.659000000000006</v>
      </c>
      <c r="C166" s="58">
        <v>1</v>
      </c>
      <c r="D166" s="58">
        <v>20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6.6439333333333339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25</v>
      </c>
      <c r="B167" s="58">
        <v>174.28619999999998</v>
      </c>
      <c r="C167" s="58">
        <v>2</v>
      </c>
      <c r="D167" s="58">
        <v>29.047699999999999</v>
      </c>
      <c r="E167" s="51">
        <v>0.7</v>
      </c>
      <c r="F167" s="51">
        <v>0</v>
      </c>
      <c r="G167" s="51">
        <v>0</v>
      </c>
      <c r="H167" s="51">
        <v>0.3</v>
      </c>
      <c r="I167" s="49">
        <f t="shared" ref="I167:I185" si="7">IF(A167&lt;&gt;0,(B167-(B166-D166))/(A167-A166),"")</f>
        <v>9.4627199999999974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35</v>
      </c>
      <c r="B168" s="58">
        <v>264.58570000000003</v>
      </c>
      <c r="C168" s="58">
        <v>3</v>
      </c>
      <c r="D168" s="58">
        <v>44.097616666666674</v>
      </c>
      <c r="E168" s="51">
        <v>0.7</v>
      </c>
      <c r="F168" s="51">
        <v>0</v>
      </c>
      <c r="G168" s="51">
        <v>0</v>
      </c>
      <c r="H168" s="51">
        <v>0.3</v>
      </c>
      <c r="I168" s="49">
        <f t="shared" si="7"/>
        <v>11.934720000000004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45</v>
      </c>
      <c r="B169" s="58">
        <v>364.55528333333342</v>
      </c>
      <c r="C169" s="58">
        <v>4</v>
      </c>
      <c r="D169" s="58">
        <v>60.759213888888908</v>
      </c>
      <c r="E169" s="51">
        <v>0.9</v>
      </c>
      <c r="F169" s="51">
        <v>0</v>
      </c>
      <c r="G169" s="51">
        <v>0</v>
      </c>
      <c r="H169" s="51">
        <v>0.1</v>
      </c>
      <c r="I169" s="49">
        <f t="shared" si="7"/>
        <v>14.406720000000007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55</v>
      </c>
      <c r="B170" s="58">
        <v>468.51506944444446</v>
      </c>
      <c r="C170" s="58" t="s">
        <v>324</v>
      </c>
      <c r="D170" s="58">
        <v>468.51506944444446</v>
      </c>
      <c r="E170" s="51">
        <v>0.9</v>
      </c>
      <c r="F170" s="51">
        <v>0</v>
      </c>
      <c r="G170" s="51">
        <v>0</v>
      </c>
      <c r="H170" s="51">
        <v>0.1</v>
      </c>
      <c r="I170" s="49">
        <f t="shared" si="7"/>
        <v>16.471899999999994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58"/>
      <c r="C171" s="58"/>
      <c r="D171" s="58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58"/>
      <c r="C172" s="58"/>
      <c r="D172" s="58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Alisier torminal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3" t="s">
        <v>185</v>
      </c>
      <c r="C190" s="288" t="s">
        <v>186</v>
      </c>
      <c r="D190" s="288"/>
      <c r="E190" s="289" t="s">
        <v>187</v>
      </c>
      <c r="F190" s="290"/>
      <c r="G190" s="290"/>
      <c r="H190" s="29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42</v>
      </c>
      <c r="B192" s="58">
        <v>90.4</v>
      </c>
      <c r="C192" s="58">
        <v>1</v>
      </c>
      <c r="D192" s="58">
        <v>24</v>
      </c>
      <c r="E192" s="51">
        <v>0</v>
      </c>
      <c r="F192" s="51">
        <v>0</v>
      </c>
      <c r="G192" s="51">
        <v>0</v>
      </c>
      <c r="H192" s="51">
        <v>1</v>
      </c>
      <c r="I192" s="49">
        <f>IFERROR(B192/A192,"")</f>
        <v>2.1523809523809527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48</v>
      </c>
      <c r="B193" s="58">
        <v>96</v>
      </c>
      <c r="C193" s="58">
        <v>2</v>
      </c>
      <c r="D193" s="58">
        <v>22.400000000000002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8">IF(A193&lt;&gt;0,(B193-(B192-D192))/(A193-A192),"")</f>
        <v>4.9333333333333327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56</v>
      </c>
      <c r="B194" s="58">
        <v>110.4</v>
      </c>
      <c r="C194" s="58">
        <v>3</v>
      </c>
      <c r="D194" s="58">
        <v>28.8</v>
      </c>
      <c r="E194" s="51">
        <v>0</v>
      </c>
      <c r="F194" s="51">
        <v>0</v>
      </c>
      <c r="G194" s="51">
        <v>0</v>
      </c>
      <c r="H194" s="51">
        <v>1</v>
      </c>
      <c r="I194" s="49">
        <f t="shared" si="8"/>
        <v>4.6000000000000014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64</v>
      </c>
      <c r="B195" s="58">
        <v>124</v>
      </c>
      <c r="C195" s="58">
        <v>4</v>
      </c>
      <c r="D195" s="58">
        <v>32.800000000000004</v>
      </c>
      <c r="E195" s="51">
        <v>0.7</v>
      </c>
      <c r="F195" s="51">
        <v>0</v>
      </c>
      <c r="G195" s="51">
        <v>0</v>
      </c>
      <c r="H195" s="51">
        <v>0.3</v>
      </c>
      <c r="I195" s="49">
        <f t="shared" si="8"/>
        <v>5.2999999999999989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72</v>
      </c>
      <c r="B196" s="58">
        <v>128</v>
      </c>
      <c r="C196" s="58">
        <v>5</v>
      </c>
      <c r="D196" s="58">
        <v>25.6</v>
      </c>
      <c r="E196" s="51">
        <v>0.7</v>
      </c>
      <c r="F196" s="51">
        <v>0</v>
      </c>
      <c r="G196" s="51">
        <v>0</v>
      </c>
      <c r="H196" s="51">
        <v>0.3</v>
      </c>
      <c r="I196" s="49">
        <f t="shared" si="8"/>
        <v>4.6000000000000014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81</v>
      </c>
      <c r="B197" s="58">
        <v>137.6</v>
      </c>
      <c r="C197" s="58">
        <v>6</v>
      </c>
      <c r="D197" s="58">
        <v>24.8</v>
      </c>
      <c r="E197" s="51">
        <v>0.7</v>
      </c>
      <c r="F197" s="51">
        <v>0</v>
      </c>
      <c r="G197" s="51">
        <v>0</v>
      </c>
      <c r="H197" s="51">
        <v>0.3</v>
      </c>
      <c r="I197" s="49">
        <f t="shared" si="8"/>
        <v>3.9111111111111097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90</v>
      </c>
      <c r="B198" s="58">
        <v>147.20000000000002</v>
      </c>
      <c r="C198" s="58">
        <v>7</v>
      </c>
      <c r="D198" s="58">
        <v>24</v>
      </c>
      <c r="E198" s="51">
        <v>0.7</v>
      </c>
      <c r="F198" s="51">
        <v>0</v>
      </c>
      <c r="G198" s="51">
        <v>0</v>
      </c>
      <c r="H198" s="51">
        <v>0.3</v>
      </c>
      <c r="I198" s="49">
        <f t="shared" si="8"/>
        <v>3.8222222222222246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102</v>
      </c>
      <c r="B199" s="50">
        <v>168.8</v>
      </c>
      <c r="C199" s="50">
        <v>8</v>
      </c>
      <c r="D199" s="50">
        <v>32.800000000000004</v>
      </c>
      <c r="E199" s="51">
        <v>0.9</v>
      </c>
      <c r="F199" s="51">
        <v>0</v>
      </c>
      <c r="G199" s="51">
        <v>0</v>
      </c>
      <c r="H199" s="51">
        <v>0.1</v>
      </c>
      <c r="I199" s="49">
        <f t="shared" si="8"/>
        <v>3.7999999999999994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114</v>
      </c>
      <c r="B200" s="50">
        <v>180</v>
      </c>
      <c r="C200" s="50">
        <v>9</v>
      </c>
      <c r="D200" s="50">
        <v>29.6</v>
      </c>
      <c r="E200" s="51">
        <v>0.9</v>
      </c>
      <c r="F200" s="51">
        <v>0</v>
      </c>
      <c r="G200" s="51">
        <v>0</v>
      </c>
      <c r="H200" s="51">
        <v>0.1</v>
      </c>
      <c r="I200" s="49">
        <f t="shared" si="8"/>
        <v>3.6666666666666665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126</v>
      </c>
      <c r="B201" s="50">
        <v>194.4</v>
      </c>
      <c r="C201" s="50">
        <v>10</v>
      </c>
      <c r="D201" s="50">
        <v>30.400000000000002</v>
      </c>
      <c r="E201" s="51">
        <v>0.9</v>
      </c>
      <c r="F201" s="51">
        <v>0</v>
      </c>
      <c r="G201" s="51">
        <v>0</v>
      </c>
      <c r="H201" s="51">
        <v>0.1</v>
      </c>
      <c r="I201" s="49">
        <f t="shared" si="8"/>
        <v>3.6666666666666665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138</v>
      </c>
      <c r="B202" s="50">
        <v>209.60000000000002</v>
      </c>
      <c r="C202" s="50">
        <v>11</v>
      </c>
      <c r="D202" s="50">
        <v>31.200000000000003</v>
      </c>
      <c r="E202" s="51">
        <v>0.9</v>
      </c>
      <c r="F202" s="51">
        <v>0</v>
      </c>
      <c r="G202" s="51">
        <v>0</v>
      </c>
      <c r="H202" s="51">
        <v>0.1</v>
      </c>
      <c r="I202" s="49">
        <f t="shared" si="8"/>
        <v>3.800000000000002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153</v>
      </c>
      <c r="B203" s="50">
        <v>236.8</v>
      </c>
      <c r="C203" s="50" t="s">
        <v>324</v>
      </c>
      <c r="D203" s="50">
        <v>236.8</v>
      </c>
      <c r="E203" s="51">
        <v>0.9</v>
      </c>
      <c r="F203" s="51">
        <v>0</v>
      </c>
      <c r="G203" s="51">
        <v>0</v>
      </c>
      <c r="H203" s="51">
        <v>0.1</v>
      </c>
      <c r="I203" s="49">
        <f t="shared" si="8"/>
        <v>3.8933333333333318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Peuplier Koster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3" t="s">
        <v>185</v>
      </c>
      <c r="C216" s="288" t="s">
        <v>186</v>
      </c>
      <c r="D216" s="288"/>
      <c r="E216" s="289" t="s">
        <v>187</v>
      </c>
      <c r="F216" s="290"/>
      <c r="G216" s="290"/>
      <c r="H216" s="29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</v>
      </c>
      <c r="B218" s="58">
        <v>2.2999999999999998</v>
      </c>
      <c r="C218" s="50"/>
      <c r="D218" s="58"/>
      <c r="E218" s="61"/>
      <c r="F218" s="61"/>
      <c r="G218" s="61"/>
      <c r="H218" s="61"/>
      <c r="I218" s="53">
        <f>IFERROR(B218/A218,"")</f>
        <v>1.1499999999999999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3</v>
      </c>
      <c r="B219" s="58">
        <v>5.5</v>
      </c>
      <c r="C219" s="50"/>
      <c r="D219" s="58"/>
      <c r="E219" s="61"/>
      <c r="F219" s="61"/>
      <c r="G219" s="61"/>
      <c r="H219" s="61"/>
      <c r="I219" s="53">
        <f t="shared" ref="I219:I237" si="9">IF(A219&lt;&gt;0,(B219-(B218-D218))/(A219-A218),"")</f>
        <v>3.2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4</v>
      </c>
      <c r="B220" s="58">
        <v>10.199999999999999</v>
      </c>
      <c r="C220" s="50"/>
      <c r="D220" s="58"/>
      <c r="E220" s="61"/>
      <c r="F220" s="61"/>
      <c r="G220" s="61"/>
      <c r="H220" s="61"/>
      <c r="I220" s="53">
        <f t="shared" si="9"/>
        <v>4.6999999999999993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</v>
      </c>
      <c r="B221" s="55">
        <v>22.9</v>
      </c>
      <c r="C221" s="55"/>
      <c r="D221" s="55"/>
      <c r="E221" s="61"/>
      <c r="F221" s="61"/>
      <c r="G221" s="61"/>
      <c r="H221" s="61"/>
      <c r="I221" s="53">
        <f t="shared" si="9"/>
        <v>12.7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6</v>
      </c>
      <c r="B222" s="55">
        <v>39.200000000000003</v>
      </c>
      <c r="C222" s="55"/>
      <c r="D222" s="55"/>
      <c r="E222" s="61"/>
      <c r="F222" s="61"/>
      <c r="G222" s="61"/>
      <c r="H222" s="61"/>
      <c r="I222" s="53">
        <f t="shared" si="9"/>
        <v>16.300000000000004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7</v>
      </c>
      <c r="B223" s="55">
        <v>54.6</v>
      </c>
      <c r="C223" s="55"/>
      <c r="D223" s="55"/>
      <c r="E223" s="61"/>
      <c r="F223" s="61"/>
      <c r="G223" s="61"/>
      <c r="H223" s="61"/>
      <c r="I223" s="53">
        <f t="shared" si="9"/>
        <v>15.399999999999999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8</v>
      </c>
      <c r="B224" s="55">
        <v>72.3</v>
      </c>
      <c r="C224" s="55"/>
      <c r="D224" s="55"/>
      <c r="E224" s="61"/>
      <c r="F224" s="61"/>
      <c r="G224" s="61"/>
      <c r="H224" s="61"/>
      <c r="I224" s="53">
        <f t="shared" si="9"/>
        <v>17.699999999999996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9</v>
      </c>
      <c r="B225" s="55">
        <v>91.8</v>
      </c>
      <c r="C225" s="55"/>
      <c r="D225" s="55"/>
      <c r="E225" s="61"/>
      <c r="F225" s="61"/>
      <c r="G225" s="61"/>
      <c r="H225" s="61"/>
      <c r="I225" s="53">
        <f t="shared" si="9"/>
        <v>19.5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10</v>
      </c>
      <c r="B226" s="55">
        <v>112.8</v>
      </c>
      <c r="C226" s="55"/>
      <c r="D226" s="55"/>
      <c r="E226" s="61"/>
      <c r="F226" s="61"/>
      <c r="G226" s="61"/>
      <c r="H226" s="61"/>
      <c r="I226" s="53">
        <f t="shared" si="9"/>
        <v>21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11</v>
      </c>
      <c r="B227" s="55">
        <v>135</v>
      </c>
      <c r="C227" s="55"/>
      <c r="D227" s="55"/>
      <c r="E227" s="61"/>
      <c r="F227" s="61"/>
      <c r="G227" s="61"/>
      <c r="H227" s="61"/>
      <c r="I227" s="53">
        <f t="shared" si="9"/>
        <v>22.200000000000003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12</v>
      </c>
      <c r="B228" s="55">
        <v>157.80000000000001</v>
      </c>
      <c r="C228" s="55"/>
      <c r="D228" s="55"/>
      <c r="E228" s="61"/>
      <c r="F228" s="61"/>
      <c r="G228" s="61"/>
      <c r="H228" s="61"/>
      <c r="I228" s="53">
        <f t="shared" si="9"/>
        <v>22.800000000000011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13</v>
      </c>
      <c r="B229" s="55">
        <v>180.9</v>
      </c>
      <c r="C229" s="55"/>
      <c r="D229" s="55"/>
      <c r="E229" s="61"/>
      <c r="F229" s="61"/>
      <c r="G229" s="61"/>
      <c r="H229" s="61"/>
      <c r="I229" s="53">
        <f t="shared" si="9"/>
        <v>23.099999999999994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14</v>
      </c>
      <c r="B230" s="55">
        <v>192</v>
      </c>
      <c r="C230" s="55"/>
      <c r="D230" s="55"/>
      <c r="E230" s="62"/>
      <c r="F230" s="62"/>
      <c r="G230" s="62"/>
      <c r="H230" s="62"/>
      <c r="I230" s="53">
        <f t="shared" si="9"/>
        <v>11.099999999999994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6">
        <v>15</v>
      </c>
      <c r="B231" s="58">
        <v>201.4</v>
      </c>
      <c r="C231" s="86"/>
      <c r="D231" s="58"/>
      <c r="E231" s="54"/>
      <c r="F231" s="54"/>
      <c r="G231" s="54"/>
      <c r="H231" s="54"/>
      <c r="I231" s="53">
        <f t="shared" si="9"/>
        <v>9.4000000000000057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>
        <v>16</v>
      </c>
      <c r="B232" s="50">
        <v>209.3</v>
      </c>
      <c r="C232" s="50"/>
      <c r="D232" s="50"/>
      <c r="E232" s="54"/>
      <c r="F232" s="54"/>
      <c r="G232" s="54"/>
      <c r="H232" s="54"/>
      <c r="I232" s="53">
        <f t="shared" si="9"/>
        <v>7.9000000000000057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>
        <v>17</v>
      </c>
      <c r="B233" s="50">
        <v>215.5</v>
      </c>
      <c r="C233" s="50"/>
      <c r="D233" s="50"/>
      <c r="E233" s="54"/>
      <c r="F233" s="54"/>
      <c r="G233" s="54"/>
      <c r="H233" s="54"/>
      <c r="I233" s="53">
        <f t="shared" si="9"/>
        <v>6.1999999999999886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>
        <v>18</v>
      </c>
      <c r="B234" s="50">
        <v>220.2</v>
      </c>
      <c r="C234" s="50"/>
      <c r="D234" s="50"/>
      <c r="E234" s="54"/>
      <c r="F234" s="54"/>
      <c r="G234" s="54"/>
      <c r="H234" s="54"/>
      <c r="I234" s="53">
        <f t="shared" si="9"/>
        <v>4.6999999999999886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>
        <v>19</v>
      </c>
      <c r="B235" s="50">
        <v>223.4</v>
      </c>
      <c r="C235" s="50"/>
      <c r="D235" s="50"/>
      <c r="E235" s="54"/>
      <c r="F235" s="54"/>
      <c r="G235" s="54"/>
      <c r="H235" s="54"/>
      <c r="I235" s="53">
        <f t="shared" si="9"/>
        <v>3.2000000000000171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>
        <v>20</v>
      </c>
      <c r="B236" s="50">
        <v>225.3</v>
      </c>
      <c r="C236" s="50"/>
      <c r="D236" s="50"/>
      <c r="E236" s="54"/>
      <c r="F236" s="54"/>
      <c r="G236" s="54"/>
      <c r="H236" s="54"/>
      <c r="I236" s="53">
        <f t="shared" si="9"/>
        <v>1.9000000000000057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>
        <v>21</v>
      </c>
      <c r="B237" s="50">
        <v>225.9</v>
      </c>
      <c r="C237" s="50" t="s">
        <v>324</v>
      </c>
      <c r="D237" s="50">
        <v>225.9</v>
      </c>
      <c r="E237" s="54">
        <v>0.77</v>
      </c>
      <c r="F237" s="54">
        <v>0.21</v>
      </c>
      <c r="G237" s="54">
        <v>0</v>
      </c>
      <c r="H237" s="54">
        <v>0</v>
      </c>
      <c r="I237" s="53">
        <f t="shared" si="9"/>
        <v>0.59999999999999432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3" t="s">
        <v>185</v>
      </c>
      <c r="C242" s="288" t="s">
        <v>186</v>
      </c>
      <c r="D242" s="288"/>
      <c r="E242" s="289" t="s">
        <v>187</v>
      </c>
      <c r="F242" s="290"/>
      <c r="G242" s="290"/>
      <c r="H242" s="29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58"/>
      <c r="C244" s="58"/>
      <c r="D244" s="58"/>
      <c r="E244" s="51"/>
      <c r="F244" s="51"/>
      <c r="G244" s="51"/>
      <c r="H244" s="61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58"/>
      <c r="C245" s="58"/>
      <c r="D245" s="58"/>
      <c r="E245" s="61"/>
      <c r="F245" s="61"/>
      <c r="G245" s="61"/>
      <c r="H245" s="61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58"/>
      <c r="C246" s="58"/>
      <c r="D246" s="58"/>
      <c r="E246" s="61"/>
      <c r="F246" s="61"/>
      <c r="G246" s="61"/>
      <c r="H246" s="61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58"/>
      <c r="C247" s="58"/>
      <c r="D247" s="58"/>
      <c r="E247" s="61"/>
      <c r="F247" s="61"/>
      <c r="G247" s="61"/>
      <c r="H247" s="61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58"/>
      <c r="C248" s="58"/>
      <c r="D248" s="58"/>
      <c r="E248" s="61"/>
      <c r="F248" s="61"/>
      <c r="G248" s="61"/>
      <c r="H248" s="61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58"/>
      <c r="C249" s="58"/>
      <c r="D249" s="58"/>
      <c r="E249" s="61"/>
      <c r="F249" s="61"/>
      <c r="G249" s="61"/>
      <c r="H249" s="61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58"/>
      <c r="C250" s="58"/>
      <c r="D250" s="58"/>
      <c r="E250" s="61"/>
      <c r="F250" s="61"/>
      <c r="G250" s="61"/>
      <c r="H250" s="61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1"/>
      <c r="F251" s="61"/>
      <c r="G251" s="61"/>
      <c r="H251" s="61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1"/>
      <c r="F252" s="61"/>
      <c r="G252" s="61"/>
      <c r="H252" s="61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1"/>
      <c r="F253" s="61"/>
      <c r="G253" s="61"/>
      <c r="H253" s="61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1"/>
      <c r="F254" s="61"/>
      <c r="G254" s="61"/>
      <c r="H254" s="61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1"/>
      <c r="F255" s="61"/>
      <c r="G255" s="61"/>
      <c r="H255" s="61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2"/>
      <c r="F256" s="62"/>
      <c r="G256" s="62"/>
      <c r="H256" s="62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6"/>
      <c r="B257" s="58"/>
      <c r="C257" s="86"/>
      <c r="D257" s="58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3" t="s">
        <v>185</v>
      </c>
      <c r="C268" s="288" t="s">
        <v>186</v>
      </c>
      <c r="D268" s="288"/>
      <c r="E268" s="289" t="s">
        <v>187</v>
      </c>
      <c r="F268" s="290"/>
      <c r="G268" s="290"/>
      <c r="H268" s="29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58"/>
      <c r="C270" s="50"/>
      <c r="D270" s="58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58"/>
      <c r="C271" s="50"/>
      <c r="D271" s="58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58"/>
      <c r="C272" s="50"/>
      <c r="D272" s="58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58"/>
      <c r="C273" s="50"/>
      <c r="D273" s="58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58"/>
      <c r="C274" s="50"/>
      <c r="D274" s="58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58"/>
      <c r="C275" s="50"/>
      <c r="D275" s="58"/>
      <c r="E275" s="61"/>
      <c r="F275" s="61"/>
      <c r="G275" s="61"/>
      <c r="H275" s="61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58"/>
      <c r="C276" s="50"/>
      <c r="D276" s="58"/>
      <c r="E276" s="61"/>
      <c r="F276" s="61"/>
      <c r="G276" s="61"/>
      <c r="H276" s="61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1"/>
      <c r="F277" s="61"/>
      <c r="G277" s="61"/>
      <c r="H277" s="61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1"/>
      <c r="F278" s="61"/>
      <c r="G278" s="61"/>
      <c r="H278" s="61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1"/>
      <c r="F279" s="61"/>
      <c r="G279" s="61"/>
      <c r="H279" s="61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1"/>
      <c r="F280" s="61"/>
      <c r="G280" s="61"/>
      <c r="H280" s="61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1"/>
      <c r="F281" s="61"/>
      <c r="G281" s="61"/>
      <c r="H281" s="61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2"/>
      <c r="F282" s="62"/>
      <c r="G282" s="62"/>
      <c r="H282" s="62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6"/>
      <c r="B283" s="58"/>
      <c r="C283" s="86"/>
      <c r="D283" s="58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5" sqref="C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302" t="s">
        <v>191</v>
      </c>
      <c r="C2" s="303"/>
      <c r="D2" s="303"/>
      <c r="E2" s="303"/>
      <c r="F2" s="303"/>
      <c r="G2" s="30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301"/>
      <c r="C4" s="301"/>
      <c r="D4" s="301"/>
      <c r="E4" s="301"/>
      <c r="F4" s="301"/>
      <c r="G4" s="30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25">
      <c r="A8" s="103">
        <v>1</v>
      </c>
      <c r="B8" s="59">
        <v>1</v>
      </c>
      <c r="C8" s="49" t="s">
        <v>177</v>
      </c>
      <c r="D8" s="23"/>
      <c r="E8" s="103">
        <v>4</v>
      </c>
      <c r="F8" s="59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3">
        <v>2</v>
      </c>
      <c r="B9" s="59">
        <v>0</v>
      </c>
      <c r="C9" s="106" t="s">
        <v>216</v>
      </c>
      <c r="D9" s="23"/>
      <c r="E9" s="103">
        <v>5</v>
      </c>
      <c r="F9" s="59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3">
        <v>3</v>
      </c>
      <c r="B10" s="59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2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59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59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59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308" t="s">
        <v>176</v>
      </c>
      <c r="C1" s="309"/>
      <c r="D1" s="309"/>
      <c r="E1" s="309"/>
      <c r="F1" s="309"/>
      <c r="G1" s="309"/>
      <c r="H1" s="310"/>
      <c r="I1" s="305" t="str">
        <f>IF('Données projet'!$B$9="","",'Données projet'!$B$9)</f>
        <v>Chêne sessile</v>
      </c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7"/>
      <c r="AD1" s="306" t="str">
        <f>IF('Données projet'!$B$10="","",'Données projet'!$B$10)</f>
        <v>Chêne pédonculé</v>
      </c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7"/>
      <c r="AY1" s="305" t="str">
        <f>IF('Données projet'!$B$11="","",'Données projet'!$B$11)</f>
        <v>Cèdre de l'Atlas</v>
      </c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7"/>
      <c r="BT1" s="305" t="str">
        <f>IF('Données projet'!$B$12="","",'Données projet'!$B$12)</f>
        <v>Charme</v>
      </c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7"/>
      <c r="CO1" s="305" t="str">
        <f>IF('Données projet'!$B$13="","",'Données projet'!$B$13)</f>
        <v>Douglas</v>
      </c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7"/>
      <c r="DJ1" s="305" t="str">
        <f>IF('Données projet'!$B$14="","",'Données projet'!$B$14)</f>
        <v>Aulne glutineux</v>
      </c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7"/>
      <c r="EE1" s="305" t="str">
        <f>IF('Données projet'!$B$15="","",'Données projet'!$B$15)</f>
        <v>Alisier torminal</v>
      </c>
      <c r="EF1" s="306"/>
      <c r="EG1" s="306"/>
      <c r="EH1" s="306"/>
      <c r="EI1" s="306"/>
      <c r="EJ1" s="306"/>
      <c r="EK1" s="306"/>
      <c r="EL1" s="306"/>
      <c r="EM1" s="306"/>
      <c r="EN1" s="306"/>
      <c r="EO1" s="306"/>
      <c r="EP1" s="306"/>
      <c r="EQ1" s="306"/>
      <c r="ER1" s="306"/>
      <c r="ES1" s="306"/>
      <c r="ET1" s="306"/>
      <c r="EU1" s="306"/>
      <c r="EV1" s="306"/>
      <c r="EW1" s="306"/>
      <c r="EX1" s="306"/>
      <c r="EY1" s="307"/>
      <c r="EZ1" s="305" t="str">
        <f>IF('Données projet'!$B$16="","",'Données projet'!$B$16)</f>
        <v>Peuplier Koster</v>
      </c>
      <c r="FA1" s="306"/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L1" s="306"/>
      <c r="FM1" s="306"/>
      <c r="FN1" s="306"/>
      <c r="FO1" s="306"/>
      <c r="FP1" s="306"/>
      <c r="FQ1" s="306"/>
      <c r="FR1" s="306"/>
      <c r="FS1" s="306"/>
      <c r="FT1" s="307"/>
      <c r="FU1" s="305" t="str">
        <f>IF('Données projet'!$B$17="","",'Données projet'!$B$17)</f>
        <v/>
      </c>
      <c r="FV1" s="306"/>
      <c r="FW1" s="306"/>
      <c r="FX1" s="306"/>
      <c r="FY1" s="306"/>
      <c r="FZ1" s="306"/>
      <c r="GA1" s="306"/>
      <c r="GB1" s="306"/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M1" s="306"/>
      <c r="GN1" s="306"/>
      <c r="GO1" s="307"/>
      <c r="GP1" s="305" t="str">
        <f>IF('Données projet'!$B$18="","",'Données projet'!$B$18)</f>
        <v/>
      </c>
      <c r="GQ1" s="306"/>
      <c r="GR1" s="306"/>
      <c r="GS1" s="306"/>
      <c r="GT1" s="306"/>
      <c r="GU1" s="306"/>
      <c r="GV1" s="306"/>
      <c r="GW1" s="306"/>
      <c r="GX1" s="306"/>
      <c r="GY1" s="306"/>
      <c r="GZ1" s="306"/>
      <c r="HA1" s="306"/>
      <c r="HB1" s="306"/>
      <c r="HC1" s="306"/>
      <c r="HD1" s="306"/>
      <c r="HE1" s="306"/>
      <c r="HF1" s="306"/>
      <c r="HG1" s="306"/>
      <c r="HH1" s="306"/>
      <c r="HI1" s="306"/>
      <c r="HJ1" s="307"/>
    </row>
    <row r="2" spans="1:218" ht="75.75" thickBot="1" x14ac:dyDescent="0.3">
      <c r="A2" s="69" t="s">
        <v>178</v>
      </c>
      <c r="B2" s="70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4" t="s">
        <v>299</v>
      </c>
      <c r="I2" s="66" t="s">
        <v>298</v>
      </c>
      <c r="J2" s="67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7" t="s">
        <v>298</v>
      </c>
      <c r="AE2" s="67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6" t="s">
        <v>298</v>
      </c>
      <c r="AZ2" s="67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6" t="s">
        <v>298</v>
      </c>
      <c r="BU2" s="67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6" t="s">
        <v>298</v>
      </c>
      <c r="CP2" s="67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6" t="s">
        <v>298</v>
      </c>
      <c r="DK2" s="67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6" t="s">
        <v>298</v>
      </c>
      <c r="EF2" s="67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6" t="s">
        <v>298</v>
      </c>
      <c r="FA2" s="67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6" t="s">
        <v>298</v>
      </c>
      <c r="FV2" s="67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6" t="s">
        <v>298</v>
      </c>
      <c r="GQ2" s="67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1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5">
        <f>(B3+E3+F3)*44/12+(C3+D3)*0.475*44/12</f>
        <v>183.33333333333334</v>
      </c>
      <c r="I3" s="6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7">
        <f t="shared" ref="R3:R66" si="0">Q3+(I3+J3)*44/12</f>
        <v>165</v>
      </c>
      <c r="S3" s="57">
        <f ca="1">AVERAGE(OFFSET($R$3,0,0,'Données projet'!$E$9+1,1))-AVERAGE(OFFSET($H$3,0,0,'Données projet'!$E$9+1,1))</f>
        <v>539.63700256763173</v>
      </c>
      <c r="T3" s="57">
        <f>IF('Données projet'!E9&gt;30,$R$33-$H$33,LOOKUP('Données projet'!$E$9,$A$3:$A$203,R3:R203)-LOOKUP('Données projet'!$E$9,$A$3:$A$203,$H$3:$H$203))</f>
        <v>297.32483725004136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7">
        <f>AL3+(AD3+AE3)*44/12</f>
        <v>165</v>
      </c>
      <c r="AN3" s="57">
        <f ca="1">AVERAGE(OFFSET($AM$3,0,0,'Données projet'!$E$10+1,1))-AVERAGE(OFFSET($H$3,0,0,'Données projet'!$E$10+1,1))</f>
        <v>508.21188526136734</v>
      </c>
      <c r="AO3" s="57">
        <f>IF('Données projet'!E10&gt;30,$AM$33-$H$33,LOOKUP('Données projet'!$E$10,$A$3:$A$203,AM3:AM203)-LOOKUP('Données projet'!$E$10,$A$3:$A$203,$H$3:$H$203))</f>
        <v>281.06176764290592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7">
        <f>BG3+(AY3+AZ3)*44/12</f>
        <v>165</v>
      </c>
      <c r="BI3" s="57">
        <f ca="1">AVERAGE(OFFSET($BH$3,0,0,'Données projet'!$E$11+1,1))-AVERAGE(OFFSET($H$3,0,0,'Données projet'!$E$11+1,1))</f>
        <v>449.50723280509311</v>
      </c>
      <c r="BJ3" s="57">
        <f>IF('Données projet'!E11&gt;30,$BH$33-$H$33,LOOKUP('Données projet'!$E$11,$A$3:$A$203,BH3:BH203)-LOOKUP('Données projet'!$E$11,$A$3:$A$203,$H$3:$H$203))</f>
        <v>281.26353650058275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7">
        <f>CB3+(BT3+BU3)*44/12</f>
        <v>165</v>
      </c>
      <c r="CD3" s="57">
        <f ca="1">AVERAGE(OFFSET($CC$3,0,0,'Données projet'!$E$12+1,1))-AVERAGE(OFFSET($H$3,0,0,'Données projet'!$E$12+1,1))</f>
        <v>479.4551766174892</v>
      </c>
      <c r="CE3" s="57">
        <f>IF('Données projet'!E12&gt;30,$CC$33-$H$33,LOOKUP('Données projet'!$E$12,$A$3:$A$203,CC3:CC203)-LOOKUP('Données projet'!$E$12,$A$3:$A$203,$H$3:$H$203))</f>
        <v>260.29028006191834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7">
        <f>CW3+(CO3+CP3)*44/12</f>
        <v>165</v>
      </c>
      <c r="CY3" s="57">
        <f ca="1">AVERAGE(OFFSET($CX$3,0,0,'Données projet'!$E$13+1,1))-AVERAGE(OFFSET($H$3,0,0,'Données projet'!$E$13+1,1))</f>
        <v>459.83870442974046</v>
      </c>
      <c r="CZ3" s="57">
        <f>IF('Données projet'!E13&gt;30,$CX$33-$H$33,LOOKUP('Données projet'!$E$13,$A$3:$A$203,CX3:CX203)-LOOKUP('Données projet'!$E$13,$A$3:$A$203,$H$3:$H$203))</f>
        <v>565.68976940602215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7">
        <f>DR3+(DJ3+DK3)*44/12</f>
        <v>165</v>
      </c>
      <c r="DT3" s="57">
        <f ca="1">AVERAGE(OFFSET($DS$3,0,0,'Données projet'!$E$14+1,1))-AVERAGE(OFFSET($H$3,0,0,'Données projet'!$E$14+1,1))</f>
        <v>315.23504986325418</v>
      </c>
      <c r="DU3" s="57">
        <f>IF('Données projet'!E14&gt;30,$DS$33-$H$33,LOOKUP('Données projet'!$E$14,$A$3:$A$203,DS3:DS203)-LOOKUP('Données projet'!$E$14,$A$3:$A$203,$H$3:$H$203))</f>
        <v>350.52837099886688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7">
        <f>EM3+(EE3+EF3)*44/12</f>
        <v>165</v>
      </c>
      <c r="EO3" s="57">
        <f ca="1">AVERAGE(OFFSET($EN$3,0,0,'Données projet'!$E$15+1,1))-AVERAGE(OFFSET($H$3,0,0,'Données projet'!$E$15+1,1))</f>
        <v>328.31200866623891</v>
      </c>
      <c r="EP3" s="57">
        <f>IF('Données projet'!E15&gt;30,$EN$33-$H$33,LOOKUP('Données projet'!$E$15,$A$3:$A$203,EN3:EN203)-LOOKUP('Données projet'!$E$15,$A$3:$A$203,$H$3:$H$203))</f>
        <v>195.52650232917446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7">
        <f>FH3+(EZ3+FA3)*44/12</f>
        <v>165</v>
      </c>
      <c r="FJ3" s="57">
        <f ca="1">AVERAGE(OFFSET($FI$3,0,0,'Données projet'!$E$16+1,1))-AVERAGE(OFFSET($H$3,0,0,'Données projet'!$E$16+1,1))</f>
        <v>142.88219003619457</v>
      </c>
      <c r="FK3" s="57">
        <f>IF('Données projet'!E16&gt;30,$FI$33-$H$33,LOOKUP('Données projet'!$E$16,$A$3:$A$203,FI3:FI203)-LOOKUP('Données projet'!$E$16,$A$3:$A$203,$H$3:$H$203))</f>
        <v>288.69704547625088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7" t="e">
        <f>GC3+(FU3+FV3)*44/12</f>
        <v>#N/A</v>
      </c>
      <c r="GE3" s="57" t="e">
        <f ca="1">AVERAGE(OFFSET($GD$3,0,0,'Données projet'!$E$17+1,1))-AVERAGE(OFFSET($H$3,0,0,'Données projet'!$E$17+1,1))</f>
        <v>#N/A</v>
      </c>
      <c r="GF3" s="57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7" t="e">
        <f>GX3+(GP3+GQ3)*44/12</f>
        <v>#N/A</v>
      </c>
      <c r="GZ3" s="57" t="e">
        <f ca="1">AVERAGE(OFFSET($GY$3,0,0,'Données projet'!$E$18+1,1))-AVERAGE(OFFSET($H$3,0,0,'Données projet'!$E$18+1,1))</f>
        <v>#N/A</v>
      </c>
      <c r="HA3" s="57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1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5">
        <f t="shared" ref="H4:H67" si="1">(B4+E4+F4)*44/12+(C4+D4)*0.475*44/12</f>
        <v>183.33333333333334</v>
      </c>
      <c r="I4" s="6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7">
        <f t="shared" si="0"/>
        <v>170.65342372509684</v>
      </c>
      <c r="S4" s="57">
        <f ca="1">AVERAGE(OFFSET($R$3,0,0,'Données projet'!$E$9+1,1))-AVERAGE(OFFSET($H$3,0,0,'Données projet'!$E$9+1,1))</f>
        <v>539.63700256763173</v>
      </c>
      <c r="T4" s="57">
        <f>$T$3</f>
        <v>297.32483725004136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1.0439615443779955</v>
      </c>
      <c r="AK4" s="13">
        <f>EXP(-1.0587+0.8836*LN(AJ4)+0.284)</f>
        <v>0.478698084995758</v>
      </c>
      <c r="AL4" s="20">
        <f t="shared" ref="AL4:AL67" si="4">(AJ4+AK4)*0.475*44/12</f>
        <v>2.6519655211592874</v>
      </c>
      <c r="AM4" s="57">
        <f t="shared" ref="AM4:AM67" si="5">AL4+(AD4+AE4)*44/12</f>
        <v>170.46439947408314</v>
      </c>
      <c r="AN4" s="57">
        <f ca="1">AVERAGE(OFFSET($AM$3,0,0,'Données projet'!$E$10+1,1))-AVERAGE(OFFSET($H$3,0,0,'Données projet'!$E$10+1,1))</f>
        <v>508.21188526136734</v>
      </c>
      <c r="AO4" s="57">
        <f>$AO$3</f>
        <v>281.06176764290592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0.60280758376398436</v>
      </c>
      <c r="BF4" s="13">
        <f>EXP(-1.0587+0.8836*LN(BE4)+0.284)</f>
        <v>0.29465781953181042</v>
      </c>
      <c r="BG4" s="20">
        <f t="shared" ref="BG4:BG67" si="7">(BE4+BF4)*0.475*44/12</f>
        <v>1.5630855774068424</v>
      </c>
      <c r="BH4" s="57">
        <f t="shared" ref="BH4:BH67" si="8">BG4+(AY4+AZ4)*44/12</f>
        <v>169.37551953033068</v>
      </c>
      <c r="BI4" s="57">
        <f ca="1">AVERAGE(OFFSET($BH$3,0,0,'Données projet'!$E$11+1,1))-AVERAGE(OFFSET($H$3,0,0,'Données projet'!$E$11+1,1))</f>
        <v>449.50723280509311</v>
      </c>
      <c r="BJ4" s="57">
        <f>$BJ$3</f>
        <v>281.26353650058275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2.8</v>
      </c>
      <c r="BY4" s="12">
        <f>IF('Données projet'!$A$114&gt;35,BY3+BX4-CG3,IF(A4&lt;'Données projet'!$A$114,$BV$205^A4,IF(A4='Données projet'!$A$114,'Données projet'!$B$114,BY3+BX4-CG3)))</f>
        <v>1.1852335095914694</v>
      </c>
      <c r="BZ4" s="13">
        <f>BY4*VLOOKUP('Données projet'!$B$12,Paramètres!$A$1:$I$89,3,0)*VLOOKUP('Données projet'!$B$12,Paramètres!$A$1:$I$89,5,0)</f>
        <v>1.1278682077272424</v>
      </c>
      <c r="CA4" s="13">
        <f>EXP(-1.0587+0.8836*LN(BZ4)+0.284)</f>
        <v>0.51253974361771537</v>
      </c>
      <c r="CB4" s="20">
        <f t="shared" ref="CB4:CB67" si="10">(BZ4+CA4)*0.475*44/12</f>
        <v>2.8570438485924678</v>
      </c>
      <c r="CC4" s="57">
        <f t="shared" ref="CC4:CC67" si="11">CB4+(BT4+BU4)*44/12</f>
        <v>170.66947780151631</v>
      </c>
      <c r="CD4" s="57">
        <f ca="1">AVERAGE(OFFSET($CC$3,0,0,'Données projet'!$E$12+1,1))-AVERAGE(OFFSET($H$3,0,0,'Données projet'!$E$12+1,1))</f>
        <v>479.4551766174892</v>
      </c>
      <c r="CE4" s="57">
        <f>$CE$3</f>
        <v>260.29028006191834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8.526315789473685</v>
      </c>
      <c r="CT4" s="12">
        <f>IF('Données projet'!$A$140&gt;35,CT3+CS4-DB3,IF(A4&lt;'Données projet'!$A$140,$CQ$205^A4,IF(A4='Données projet'!$A$140,'Données projet'!$B$140,CT3+CS4-DB3)))</f>
        <v>1.3070441688874561</v>
      </c>
      <c r="CU4" s="17">
        <f>CT4*VLOOKUP('Données projet'!$B$13,Paramètres!$A$1:$I$89,3,0)*VLOOKUP('Données projet'!$B$13,Paramètres!$A$1:$I$89,5,0)</f>
        <v>0.73063769040808801</v>
      </c>
      <c r="CV4" s="13">
        <f>EXP(-1.0587+0.8836*LN(CU4)+0.284)</f>
        <v>0.34923616900555043</v>
      </c>
      <c r="CW4" s="20">
        <f t="shared" ref="CW4:CW67" si="13">(CU4+CV4)*0.475*44/12</f>
        <v>1.8807803051454206</v>
      </c>
      <c r="CX4" s="57">
        <f t="shared" ref="CX4:CX67" si="14">CW4+(CO4+CP4)*44/12</f>
        <v>169.69321425806925</v>
      </c>
      <c r="CY4" s="57">
        <f ca="1">AVERAGE(OFFSET($CX$3,0,0,'Données projet'!$E$13+1,1))-AVERAGE(OFFSET($H$3,0,0,'Données projet'!$E$13+1,1))</f>
        <v>459.83870442974046</v>
      </c>
      <c r="CZ4" s="57">
        <f>$CZ$3</f>
        <v>565.68976940602215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6.6439333333333339</v>
      </c>
      <c r="DO4" s="12">
        <f>IF('Données projet'!$A$166&gt;35,DO3+DN4-DW3,IF(A4&lt;'Données projet'!$A$166,$DL$205^A4,IF(A4='Données projet'!$A$166,'Données projet'!$B$166,DO3+DN4-DW3)))</f>
        <v>1.3590468710106116</v>
      </c>
      <c r="DP4" s="17">
        <f>DO4*VLOOKUP('Données projet'!$B$14,Paramètres!$A$1:$I$89,3,0)*VLOOKUP('Données projet'!$B$14,Paramètres!$A$1:$I$89,5,0)</f>
        <v>0.89044750988615273</v>
      </c>
      <c r="DQ4" s="13">
        <f>EXP(-1.0587+0.8836*LN(DP4)+0.284)</f>
        <v>0.41593549124487539</v>
      </c>
      <c r="DR4" s="20">
        <f t="shared" ref="DR4:DR67" si="16">(DP4+DQ4)*0.475*44/12</f>
        <v>2.2752837269698736</v>
      </c>
      <c r="DS4" s="57">
        <f t="shared" ref="DS4:DS67" si="17">DR4+(DJ4+DK4)*44/12</f>
        <v>170.0877176798937</v>
      </c>
      <c r="DT4" s="57">
        <f ca="1">AVERAGE(OFFSET($DS$3,0,0,'Données projet'!$E$14+1,1))-AVERAGE(OFFSET($H$3,0,0,'Données projet'!$E$14+1,1))</f>
        <v>315.23504986325418</v>
      </c>
      <c r="DU4" s="57">
        <f>$DU$3</f>
        <v>350.52837099886688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2.1523809523809527</v>
      </c>
      <c r="EJ4" s="12">
        <f>IF('Données projet'!$A$192&gt;35,EJ3+EI4-ER3,IF(A4&lt;'Données projet'!$A$192,$EG$205^A4,IF(A4='Données projet'!$A$192,'Données projet'!$B$192,EJ3+EI4-ER3)))</f>
        <v>2.1523809523809527</v>
      </c>
      <c r="EK4" s="17">
        <f>EJ4*VLOOKUP('Données projet'!$B$15,Paramètres!$A$1:$I$89,3,0)*VLOOKUP('Données projet'!$B$15,Paramètres!$A$1:$I$89,5,0)</f>
        <v>2.0817828571428576</v>
      </c>
      <c r="EL4" s="13">
        <f>EXP(-1.0587+0.8836*LN(EK4)+0.284)</f>
        <v>0.88088985629896521</v>
      </c>
      <c r="EM4" s="20">
        <f t="shared" ref="EM4:EM67" si="19">(EK4+EL4)*0.475*44/12</f>
        <v>5.1599883092445076</v>
      </c>
      <c r="EN4" s="57">
        <f t="shared" ref="EN4:EN67" si="20">EM4+(EE4+EF4)*44/12</f>
        <v>172.97242226216835</v>
      </c>
      <c r="EO4" s="57">
        <f ca="1">AVERAGE(OFFSET($EN$3,0,0,'Données projet'!$E$15+1,1))-AVERAGE(OFFSET($H$3,0,0,'Données projet'!$E$15+1,1))</f>
        <v>328.31200866623891</v>
      </c>
      <c r="EP4" s="57">
        <f>$EP$3</f>
        <v>195.52650232917446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1.1499999999999999</v>
      </c>
      <c r="FE4" s="12">
        <f>IF('Données projet'!$A$218&gt;35,FE3+FD4-FM3,IF(A4&lt;'Données projet'!$A$218,$FB$205^A4,IF(A4='Données projet'!$A$218,'Données projet'!$B$218,FE3+FD4-FM3)))</f>
        <v>1.51657508881031</v>
      </c>
      <c r="FF4" s="17">
        <f>FE4*VLOOKUP('Données projet'!$B$16,Paramètres!$A$1:$I$89,3,0)*VLOOKUP('Données projet'!$B$16,Paramètres!$A$1:$I$89,5,0)</f>
        <v>0.77126942716537128</v>
      </c>
      <c r="FG4" s="13">
        <f>EXP(-1.0587+0.8836*LN(FF4)+0.284)</f>
        <v>0.36634257131153658</v>
      </c>
      <c r="FH4" s="20">
        <f t="shared" ref="FH4:FH67" si="22">(FF4+FG4)*0.475*44/12</f>
        <v>1.9813408973472812</v>
      </c>
      <c r="FI4" s="57">
        <f t="shared" ref="FI4:FI67" si="23">FH4+(EZ4+FA4)*44/12</f>
        <v>169.79377485027112</v>
      </c>
      <c r="FJ4" s="57">
        <f ca="1">AVERAGE(OFFSET($FI$3,0,0,'Données projet'!$E$16+1,1))-AVERAGE(OFFSET($H$3,0,0,'Données projet'!$E$16+1,1))</f>
        <v>142.88219003619457</v>
      </c>
      <c r="FK4" s="57">
        <f>$FK$3</f>
        <v>288.69704547625088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7" t="e">
        <f t="shared" ref="GD4:GD67" si="26">GC4+(FU4+FV4)*44/12</f>
        <v>#N/A</v>
      </c>
      <c r="GE4" s="57" t="e">
        <f ca="1">AVERAGE(OFFSET($GD$3,0,0,'Données projet'!$E$17+1,1))-AVERAGE(OFFSET($H$3,0,0,'Données projet'!$E$17+1,1))</f>
        <v>#N/A</v>
      </c>
      <c r="GF4" s="57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7" t="e">
        <f t="shared" ref="GY4:GY67" si="29">GX4+(GP4+GQ4)*44/12</f>
        <v>#N/A</v>
      </c>
      <c r="GZ4" s="57" t="e">
        <f ca="1">AVERAGE(OFFSET($GY$3,0,0,'Données projet'!$E$18+1,1))-AVERAGE(OFFSET($H$3,0,0,'Données projet'!$E$18+1,1))</f>
        <v>#N/A</v>
      </c>
      <c r="HA4" s="57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1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5">
        <f t="shared" si="1"/>
        <v>183.33333333333334</v>
      </c>
      <c r="I5" s="6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7">
        <f t="shared" si="0"/>
        <v>174.0908950642665</v>
      </c>
      <c r="S5" s="57">
        <f ca="1">AVERAGE(OFFSET($R$3,0,0,'Données projet'!$E$9+1,1))-AVERAGE(OFFSET($H$3,0,0,'Données projet'!$E$9+1,1))</f>
        <v>539.63700256763173</v>
      </c>
      <c r="T5" s="57">
        <f t="shared" ref="T5:T68" si="34">$T$3</f>
        <v>297.32483725004136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1.2937508382479692</v>
      </c>
      <c r="AK5" s="13">
        <f t="shared" ref="AK5:AK68" si="35">EXP(-1.0587+0.8836*LN(AJ5)+0.284)</f>
        <v>0.57860648124254321</v>
      </c>
      <c r="AL5" s="20">
        <f t="shared" si="4"/>
        <v>3.2610223314459752</v>
      </c>
      <c r="AM5" s="57">
        <f t="shared" si="5"/>
        <v>173.85830361894682</v>
      </c>
      <c r="AN5" s="57">
        <f ca="1">AVERAGE(OFFSET($AM$3,0,0,'Données projet'!$E$10+1,1))-AVERAGE(OFFSET($H$3,0,0,'Données projet'!$E$10+1,1))</f>
        <v>508.21188526136734</v>
      </c>
      <c r="AO5" s="57">
        <f t="shared" ref="AO5:AO68" si="36">$AO$3</f>
        <v>281.06176764290592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0.77644654496447219</v>
      </c>
      <c r="BF5" s="13">
        <f t="shared" ref="BF5:BF68" si="37">EXP(-1.0587+0.8836*LN(BE5)+0.284)</f>
        <v>0.36851455096495994</v>
      </c>
      <c r="BG5" s="20">
        <f t="shared" si="7"/>
        <v>1.9941405754104276</v>
      </c>
      <c r="BH5" s="57">
        <f t="shared" si="8"/>
        <v>172.59142186291126</v>
      </c>
      <c r="BI5" s="57">
        <f ca="1">AVERAGE(OFFSET($BH$3,0,0,'Données projet'!$E$11+1,1))-AVERAGE(OFFSET($H$3,0,0,'Données projet'!$E$11+1,1))</f>
        <v>449.50723280509311</v>
      </c>
      <c r="BJ5" s="57">
        <f t="shared" ref="BJ5:BJ68" si="38">$BJ$3</f>
        <v>281.26353650058275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2.8</v>
      </c>
      <c r="BY5" s="12">
        <f>IF('Données projet'!$A$114&gt;35,BY4+BX5-CG4,IF(A5&lt;'Données projet'!$A$114,$BV$205^A5,IF(A5='Données projet'!$A$114,'Données projet'!$B$114,BY4+BX5-CG4)))</f>
        <v>1.4047784722585119</v>
      </c>
      <c r="BZ5" s="13">
        <f>BY5*VLOOKUP('Données projet'!$B$12,Paramètres!$A$1:$I$89,3,0)*VLOOKUP('Données projet'!$B$12,Paramètres!$A$1:$I$89,5,0)</f>
        <v>1.3367871942012</v>
      </c>
      <c r="CA5" s="13">
        <f t="shared" ref="CA5:CA68" si="39">EXP(-1.0587+0.8836*LN(BZ5)+0.284)</f>
        <v>0.59558080504648392</v>
      </c>
      <c r="CB5" s="20">
        <f t="shared" si="10"/>
        <v>3.3655409320230496</v>
      </c>
      <c r="CC5" s="57">
        <f t="shared" si="11"/>
        <v>173.96282221952387</v>
      </c>
      <c r="CD5" s="57">
        <f ca="1">AVERAGE(OFFSET($CC$3,0,0,'Données projet'!$E$12+1,1))-AVERAGE(OFFSET($H$3,0,0,'Données projet'!$E$12+1,1))</f>
        <v>479.4551766174892</v>
      </c>
      <c r="CE5" s="57">
        <f t="shared" ref="CE5:CE68" si="40">$CE$3</f>
        <v>260.29028006191834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8.526315789473685</v>
      </c>
      <c r="CT5" s="12">
        <f>IF('Données projet'!$A$140&gt;35,CT4+CS5-DB4,IF(A5&lt;'Données projet'!$A$140,$CQ$205^A5,IF(A5='Données projet'!$A$140,'Données projet'!$B$140,CT4+CS5-DB4)))</f>
        <v>1.708364459422701</v>
      </c>
      <c r="CU5" s="17">
        <f>CT5*VLOOKUP('Données projet'!$B$13,Paramètres!$A$1:$I$89,3,0)*VLOOKUP('Données projet'!$B$13,Paramètres!$A$1:$I$89,5,0)</f>
        <v>0.95497573281728976</v>
      </c>
      <c r="CV5" s="13">
        <f t="shared" ref="CV5:CV68" si="41">EXP(-1.0587+0.8836*LN(CU5)+0.284)</f>
        <v>0.44245926414263009</v>
      </c>
      <c r="CW5" s="20">
        <f t="shared" si="13"/>
        <v>2.4338659530385267</v>
      </c>
      <c r="CX5" s="57">
        <f t="shared" si="14"/>
        <v>173.03114724053935</v>
      </c>
      <c r="CY5" s="57">
        <f ca="1">AVERAGE(OFFSET($CX$3,0,0,'Données projet'!$E$13+1,1))-AVERAGE(OFFSET($H$3,0,0,'Données projet'!$E$13+1,1))</f>
        <v>459.83870442974046</v>
      </c>
      <c r="CZ5" s="57">
        <f t="shared" ref="CZ5:CZ68" si="42">$CZ$3</f>
        <v>565.68976940602215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6.6439333333333339</v>
      </c>
      <c r="DO5" s="12">
        <f>IF('Données projet'!$A$166&gt;35,DO4+DN5-DW4,IF(A5&lt;'Données projet'!$A$166,$DL$205^A5,IF(A5='Données projet'!$A$166,'Données projet'!$B$166,DO4+DN5-DW4)))</f>
        <v>1.8470083976037339</v>
      </c>
      <c r="DP5" s="17">
        <f>DO5*VLOOKUP('Données projet'!$B$14,Paramètres!$A$1:$I$89,3,0)*VLOOKUP('Données projet'!$B$14,Paramètres!$A$1:$I$89,5,0)</f>
        <v>1.2101599021099665</v>
      </c>
      <c r="DQ5" s="13">
        <f t="shared" ref="DQ5:DQ68" si="43">EXP(-1.0587+0.8836*LN(DP5)+0.284)</f>
        <v>0.54544620758616602</v>
      </c>
      <c r="DR5" s="20">
        <f t="shared" si="16"/>
        <v>3.0576806410540969</v>
      </c>
      <c r="DS5" s="57">
        <f t="shared" si="17"/>
        <v>173.65496192855494</v>
      </c>
      <c r="DT5" s="57">
        <f ca="1">AVERAGE(OFFSET($DS$3,0,0,'Données projet'!$E$14+1,1))-AVERAGE(OFFSET($H$3,0,0,'Données projet'!$E$14+1,1))</f>
        <v>315.23504986325418</v>
      </c>
      <c r="DU5" s="57">
        <f t="shared" ref="DU5:DU68" si="44">$DU$3</f>
        <v>350.52837099886688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2.1523809523809527</v>
      </c>
      <c r="EJ5" s="12">
        <f>IF('Données projet'!$A$192&gt;35,EJ4+EI5-ER4,IF(A5&lt;'Données projet'!$A$192,$EG$205^A5,IF(A5='Données projet'!$A$192,'Données projet'!$B$192,EJ4+EI5-ER4)))</f>
        <v>4.3047619047619055</v>
      </c>
      <c r="EK5" s="17">
        <f>EJ5*VLOOKUP('Données projet'!$B$15,Paramètres!$A$1:$I$89,3,0)*VLOOKUP('Données projet'!$B$15,Paramètres!$A$1:$I$89,5,0)</f>
        <v>4.1635657142857152</v>
      </c>
      <c r="EL5" s="13">
        <f t="shared" ref="EL5:EL68" si="45">EXP(-1.0587+0.8836*LN(EK5)+0.284)</f>
        <v>1.6252183348338156</v>
      </c>
      <c r="EM5" s="20">
        <f t="shared" si="19"/>
        <v>10.082132218883183</v>
      </c>
      <c r="EN5" s="57">
        <f t="shared" si="20"/>
        <v>180.67941350638401</v>
      </c>
      <c r="EO5" s="57">
        <f ca="1">AVERAGE(OFFSET($EN$3,0,0,'Données projet'!$E$15+1,1))-AVERAGE(OFFSET($H$3,0,0,'Données projet'!$E$15+1,1))</f>
        <v>328.31200866623891</v>
      </c>
      <c r="EP5" s="57">
        <f t="shared" ref="EP5:EP68" si="46">$EP$3</f>
        <v>195.52650232917446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>
        <f>VLOOKUP(A5,'Données projet'!$A$217:$I$237,2,0)</f>
        <v>2.2999999999999998</v>
      </c>
      <c r="FC5" s="12">
        <f>VLOOKUP(A5,'Données projet'!$A$217:$I$237,9,0)</f>
        <v>1.1499999999999999</v>
      </c>
      <c r="FD5" s="12">
        <f t="array" ref="FD5">INDEX(FC:FC,MIN(IF(ISNUMBER(FC5:FC201),ROW(FC5:FC201),"")))</f>
        <v>1.1499999999999999</v>
      </c>
      <c r="FE5" s="12">
        <f>IF('Données projet'!$A$218&gt;35,FE4+FD5-FM4,IF(A5&lt;'Données projet'!$A$218,$FB$205^A5,IF(A5='Données projet'!$A$218,'Données projet'!$B$218,FE4+FD5-FM4)))</f>
        <v>2.2999999999999998</v>
      </c>
      <c r="FF5" s="17">
        <f>FE5*VLOOKUP('Données projet'!$B$16,Paramètres!$A$1:$I$89,3,0)*VLOOKUP('Données projet'!$B$16,Paramètres!$A$1:$I$89,5,0)</f>
        <v>1.1696880000000001</v>
      </c>
      <c r="FG5" s="13">
        <f t="shared" ref="FG5:FG68" si="47">EXP(-1.0587+0.8836*LN(FF5)+0.284)</f>
        <v>0.52929616495871412</v>
      </c>
      <c r="FH5" s="20">
        <f t="shared" si="22"/>
        <v>2.9590640873030938</v>
      </c>
      <c r="FI5" s="57">
        <f t="shared" si="23"/>
        <v>173.55634537480393</v>
      </c>
      <c r="FJ5" s="57">
        <f ca="1">AVERAGE(OFFSET($FI$3,0,0,'Données projet'!$E$16+1,1))-AVERAGE(OFFSET($H$3,0,0,'Données projet'!$E$16+1,1))</f>
        <v>142.88219003619457</v>
      </c>
      <c r="FK5" s="57">
        <f t="shared" ref="FK5:FK68" si="48">$FK$3</f>
        <v>288.69704547625088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7" t="e">
        <f t="shared" si="26"/>
        <v>#N/A</v>
      </c>
      <c r="GE5" s="57" t="e">
        <f ca="1">AVERAGE(OFFSET($GD$3,0,0,'Données projet'!$E$17+1,1))-AVERAGE(OFFSET($H$3,0,0,'Données projet'!$E$17+1,1))</f>
        <v>#N/A</v>
      </c>
      <c r="GF5" s="57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7" t="e">
        <f t="shared" si="29"/>
        <v>#N/A</v>
      </c>
      <c r="GZ5" s="57" t="e">
        <f ca="1">AVERAGE(OFFSET($GY$3,0,0,'Données projet'!$E$18+1,1))-AVERAGE(OFFSET($H$3,0,0,'Données projet'!$E$18+1,1))</f>
        <v>#N/A</v>
      </c>
      <c r="HA5" s="57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1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5">
        <f t="shared" si="1"/>
        <v>183.33333333333334</v>
      </c>
      <c r="I6" s="6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7">
        <f t="shared" si="0"/>
        <v>177.65174746089073</v>
      </c>
      <c r="S6" s="57">
        <f ca="1">AVERAGE(OFFSET($R$3,0,0,'Données projet'!$E$9+1,1))-AVERAGE(OFFSET($H$3,0,0,'Données projet'!$E$9+1,1))</f>
        <v>539.63700256763173</v>
      </c>
      <c r="T6" s="57">
        <f t="shared" si="34"/>
        <v>297.32483725004136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1.6033073636487132</v>
      </c>
      <c r="AK6" s="13">
        <f t="shared" si="35"/>
        <v>0.69936661672428513</v>
      </c>
      <c r="AL6" s="20">
        <f t="shared" si="4"/>
        <v>4.0104905158163051</v>
      </c>
      <c r="AM6" s="57">
        <f t="shared" si="5"/>
        <v>177.3655110857012</v>
      </c>
      <c r="AN6" s="57">
        <f ca="1">AVERAGE(OFFSET($AM$3,0,0,'Données projet'!$E$10+1,1))-AVERAGE(OFFSET($H$3,0,0,'Données projet'!$E$10+1,1))</f>
        <v>508.21188526136734</v>
      </c>
      <c r="AO6" s="57">
        <f t="shared" si="36"/>
        <v>281.06176764290592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1.0001022771195029</v>
      </c>
      <c r="BF6" s="13">
        <f t="shared" si="37"/>
        <v>0.46088365986243646</v>
      </c>
      <c r="BG6" s="20">
        <f t="shared" si="7"/>
        <v>2.5445505069102112</v>
      </c>
      <c r="BH6" s="57">
        <f t="shared" si="8"/>
        <v>175.8995710767951</v>
      </c>
      <c r="BI6" s="57">
        <f ca="1">AVERAGE(OFFSET($BH$3,0,0,'Données projet'!$E$11+1,1))-AVERAGE(OFFSET($H$3,0,0,'Données projet'!$E$11+1,1))</f>
        <v>449.50723280509311</v>
      </c>
      <c r="BJ6" s="57">
        <f t="shared" si="38"/>
        <v>281.26353650058275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2.8</v>
      </c>
      <c r="BY6" s="12">
        <f>IF('Données projet'!$A$114&gt;35,BY5+BX6-CG5,IF(A6&lt;'Données projet'!$A$114,$BV$205^A6,IF(A6='Données projet'!$A$114,'Données projet'!$B$114,BY5+BX6-CG5)))</f>
        <v>1.6649905188734988</v>
      </c>
      <c r="BZ6" s="13">
        <f>BY6*VLOOKUP('Données projet'!$B$12,Paramètres!$A$1:$I$89,3,0)*VLOOKUP('Données projet'!$B$12,Paramètres!$A$1:$I$89,5,0)</f>
        <v>1.5844049777600215</v>
      </c>
      <c r="CA6" s="13">
        <f t="shared" si="39"/>
        <v>0.69207607752734202</v>
      </c>
      <c r="CB6" s="20">
        <f t="shared" si="10"/>
        <v>3.9648711712921583</v>
      </c>
      <c r="CC6" s="57">
        <f t="shared" si="11"/>
        <v>177.31989174117703</v>
      </c>
      <c r="CD6" s="57">
        <f ca="1">AVERAGE(OFFSET($CC$3,0,0,'Données projet'!$E$12+1,1))-AVERAGE(OFFSET($H$3,0,0,'Données projet'!$E$12+1,1))</f>
        <v>479.4551766174892</v>
      </c>
      <c r="CE6" s="57">
        <f t="shared" si="40"/>
        <v>260.29028006191834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8.526315789473685</v>
      </c>
      <c r="CT6" s="12">
        <f>IF('Données projet'!$A$140&gt;35,CT5+CS6-DB5,IF(A6&lt;'Données projet'!$A$140,$CQ$205^A6,IF(A6='Données projet'!$A$140,'Données projet'!$B$140,CT5+CS6-DB5)))</f>
        <v>2.2329078050230127</v>
      </c>
      <c r="CU6" s="17">
        <f>CT6*VLOOKUP('Données projet'!$B$13,Paramètres!$A$1:$I$89,3,0)*VLOOKUP('Données projet'!$B$13,Paramètres!$A$1:$I$89,5,0)</f>
        <v>1.248195463007864</v>
      </c>
      <c r="CV6" s="13">
        <f t="shared" si="41"/>
        <v>0.56056679634040518</v>
      </c>
      <c r="CW6" s="20">
        <f t="shared" si="13"/>
        <v>3.1502609350315693</v>
      </c>
      <c r="CX6" s="57">
        <f t="shared" si="14"/>
        <v>176.50528150491647</v>
      </c>
      <c r="CY6" s="57">
        <f ca="1">AVERAGE(OFFSET($CX$3,0,0,'Données projet'!$E$13+1,1))-AVERAGE(OFFSET($H$3,0,0,'Données projet'!$E$13+1,1))</f>
        <v>459.83870442974046</v>
      </c>
      <c r="CZ6" s="57">
        <f t="shared" si="42"/>
        <v>565.68976940602215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6.6439333333333339</v>
      </c>
      <c r="DO6" s="12">
        <f>IF('Données projet'!$A$166&gt;35,DO5+DN6-DW5,IF(A6&lt;'Données projet'!$A$166,$DL$205^A6,IF(A6='Données projet'!$A$166,'Données projet'!$B$166,DO5+DN6-DW5)))</f>
        <v>2.5101709834936781</v>
      </c>
      <c r="DP6" s="17">
        <f>DO6*VLOOKUP('Données projet'!$B$14,Paramètres!$A$1:$I$89,3,0)*VLOOKUP('Données projet'!$B$14,Paramètres!$A$1:$I$89,5,0)</f>
        <v>1.6446640283850578</v>
      </c>
      <c r="DQ6" s="13">
        <f t="shared" si="43"/>
        <v>0.71528295043948464</v>
      </c>
      <c r="DR6" s="20">
        <f t="shared" si="16"/>
        <v>4.1102409881194104</v>
      </c>
      <c r="DS6" s="57">
        <f t="shared" si="17"/>
        <v>177.4652615580043</v>
      </c>
      <c r="DT6" s="57">
        <f ca="1">AVERAGE(OFFSET($DS$3,0,0,'Données projet'!$E$14+1,1))-AVERAGE(OFFSET($H$3,0,0,'Données projet'!$E$14+1,1))</f>
        <v>315.23504986325418</v>
      </c>
      <c r="DU6" s="57">
        <f t="shared" si="44"/>
        <v>350.52837099886688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2.1523809523809527</v>
      </c>
      <c r="EJ6" s="12">
        <f>IF('Données projet'!$A$192&gt;35,EJ5+EI6-ER5,IF(A6&lt;'Données projet'!$A$192,$EG$205^A6,IF(A6='Données projet'!$A$192,'Données projet'!$B$192,EJ5+EI6-ER5)))</f>
        <v>6.4571428571428582</v>
      </c>
      <c r="EK6" s="17">
        <f>EJ6*VLOOKUP('Données projet'!$B$15,Paramètres!$A$1:$I$89,3,0)*VLOOKUP('Données projet'!$B$15,Paramètres!$A$1:$I$89,5,0)</f>
        <v>6.2453485714285728</v>
      </c>
      <c r="EL6" s="13">
        <f t="shared" si="45"/>
        <v>2.3254443433032019</v>
      </c>
      <c r="EM6" s="20">
        <f t="shared" si="19"/>
        <v>14.927464326491176</v>
      </c>
      <c r="EN6" s="57">
        <f t="shared" si="20"/>
        <v>188.28248489637605</v>
      </c>
      <c r="EO6" s="57">
        <f ca="1">AVERAGE(OFFSET($EN$3,0,0,'Données projet'!$E$15+1,1))-AVERAGE(OFFSET($H$3,0,0,'Données projet'!$E$15+1,1))</f>
        <v>328.31200866623891</v>
      </c>
      <c r="EP6" s="57">
        <f t="shared" si="46"/>
        <v>195.52650232917446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>
        <f>VLOOKUP(A6,'Données projet'!$A$217:$I$237,2,0)</f>
        <v>5.5</v>
      </c>
      <c r="FC6" s="12">
        <f>VLOOKUP(A6,'Données projet'!$A$217:$I$237,9,0)</f>
        <v>3.2</v>
      </c>
      <c r="FD6" s="12">
        <f t="array" ref="FD6">INDEX(FC:FC,MIN(IF(ISNUMBER(FC6:FC202),ROW(FC6:FC202),"")))</f>
        <v>3.2</v>
      </c>
      <c r="FE6" s="12">
        <f>IF('Données projet'!$A$218&gt;35,FE5+FD6-FM5,IF(A6&lt;'Données projet'!$A$218,$FB$205^A6,IF(A6='Données projet'!$A$218,'Données projet'!$B$218,FE5+FD6-FM5)))</f>
        <v>5.5</v>
      </c>
      <c r="FF6" s="17">
        <f>FE6*VLOOKUP('Données projet'!$B$16,Paramètres!$A$1:$I$89,3,0)*VLOOKUP('Données projet'!$B$16,Paramètres!$A$1:$I$89,5,0)</f>
        <v>2.7970800000000002</v>
      </c>
      <c r="FG6" s="13">
        <f t="shared" si="47"/>
        <v>1.1435640757076722</v>
      </c>
      <c r="FH6" s="20">
        <f t="shared" si="22"/>
        <v>6.8632884318575291</v>
      </c>
      <c r="FI6" s="57">
        <f t="shared" si="23"/>
        <v>180.21830900174243</v>
      </c>
      <c r="FJ6" s="57">
        <f ca="1">AVERAGE(OFFSET($FI$3,0,0,'Données projet'!$E$16+1,1))-AVERAGE(OFFSET($H$3,0,0,'Données projet'!$E$16+1,1))</f>
        <v>142.88219003619457</v>
      </c>
      <c r="FK6" s="57">
        <f t="shared" si="48"/>
        <v>288.69704547625088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7" t="e">
        <f t="shared" si="26"/>
        <v>#N/A</v>
      </c>
      <c r="GE6" s="57" t="e">
        <f ca="1">AVERAGE(OFFSET($GD$3,0,0,'Données projet'!$E$17+1,1))-AVERAGE(OFFSET($H$3,0,0,'Données projet'!$E$17+1,1))</f>
        <v>#N/A</v>
      </c>
      <c r="GF6" s="57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7" t="e">
        <f t="shared" si="29"/>
        <v>#N/A</v>
      </c>
      <c r="GZ6" s="57" t="e">
        <f ca="1">AVERAGE(OFFSET($GY$3,0,0,'Données projet'!$E$18+1,1))-AVERAGE(OFFSET($H$3,0,0,'Données projet'!$E$18+1,1))</f>
        <v>#N/A</v>
      </c>
      <c r="HA6" s="57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1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5">
        <f t="shared" si="1"/>
        <v>183.33333333333334</v>
      </c>
      <c r="I7" s="6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7">
        <f t="shared" si="0"/>
        <v>181.37127654212841</v>
      </c>
      <c r="S7" s="57">
        <f ca="1">AVERAGE(OFFSET($R$3,0,0,'Données projet'!$E$9+1,1))-AVERAGE(OFFSET($H$3,0,0,'Données projet'!$E$9+1,1))</f>
        <v>539.63700256763173</v>
      </c>
      <c r="T7" s="57">
        <f t="shared" si="34"/>
        <v>297.32483725004136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1.9869316612859962</v>
      </c>
      <c r="AK7" s="13">
        <f t="shared" si="35"/>
        <v>0.84533042826968274</v>
      </c>
      <c r="AL7" s="20">
        <f t="shared" si="4"/>
        <v>4.9328564726428068</v>
      </c>
      <c r="AM7" s="57">
        <f t="shared" si="5"/>
        <v>181.01897853681976</v>
      </c>
      <c r="AN7" s="57">
        <f ca="1">AVERAGE(OFFSET($AM$3,0,0,'Données projet'!$E$10+1,1))-AVERAGE(OFFSET($H$3,0,0,'Données projet'!$E$10+1,1))</f>
        <v>508.21188526136734</v>
      </c>
      <c r="AO7" s="57">
        <f t="shared" si="36"/>
        <v>281.06176764290592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1.2881821307420218</v>
      </c>
      <c r="BF7" s="13">
        <f t="shared" si="37"/>
        <v>0.57640532069082717</v>
      </c>
      <c r="BG7" s="20">
        <f t="shared" si="7"/>
        <v>3.2474898112455457</v>
      </c>
      <c r="BH7" s="57">
        <f t="shared" si="8"/>
        <v>179.33361187542249</v>
      </c>
      <c r="BI7" s="57">
        <f ca="1">AVERAGE(OFFSET($BH$3,0,0,'Données projet'!$E$11+1,1))-AVERAGE(OFFSET($H$3,0,0,'Données projet'!$E$11+1,1))</f>
        <v>449.50723280509311</v>
      </c>
      <c r="BJ7" s="57">
        <f t="shared" si="38"/>
        <v>281.26353650058275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2.8</v>
      </c>
      <c r="BY7" s="12">
        <f>IF('Données projet'!$A$114&gt;35,BY6+BX7-CG6,IF(A7&lt;'Données projet'!$A$114,$BV$205^A7,IF(A7='Données projet'!$A$114,'Données projet'!$B$114,BY6+BX7-CG6)))</f>
        <v>1.9734025561209587</v>
      </c>
      <c r="BZ7" s="13">
        <f>BY7*VLOOKUP('Données projet'!$B$12,Paramètres!$A$1:$I$89,3,0)*VLOOKUP('Données projet'!$B$12,Paramètres!$A$1:$I$89,5,0)</f>
        <v>1.8778898724047044</v>
      </c>
      <c r="CA7" s="13">
        <f t="shared" si="39"/>
        <v>0.80420539585430195</v>
      </c>
      <c r="CB7" s="20">
        <f t="shared" si="10"/>
        <v>4.6713159255511032</v>
      </c>
      <c r="CC7" s="57">
        <f t="shared" si="11"/>
        <v>180.75743798972806</v>
      </c>
      <c r="CD7" s="57">
        <f ca="1">AVERAGE(OFFSET($CC$3,0,0,'Données projet'!$E$12+1,1))-AVERAGE(OFFSET($H$3,0,0,'Données projet'!$E$12+1,1))</f>
        <v>479.4551766174892</v>
      </c>
      <c r="CE7" s="57">
        <f t="shared" si="40"/>
        <v>260.29028006191834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8.526315789473685</v>
      </c>
      <c r="CT7" s="12">
        <f>IF('Données projet'!$A$140&gt;35,CT6+CS7-DB6,IF(A7&lt;'Données projet'!$A$140,$CQ$205^A7,IF(A7='Données projet'!$A$140,'Données projet'!$B$140,CT6+CS7-DB6)))</f>
        <v>2.9185091262186176</v>
      </c>
      <c r="CU7" s="17">
        <f>CT7*VLOOKUP('Données projet'!$B$13,Paramètres!$A$1:$I$89,3,0)*VLOOKUP('Données projet'!$B$13,Paramètres!$A$1:$I$89,5,0)</f>
        <v>1.6314466015562072</v>
      </c>
      <c r="CV7" s="13">
        <f t="shared" si="41"/>
        <v>0.71020127416305878</v>
      </c>
      <c r="CW7" s="20">
        <f t="shared" si="13"/>
        <v>4.0783700502110554</v>
      </c>
      <c r="CX7" s="57">
        <f t="shared" si="14"/>
        <v>180.164492114388</v>
      </c>
      <c r="CY7" s="57">
        <f ca="1">AVERAGE(OFFSET($CX$3,0,0,'Données projet'!$E$13+1,1))-AVERAGE(OFFSET($H$3,0,0,'Données projet'!$E$13+1,1))</f>
        <v>459.83870442974046</v>
      </c>
      <c r="CZ7" s="57">
        <f t="shared" si="42"/>
        <v>565.68976940602215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6.6439333333333339</v>
      </c>
      <c r="DO7" s="12">
        <f>IF('Données projet'!$A$166&gt;35,DO6+DN7-DW6,IF(A7&lt;'Données projet'!$A$166,$DL$205^A7,IF(A7='Données projet'!$A$166,'Données projet'!$B$166,DO6+DN7-DW6)))</f>
        <v>3.4114400208187128</v>
      </c>
      <c r="DP7" s="17">
        <f>DO7*VLOOKUP('Données projet'!$B$14,Paramètres!$A$1:$I$89,3,0)*VLOOKUP('Données projet'!$B$14,Paramètres!$A$1:$I$89,5,0)</f>
        <v>2.2351755016404207</v>
      </c>
      <c r="DQ7" s="13">
        <f t="shared" si="43"/>
        <v>0.93800212023399276</v>
      </c>
      <c r="DR7" s="20">
        <f t="shared" si="16"/>
        <v>5.5266176914312695</v>
      </c>
      <c r="DS7" s="57">
        <f t="shared" si="17"/>
        <v>181.61273975560823</v>
      </c>
      <c r="DT7" s="57">
        <f ca="1">AVERAGE(OFFSET($DS$3,0,0,'Données projet'!$E$14+1,1))-AVERAGE(OFFSET($H$3,0,0,'Données projet'!$E$14+1,1))</f>
        <v>315.23504986325418</v>
      </c>
      <c r="DU7" s="57">
        <f t="shared" si="44"/>
        <v>350.52837099886688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2.1523809523809527</v>
      </c>
      <c r="EJ7" s="12">
        <f>IF('Données projet'!$A$192&gt;35,EJ6+EI7-ER6,IF(A7&lt;'Données projet'!$A$192,$EG$205^A7,IF(A7='Données projet'!$A$192,'Données projet'!$B$192,EJ6+EI7-ER6)))</f>
        <v>8.6095238095238109</v>
      </c>
      <c r="EK7" s="17">
        <f>EJ7*VLOOKUP('Données projet'!$B$15,Paramètres!$A$1:$I$89,3,0)*VLOOKUP('Données projet'!$B$15,Paramètres!$A$1:$I$89,5,0)</f>
        <v>8.3271314285714304</v>
      </c>
      <c r="EL7" s="13">
        <f t="shared" si="45"/>
        <v>2.9984845630729544</v>
      </c>
      <c r="EM7" s="20">
        <f t="shared" si="19"/>
        <v>19.72544785211397</v>
      </c>
      <c r="EN7" s="57">
        <f t="shared" si="20"/>
        <v>195.81156991629092</v>
      </c>
      <c r="EO7" s="57">
        <f ca="1">AVERAGE(OFFSET($EN$3,0,0,'Données projet'!$E$15+1,1))-AVERAGE(OFFSET($H$3,0,0,'Données projet'!$E$15+1,1))</f>
        <v>328.31200866623891</v>
      </c>
      <c r="EP7" s="57">
        <f t="shared" si="46"/>
        <v>195.52650232917446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>
        <f>VLOOKUP(A7,'Données projet'!$A$217:$I$237,2,0)</f>
        <v>10.199999999999999</v>
      </c>
      <c r="FC7" s="12">
        <f>VLOOKUP(A7,'Données projet'!$A$217:$I$237,9,0)</f>
        <v>4.6999999999999993</v>
      </c>
      <c r="FD7" s="12">
        <f t="array" ref="FD7">INDEX(FC:FC,MIN(IF(ISNUMBER(FC7:FC203),ROW(FC7:FC203),"")))</f>
        <v>4.6999999999999993</v>
      </c>
      <c r="FE7" s="12">
        <f>IF('Données projet'!$A$218&gt;35,FE6+FD7-FM6,IF(A7&lt;'Données projet'!$A$218,$FB$205^A7,IF(A7='Données projet'!$A$218,'Données projet'!$B$218,FE6+FD7-FM6)))</f>
        <v>10.199999999999999</v>
      </c>
      <c r="FF7" s="17">
        <f>FE7*VLOOKUP('Données projet'!$B$16,Paramètres!$A$1:$I$89,3,0)*VLOOKUP('Données projet'!$B$16,Paramètres!$A$1:$I$89,5,0)</f>
        <v>5.1873119999999995</v>
      </c>
      <c r="FG7" s="13">
        <f t="shared" si="47"/>
        <v>1.9736727418204372</v>
      </c>
      <c r="FH7" s="20">
        <f t="shared" si="22"/>
        <v>12.472048425337261</v>
      </c>
      <c r="FI7" s="57">
        <f t="shared" si="23"/>
        <v>188.5581704895142</v>
      </c>
      <c r="FJ7" s="57">
        <f ca="1">AVERAGE(OFFSET($FI$3,0,0,'Données projet'!$E$16+1,1))-AVERAGE(OFFSET($H$3,0,0,'Données projet'!$E$16+1,1))</f>
        <v>142.88219003619457</v>
      </c>
      <c r="FK7" s="57">
        <f t="shared" si="48"/>
        <v>288.69704547625088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7" t="e">
        <f t="shared" si="26"/>
        <v>#N/A</v>
      </c>
      <c r="GE7" s="57" t="e">
        <f ca="1">AVERAGE(OFFSET($GD$3,0,0,'Données projet'!$E$17+1,1))-AVERAGE(OFFSET($H$3,0,0,'Données projet'!$E$17+1,1))</f>
        <v>#N/A</v>
      </c>
      <c r="GF7" s="57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7" t="e">
        <f t="shared" si="29"/>
        <v>#N/A</v>
      </c>
      <c r="GZ7" s="57" t="e">
        <f ca="1">AVERAGE(OFFSET($GY$3,0,0,'Données projet'!$E$18+1,1))-AVERAGE(OFFSET($H$3,0,0,'Données projet'!$E$18+1,1))</f>
        <v>#N/A</v>
      </c>
      <c r="HA7" s="57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1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5">
        <f t="shared" si="1"/>
        <v>183.33333333333334</v>
      </c>
      <c r="I8" s="6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7">
        <f t="shared" si="0"/>
        <v>185.29285571551281</v>
      </c>
      <c r="S8" s="57">
        <f ca="1">AVERAGE(OFFSET($R$3,0,0,'Données projet'!$E$9+1,1))-AVERAGE(OFFSET($H$3,0,0,'Données projet'!$E$9+1,1))</f>
        <v>539.63700256763173</v>
      </c>
      <c r="T8" s="57">
        <f t="shared" si="34"/>
        <v>297.32483725004136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2.462345970666743</v>
      </c>
      <c r="AK8" s="13">
        <f t="shared" si="35"/>
        <v>1.021758139251189</v>
      </c>
      <c r="AL8" s="20">
        <f t="shared" si="4"/>
        <v>6.068147991440398</v>
      </c>
      <c r="AM8" s="57">
        <f t="shared" si="5"/>
        <v>184.85919586788776</v>
      </c>
      <c r="AN8" s="57">
        <f ca="1">AVERAGE(OFFSET($AM$3,0,0,'Données projet'!$E$10+1,1))-AVERAGE(OFFSET($H$3,0,0,'Données projet'!$E$10+1,1))</f>
        <v>508.21188526136734</v>
      </c>
      <c r="AO8" s="57">
        <f t="shared" si="36"/>
        <v>281.06176764290592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1.6592434993173915</v>
      </c>
      <c r="BF8" s="13">
        <f t="shared" si="37"/>
        <v>0.72088277944126433</v>
      </c>
      <c r="BG8" s="20">
        <f t="shared" si="7"/>
        <v>4.1453866021713255</v>
      </c>
      <c r="BH8" s="57">
        <f t="shared" si="8"/>
        <v>182.93643447861868</v>
      </c>
      <c r="BI8" s="57">
        <f ca="1">AVERAGE(OFFSET($BH$3,0,0,'Données projet'!$E$11+1,1))-AVERAGE(OFFSET($H$3,0,0,'Données projet'!$E$11+1,1))</f>
        <v>449.50723280509311</v>
      </c>
      <c r="BJ8" s="57">
        <f t="shared" si="38"/>
        <v>281.26353650058275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2.8</v>
      </c>
      <c r="BY8" s="12">
        <f>IF('Données projet'!$A$114&gt;35,BY7+BX8-CG7,IF(A8&lt;'Données projet'!$A$114,$BV$205^A8,IF(A8='Données projet'!$A$114,'Données projet'!$B$114,BY7+BX8-CG7)))</f>
        <v>2.3389428374280206</v>
      </c>
      <c r="BZ8" s="13">
        <f>BY8*VLOOKUP('Données projet'!$B$12,Paramètres!$A$1:$I$89,3,0)*VLOOKUP('Données projet'!$B$12,Paramètres!$A$1:$I$89,5,0)</f>
        <v>2.2257380040965042</v>
      </c>
      <c r="CA8" s="13">
        <f t="shared" si="39"/>
        <v>0.93450176898452786</v>
      </c>
      <c r="CB8" s="20">
        <f t="shared" si="10"/>
        <v>5.5040842714494636</v>
      </c>
      <c r="CC8" s="57">
        <f t="shared" si="11"/>
        <v>184.29513214789682</v>
      </c>
      <c r="CD8" s="57">
        <f ca="1">AVERAGE(OFFSET($CC$3,0,0,'Données projet'!$E$12+1,1))-AVERAGE(OFFSET($H$3,0,0,'Données projet'!$E$12+1,1))</f>
        <v>479.4551766174892</v>
      </c>
      <c r="CE8" s="57">
        <f t="shared" si="40"/>
        <v>260.29028006191834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8.526315789473685</v>
      </c>
      <c r="CT8" s="12">
        <f>IF('Données projet'!$A$140&gt;35,CT7+CS8-DB7,IF(A8&lt;'Données projet'!$A$140,$CQ$205^A8,IF(A8='Données projet'!$A$140,'Données projet'!$B$140,CT7+CS8-DB7)))</f>
        <v>3.8146203352688688</v>
      </c>
      <c r="CU8" s="17">
        <f>CT8*VLOOKUP('Données projet'!$B$13,Paramètres!$A$1:$I$89,3,0)*VLOOKUP('Données projet'!$B$13,Paramètres!$A$1:$I$89,5,0)</f>
        <v>2.1323727674152977</v>
      </c>
      <c r="CV8" s="13">
        <f t="shared" si="41"/>
        <v>0.89977831922200224</v>
      </c>
      <c r="CW8" s="20">
        <f t="shared" si="13"/>
        <v>5.2809964758932972</v>
      </c>
      <c r="CX8" s="57">
        <f t="shared" si="14"/>
        <v>184.07204435234064</v>
      </c>
      <c r="CY8" s="57">
        <f ca="1">AVERAGE(OFFSET($CX$3,0,0,'Données projet'!$E$13+1,1))-AVERAGE(OFFSET($H$3,0,0,'Données projet'!$E$13+1,1))</f>
        <v>459.83870442974046</v>
      </c>
      <c r="CZ8" s="57">
        <f t="shared" si="42"/>
        <v>565.68976940602215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6.6439333333333339</v>
      </c>
      <c r="DO8" s="12">
        <f>IF('Données projet'!$A$166&gt;35,DO7+DN8-DW7,IF(A8&lt;'Données projet'!$A$166,$DL$205^A8,IF(A8='Données projet'!$A$166,'Données projet'!$B$166,DO7+DN8-DW7)))</f>
        <v>4.6363068859340473</v>
      </c>
      <c r="DP8" s="17">
        <f>DO8*VLOOKUP('Données projet'!$B$14,Paramètres!$A$1:$I$89,3,0)*VLOOKUP('Données projet'!$B$14,Paramètres!$A$1:$I$89,5,0)</f>
        <v>3.0377082716639876</v>
      </c>
      <c r="DQ8" s="13">
        <f t="shared" si="43"/>
        <v>1.2300698304396447</v>
      </c>
      <c r="DR8" s="20">
        <f t="shared" si="16"/>
        <v>7.4330468611638247</v>
      </c>
      <c r="DS8" s="57">
        <f t="shared" si="17"/>
        <v>186.22409473761118</v>
      </c>
      <c r="DT8" s="57">
        <f ca="1">AVERAGE(OFFSET($DS$3,0,0,'Données projet'!$E$14+1,1))-AVERAGE(OFFSET($H$3,0,0,'Données projet'!$E$14+1,1))</f>
        <v>315.23504986325418</v>
      </c>
      <c r="DU8" s="57">
        <f t="shared" si="44"/>
        <v>350.52837099886688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2.1523809523809527</v>
      </c>
      <c r="EJ8" s="12">
        <f>IF('Données projet'!$A$192&gt;35,EJ7+EI8-ER7,IF(A8&lt;'Données projet'!$A$192,$EG$205^A8,IF(A8='Données projet'!$A$192,'Données projet'!$B$192,EJ7+EI8-ER7)))</f>
        <v>10.761904761904763</v>
      </c>
      <c r="EK8" s="17">
        <f>EJ8*VLOOKUP('Données projet'!$B$15,Paramètres!$A$1:$I$89,3,0)*VLOOKUP('Données projet'!$B$15,Paramètres!$A$1:$I$89,5,0)</f>
        <v>10.408914285714287</v>
      </c>
      <c r="EL8" s="13">
        <f t="shared" si="45"/>
        <v>3.6520061887035524</v>
      </c>
      <c r="EM8" s="20">
        <f t="shared" si="19"/>
        <v>24.489436492944403</v>
      </c>
      <c r="EN8" s="57">
        <f t="shared" si="20"/>
        <v>203.28048436939176</v>
      </c>
      <c r="EO8" s="57">
        <f ca="1">AVERAGE(OFFSET($EN$3,0,0,'Données projet'!$E$15+1,1))-AVERAGE(OFFSET($H$3,0,0,'Données projet'!$E$15+1,1))</f>
        <v>328.31200866623891</v>
      </c>
      <c r="EP8" s="57">
        <f t="shared" si="46"/>
        <v>195.52650232917446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>
        <f>VLOOKUP(A8,'Données projet'!$A$217:$I$237,2,0)</f>
        <v>22.9</v>
      </c>
      <c r="FC8" s="12">
        <f>VLOOKUP(A8,'Données projet'!$A$217:$I$237,9,0)</f>
        <v>12.7</v>
      </c>
      <c r="FD8" s="12">
        <f t="array" ref="FD8">INDEX(FC:FC,MIN(IF(ISNUMBER(FC8:FC204),ROW(FC8:FC204),"")))</f>
        <v>12.7</v>
      </c>
      <c r="FE8" s="12">
        <f>IF('Données projet'!$A$218&gt;35,FE7+FD8-FM7,IF(A8&lt;'Données projet'!$A$218,$FB$205^A8,IF(A8='Données projet'!$A$218,'Données projet'!$B$218,FE7+FD8-FM7)))</f>
        <v>22.9</v>
      </c>
      <c r="FF8" s="17">
        <f>FE8*VLOOKUP('Données projet'!$B$16,Paramètres!$A$1:$I$89,3,0)*VLOOKUP('Données projet'!$B$16,Paramètres!$A$1:$I$89,5,0)</f>
        <v>11.646024000000001</v>
      </c>
      <c r="FG8" s="13">
        <f t="shared" si="47"/>
        <v>4.0329855280627118</v>
      </c>
      <c r="FH8" s="20">
        <f t="shared" si="22"/>
        <v>27.30760826137589</v>
      </c>
      <c r="FI8" s="57">
        <f t="shared" si="23"/>
        <v>206.09865613782324</v>
      </c>
      <c r="FJ8" s="57">
        <f ca="1">AVERAGE(OFFSET($FI$3,0,0,'Données projet'!$E$16+1,1))-AVERAGE(OFFSET($H$3,0,0,'Données projet'!$E$16+1,1))</f>
        <v>142.88219003619457</v>
      </c>
      <c r="FK8" s="57">
        <f t="shared" si="48"/>
        <v>288.69704547625088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7" t="e">
        <f t="shared" si="26"/>
        <v>#N/A</v>
      </c>
      <c r="GE8" s="57" t="e">
        <f ca="1">AVERAGE(OFFSET($GD$3,0,0,'Données projet'!$E$17+1,1))-AVERAGE(OFFSET($H$3,0,0,'Données projet'!$E$17+1,1))</f>
        <v>#N/A</v>
      </c>
      <c r="GF8" s="57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7" t="e">
        <f t="shared" si="29"/>
        <v>#N/A</v>
      </c>
      <c r="GZ8" s="57" t="e">
        <f ca="1">AVERAGE(OFFSET($GY$3,0,0,'Données projet'!$E$18+1,1))-AVERAGE(OFFSET($H$3,0,0,'Données projet'!$E$18+1,1))</f>
        <v>#N/A</v>
      </c>
      <c r="HA8" s="57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1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5">
        <f t="shared" si="1"/>
        <v>183.33333333333334</v>
      </c>
      <c r="I9" s="6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7">
        <f t="shared" si="0"/>
        <v>189.46981953956174</v>
      </c>
      <c r="S9" s="57">
        <f ca="1">AVERAGE(OFFSET($R$3,0,0,'Données projet'!$E$9+1,1))-AVERAGE(OFFSET($H$3,0,0,'Données projet'!$E$9+1,1))</f>
        <v>539.63700256763173</v>
      </c>
      <c r="T9" s="57">
        <f t="shared" si="34"/>
        <v>297.32483725004136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3.0515129419874016</v>
      </c>
      <c r="AK9" s="13">
        <f t="shared" si="35"/>
        <v>1.2350078267772846</v>
      </c>
      <c r="AL9" s="20">
        <f t="shared" si="4"/>
        <v>7.4656903389318279</v>
      </c>
      <c r="AM9" s="57">
        <f t="shared" si="5"/>
        <v>188.93594243519081</v>
      </c>
      <c r="AN9" s="57">
        <f ca="1">AVERAGE(OFFSET($AM$3,0,0,'Données projet'!$E$10+1,1))-AVERAGE(OFFSET($H$3,0,0,'Données projet'!$E$10+1,1))</f>
        <v>508.21188526136734</v>
      </c>
      <c r="AO9" s="57">
        <f t="shared" si="36"/>
        <v>281.06176764290592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2.1371892408111433</v>
      </c>
      <c r="BF9" s="13">
        <f t="shared" si="37"/>
        <v>0.9015738804633705</v>
      </c>
      <c r="BG9" s="20">
        <f t="shared" si="7"/>
        <v>5.292512436219778</v>
      </c>
      <c r="BH9" s="57">
        <f t="shared" si="8"/>
        <v>186.76276453247874</v>
      </c>
      <c r="BI9" s="57">
        <f ca="1">AVERAGE(OFFSET($BH$3,0,0,'Données projet'!$E$11+1,1))-AVERAGE(OFFSET($H$3,0,0,'Données projet'!$E$11+1,1))</f>
        <v>449.50723280509311</v>
      </c>
      <c r="BJ9" s="57">
        <f t="shared" si="38"/>
        <v>281.26353650058275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2.8</v>
      </c>
      <c r="BY9" s="12">
        <f>IF('Données projet'!$A$114&gt;35,BY8+BX9-CG8,IF(A9&lt;'Données projet'!$A$114,$BV$205^A9,IF(A9='Données projet'!$A$114,'Données projet'!$B$114,BY8+BX9-CG8)))</f>
        <v>2.7721934279386429</v>
      </c>
      <c r="BZ9" s="13">
        <f>BY9*VLOOKUP('Données projet'!$B$12,Paramètres!$A$1:$I$89,3,0)*VLOOKUP('Données projet'!$B$12,Paramètres!$A$1:$I$89,5,0)</f>
        <v>2.6380192660264128</v>
      </c>
      <c r="CA9" s="13">
        <f t="shared" si="39"/>
        <v>1.0859086008836318</v>
      </c>
      <c r="CB9" s="20">
        <f t="shared" si="10"/>
        <v>6.4858410348683284</v>
      </c>
      <c r="CC9" s="57">
        <f t="shared" si="11"/>
        <v>187.95609313112729</v>
      </c>
      <c r="CD9" s="57">
        <f ca="1">AVERAGE(OFFSET($CC$3,0,0,'Données projet'!$E$12+1,1))-AVERAGE(OFFSET($H$3,0,0,'Données projet'!$E$12+1,1))</f>
        <v>479.4551766174892</v>
      </c>
      <c r="CE9" s="57">
        <f t="shared" si="40"/>
        <v>260.29028006191834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8.526315789473685</v>
      </c>
      <c r="CT9" s="12">
        <f>IF('Données projet'!$A$140&gt;35,CT8+CS9-DB8,IF(A9&lt;'Données projet'!$A$140,$CQ$205^A9,IF(A9='Données projet'!$A$140,'Données projet'!$B$140,CT8+CS9-DB8)))</f>
        <v>4.9858772657326877</v>
      </c>
      <c r="CU9" s="17">
        <f>CT9*VLOOKUP('Données projet'!$B$13,Paramètres!$A$1:$I$89,3,0)*VLOOKUP('Données projet'!$B$13,Paramètres!$A$1:$I$89,5,0)</f>
        <v>2.7871053915445723</v>
      </c>
      <c r="CV9" s="13">
        <f t="shared" si="41"/>
        <v>1.1399599707787778</v>
      </c>
      <c r="CW9" s="20">
        <f t="shared" si="13"/>
        <v>6.839638839379834</v>
      </c>
      <c r="CX9" s="57">
        <f t="shared" si="14"/>
        <v>188.3098909356388</v>
      </c>
      <c r="CY9" s="57">
        <f ca="1">AVERAGE(OFFSET($CX$3,0,0,'Données projet'!$E$13+1,1))-AVERAGE(OFFSET($H$3,0,0,'Données projet'!$E$13+1,1))</f>
        <v>459.83870442974046</v>
      </c>
      <c r="CZ9" s="57">
        <f t="shared" si="42"/>
        <v>565.68976940602215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6.6439333333333339</v>
      </c>
      <c r="DO9" s="12">
        <f>IF('Données projet'!$A$166&gt;35,DO8+DN9-DW8,IF(A9&lt;'Données projet'!$A$166,$DL$205^A9,IF(A9='Données projet'!$A$166,'Données projet'!$B$166,DO8+DN9-DW8)))</f>
        <v>6.3009583663736191</v>
      </c>
      <c r="DP9" s="17">
        <f>DO9*VLOOKUP('Données projet'!$B$14,Paramètres!$A$1:$I$89,3,0)*VLOOKUP('Données projet'!$B$14,Paramètres!$A$1:$I$89,5,0)</f>
        <v>4.1283879216479953</v>
      </c>
      <c r="DQ9" s="13">
        <f t="shared" si="43"/>
        <v>1.6130792832113936</v>
      </c>
      <c r="DR9" s="20">
        <f t="shared" si="16"/>
        <v>9.9997220484634344</v>
      </c>
      <c r="DS9" s="57">
        <f t="shared" si="17"/>
        <v>191.46997414472241</v>
      </c>
      <c r="DT9" s="57">
        <f ca="1">AVERAGE(OFFSET($DS$3,0,0,'Données projet'!$E$14+1,1))-AVERAGE(OFFSET($H$3,0,0,'Données projet'!$E$14+1,1))</f>
        <v>315.23504986325418</v>
      </c>
      <c r="DU9" s="57">
        <f t="shared" si="44"/>
        <v>350.52837099886688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2.1523809523809527</v>
      </c>
      <c r="EJ9" s="12">
        <f>IF('Données projet'!$A$192&gt;35,EJ8+EI9-ER8,IF(A9&lt;'Données projet'!$A$192,$EG$205^A9,IF(A9='Données projet'!$A$192,'Données projet'!$B$192,EJ8+EI9-ER8)))</f>
        <v>12.914285714285715</v>
      </c>
      <c r="EK9" s="17">
        <f>EJ9*VLOOKUP('Données projet'!$B$15,Paramètres!$A$1:$I$89,3,0)*VLOOKUP('Données projet'!$B$15,Paramètres!$A$1:$I$89,5,0)</f>
        <v>12.490697142857144</v>
      </c>
      <c r="EL9" s="13">
        <f t="shared" si="45"/>
        <v>4.2903829080866043</v>
      </c>
      <c r="EM9" s="20">
        <f t="shared" si="19"/>
        <v>29.227047755393698</v>
      </c>
      <c r="EN9" s="57">
        <f t="shared" si="20"/>
        <v>210.69729985165267</v>
      </c>
      <c r="EO9" s="57">
        <f ca="1">AVERAGE(OFFSET($EN$3,0,0,'Données projet'!$E$15+1,1))-AVERAGE(OFFSET($H$3,0,0,'Données projet'!$E$15+1,1))</f>
        <v>328.31200866623891</v>
      </c>
      <c r="EP9" s="57">
        <f t="shared" si="46"/>
        <v>195.52650232917446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>
        <f>VLOOKUP(A9,'Données projet'!$A$217:$I$237,2,0)</f>
        <v>39.200000000000003</v>
      </c>
      <c r="FC9" s="12">
        <f>VLOOKUP(A9,'Données projet'!$A$217:$I$237,9,0)</f>
        <v>16.300000000000004</v>
      </c>
      <c r="FD9" s="12">
        <f t="array" ref="FD9">INDEX(FC:FC,MIN(IF(ISNUMBER(FC9:FC205),ROW(FC9:FC205),"")))</f>
        <v>16.300000000000004</v>
      </c>
      <c r="FE9" s="12">
        <f>IF('Données projet'!$A$218&gt;35,FE8+FD9-FM8,IF(A9&lt;'Données projet'!$A$218,$FB$205^A9,IF(A9='Données projet'!$A$218,'Données projet'!$B$218,FE8+FD9-FM8)))</f>
        <v>39.200000000000003</v>
      </c>
      <c r="FF9" s="17">
        <f>FE9*VLOOKUP('Données projet'!$B$16,Paramètres!$A$1:$I$89,3,0)*VLOOKUP('Données projet'!$B$16,Paramètres!$A$1:$I$89,5,0)</f>
        <v>19.935552000000001</v>
      </c>
      <c r="FG9" s="13">
        <f t="shared" si="47"/>
        <v>6.4849047297887168</v>
      </c>
      <c r="FH9" s="20">
        <f t="shared" si="22"/>
        <v>46.015628804382011</v>
      </c>
      <c r="FI9" s="57">
        <f t="shared" si="23"/>
        <v>227.48588090064098</v>
      </c>
      <c r="FJ9" s="57">
        <f ca="1">AVERAGE(OFFSET($FI$3,0,0,'Données projet'!$E$16+1,1))-AVERAGE(OFFSET($H$3,0,0,'Données projet'!$E$16+1,1))</f>
        <v>142.88219003619457</v>
      </c>
      <c r="FK9" s="57">
        <f t="shared" si="48"/>
        <v>288.69704547625088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7" t="e">
        <f t="shared" si="26"/>
        <v>#N/A</v>
      </c>
      <c r="GE9" s="57" t="e">
        <f ca="1">AVERAGE(OFFSET($GD$3,0,0,'Données projet'!$E$17+1,1))-AVERAGE(OFFSET($H$3,0,0,'Données projet'!$E$17+1,1))</f>
        <v>#N/A</v>
      </c>
      <c r="GF9" s="57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7" t="e">
        <f t="shared" si="29"/>
        <v>#N/A</v>
      </c>
      <c r="GZ9" s="57" t="e">
        <f ca="1">AVERAGE(OFFSET($GY$3,0,0,'Données projet'!$E$18+1,1))-AVERAGE(OFFSET($H$3,0,0,'Données projet'!$E$18+1,1))</f>
        <v>#N/A</v>
      </c>
      <c r="HA9" s="57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1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5">
        <f t="shared" si="1"/>
        <v>183.33333333333334</v>
      </c>
      <c r="I10" s="6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7">
        <f t="shared" si="0"/>
        <v>193.96778694515905</v>
      </c>
      <c r="S10" s="57">
        <f ca="1">AVERAGE(OFFSET($R$3,0,0,'Données projet'!$E$9+1,1))-AVERAGE(OFFSET($H$3,0,0,'Données projet'!$E$9+1,1))</f>
        <v>539.63700256763173</v>
      </c>
      <c r="T10" s="57">
        <f t="shared" si="34"/>
        <v>297.32483725004136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3.7816502416982529</v>
      </c>
      <c r="AK10" s="13">
        <f t="shared" si="35"/>
        <v>1.492764553183741</v>
      </c>
      <c r="AL10" s="20">
        <f t="shared" si="4"/>
        <v>9.1862724344194735</v>
      </c>
      <c r="AM10" s="57">
        <f t="shared" si="5"/>
        <v>193.3104533701557</v>
      </c>
      <c r="AN10" s="57">
        <f ca="1">AVERAGE(OFFSET($AM$3,0,0,'Données projet'!$E$10+1,1))-AVERAGE(OFFSET($H$3,0,0,'Données projet'!$E$10+1,1))</f>
        <v>508.21188526136734</v>
      </c>
      <c r="AO10" s="57">
        <f t="shared" si="36"/>
        <v>281.06176764290592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2.7528074408114294</v>
      </c>
      <c r="BF10" s="13">
        <f t="shared" si="37"/>
        <v>1.1275556652411438</v>
      </c>
      <c r="BG10" s="20">
        <f t="shared" si="7"/>
        <v>6.7582990763748976</v>
      </c>
      <c r="BH10" s="57">
        <f t="shared" si="8"/>
        <v>190.88248001211113</v>
      </c>
      <c r="BI10" s="57">
        <f ca="1">AVERAGE(OFFSET($BH$3,0,0,'Données projet'!$E$11+1,1))-AVERAGE(OFFSET($H$3,0,0,'Données projet'!$E$11+1,1))</f>
        <v>449.50723280509311</v>
      </c>
      <c r="BJ10" s="57">
        <f t="shared" si="38"/>
        <v>281.26353650058275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2.8</v>
      </c>
      <c r="BY10" s="12">
        <f>IF('Données projet'!$A$114&gt;35,BY9+BX10-CG9,IF(A10&lt;'Données projet'!$A$114,$BV$205^A10,IF(A10='Données projet'!$A$114,'Données projet'!$B$114,BY9+BX10-CG9)))</f>
        <v>3.2856965458621241</v>
      </c>
      <c r="BZ10" s="13">
        <f>BY10*VLOOKUP('Données projet'!$B$12,Paramètres!$A$1:$I$89,3,0)*VLOOKUP('Données projet'!$B$12,Paramètres!$A$1:$I$89,5,0)</f>
        <v>3.1266688330423973</v>
      </c>
      <c r="CA10" s="13">
        <f t="shared" si="39"/>
        <v>1.2618461822222296</v>
      </c>
      <c r="CB10" s="20">
        <f t="shared" si="10"/>
        <v>7.6433303182525583</v>
      </c>
      <c r="CC10" s="57">
        <f t="shared" si="11"/>
        <v>191.7675112539888</v>
      </c>
      <c r="CD10" s="57">
        <f ca="1">AVERAGE(OFFSET($CC$3,0,0,'Données projet'!$E$12+1,1))-AVERAGE(OFFSET($H$3,0,0,'Données projet'!$E$12+1,1))</f>
        <v>479.4551766174892</v>
      </c>
      <c r="CE10" s="57">
        <f t="shared" si="40"/>
        <v>260.29028006191834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8.526315789473685</v>
      </c>
      <c r="CT10" s="12">
        <f>IF('Données projet'!$A$140&gt;35,CT9+CS10-DB9,IF(A10&lt;'Données projet'!$A$140,$CQ$205^A10,IF(A10='Données projet'!$A$140,'Données projet'!$B$140,CT9+CS10-DB9)))</f>
        <v>6.5167618069644444</v>
      </c>
      <c r="CU10" s="17">
        <f>CT10*VLOOKUP('Données projet'!$B$13,Paramètres!$A$1:$I$89,3,0)*VLOOKUP('Données projet'!$B$13,Paramètres!$A$1:$I$89,5,0)</f>
        <v>3.6428698500931249</v>
      </c>
      <c r="CV10" s="13">
        <f t="shared" si="41"/>
        <v>1.4442543315575544</v>
      </c>
      <c r="CW10" s="20">
        <f t="shared" si="13"/>
        <v>8.8600746163749324</v>
      </c>
      <c r="CX10" s="57">
        <f t="shared" si="14"/>
        <v>192.98425555211116</v>
      </c>
      <c r="CY10" s="57">
        <f ca="1">AVERAGE(OFFSET($CX$3,0,0,'Données projet'!$E$13+1,1))-AVERAGE(OFFSET($H$3,0,0,'Données projet'!$E$13+1,1))</f>
        <v>459.83870442974046</v>
      </c>
      <c r="CZ10" s="57">
        <f t="shared" si="42"/>
        <v>565.68976940602215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6.6439333333333339</v>
      </c>
      <c r="DO10" s="12">
        <f>IF('Données projet'!$A$166&gt;35,DO9+DN10-DW9,IF(A10&lt;'Données projet'!$A$166,$DL$205^A10,IF(A10='Données projet'!$A$166,'Données projet'!$B$166,DO9+DN10-DW9)))</f>
        <v>8.5632977521882019</v>
      </c>
      <c r="DP10" s="17">
        <f>DO10*VLOOKUP('Données projet'!$B$14,Paramètres!$A$1:$I$89,3,0)*VLOOKUP('Données projet'!$B$14,Paramètres!$A$1:$I$89,5,0)</f>
        <v>5.61067268723371</v>
      </c>
      <c r="DQ10" s="13">
        <f t="shared" si="43"/>
        <v>2.1153472018704682</v>
      </c>
      <c r="DR10" s="20">
        <f t="shared" si="16"/>
        <v>13.456151306856443</v>
      </c>
      <c r="DS10" s="57">
        <f t="shared" si="17"/>
        <v>197.58033224259268</v>
      </c>
      <c r="DT10" s="57">
        <f ca="1">AVERAGE(OFFSET($DS$3,0,0,'Données projet'!$E$14+1,1))-AVERAGE(OFFSET($H$3,0,0,'Données projet'!$E$14+1,1))</f>
        <v>315.23504986325418</v>
      </c>
      <c r="DU10" s="57">
        <f t="shared" si="44"/>
        <v>350.52837099886688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2.1523809523809527</v>
      </c>
      <c r="EJ10" s="12">
        <f>IF('Données projet'!$A$192&gt;35,EJ9+EI10-ER9,IF(A10&lt;'Données projet'!$A$192,$EG$205^A10,IF(A10='Données projet'!$A$192,'Données projet'!$B$192,EJ9+EI10-ER9)))</f>
        <v>15.066666666666666</v>
      </c>
      <c r="EK10" s="17">
        <f>EJ10*VLOOKUP('Données projet'!$B$15,Paramètres!$A$1:$I$89,3,0)*VLOOKUP('Données projet'!$B$15,Paramètres!$A$1:$I$89,5,0)</f>
        <v>14.572480000000001</v>
      </c>
      <c r="EL10" s="13">
        <f t="shared" si="45"/>
        <v>4.9164342686947275</v>
      </c>
      <c r="EM10" s="20">
        <f t="shared" si="19"/>
        <v>33.943192351309982</v>
      </c>
      <c r="EN10" s="57">
        <f t="shared" si="20"/>
        <v>218.06737328704622</v>
      </c>
      <c r="EO10" s="57">
        <f ca="1">AVERAGE(OFFSET($EN$3,0,0,'Données projet'!$E$15+1,1))-AVERAGE(OFFSET($H$3,0,0,'Données projet'!$E$15+1,1))</f>
        <v>328.31200866623891</v>
      </c>
      <c r="EP10" s="57">
        <f t="shared" si="46"/>
        <v>195.52650232917446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>
        <f>VLOOKUP(A10,'Données projet'!$A$217:$I$237,2,0)</f>
        <v>54.6</v>
      </c>
      <c r="FC10" s="12">
        <f>VLOOKUP(A10,'Données projet'!$A$217:$I$237,9,0)</f>
        <v>15.399999999999999</v>
      </c>
      <c r="FD10" s="12">
        <f t="array" ref="FD10">INDEX(FC:FC,MIN(IF(ISNUMBER(FC10:FC206),ROW(FC10:FC206),"")))</f>
        <v>15.399999999999999</v>
      </c>
      <c r="FE10" s="12">
        <f>IF('Données projet'!$A$218&gt;35,FE9+FD10-FM9,IF(A10&lt;'Données projet'!$A$218,$FB$205^A10,IF(A10='Données projet'!$A$218,'Données projet'!$B$218,FE9+FD10-FM9)))</f>
        <v>54.6</v>
      </c>
      <c r="FF10" s="17">
        <f>FE10*VLOOKUP('Données projet'!$B$16,Paramètres!$A$1:$I$89,3,0)*VLOOKUP('Données projet'!$B$16,Paramètres!$A$1:$I$89,5,0)</f>
        <v>27.767376000000002</v>
      </c>
      <c r="FG10" s="13">
        <f t="shared" si="47"/>
        <v>8.6907938925713921</v>
      </c>
      <c r="FH10" s="20">
        <f t="shared" si="22"/>
        <v>63.497979229561842</v>
      </c>
      <c r="FI10" s="57">
        <f t="shared" si="23"/>
        <v>247.62216016529808</v>
      </c>
      <c r="FJ10" s="57">
        <f ca="1">AVERAGE(OFFSET($FI$3,0,0,'Données projet'!$E$16+1,1))-AVERAGE(OFFSET($H$3,0,0,'Données projet'!$E$16+1,1))</f>
        <v>142.88219003619457</v>
      </c>
      <c r="FK10" s="57">
        <f t="shared" si="48"/>
        <v>288.69704547625088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7" t="e">
        <f t="shared" si="26"/>
        <v>#N/A</v>
      </c>
      <c r="GE10" s="57" t="e">
        <f ca="1">AVERAGE(OFFSET($GD$3,0,0,'Données projet'!$E$17+1,1))-AVERAGE(OFFSET($H$3,0,0,'Données projet'!$E$17+1,1))</f>
        <v>#N/A</v>
      </c>
      <c r="GF10" s="57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7" t="e">
        <f t="shared" si="29"/>
        <v>#N/A</v>
      </c>
      <c r="GZ10" s="57" t="e">
        <f ca="1">AVERAGE(OFFSET($GY$3,0,0,'Données projet'!$E$18+1,1))-AVERAGE(OFFSET($H$3,0,0,'Données projet'!$E$18+1,1))</f>
        <v>#N/A</v>
      </c>
      <c r="HA10" s="57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1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5">
        <f t="shared" si="1"/>
        <v>183.33333333333334</v>
      </c>
      <c r="I11" s="6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7">
        <f t="shared" si="0"/>
        <v>198.86752730846644</v>
      </c>
      <c r="S11" s="57">
        <f ca="1">AVERAGE(OFFSET($R$3,0,0,'Données projet'!$E$9+1,1))-AVERAGE(OFFSET($H$3,0,0,'Données projet'!$E$9+1,1))</f>
        <v>539.63700256763173</v>
      </c>
      <c r="T11" s="57">
        <f t="shared" si="34"/>
        <v>297.32483725004136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4.6864879233389463</v>
      </c>
      <c r="AK11" s="13">
        <f t="shared" si="35"/>
        <v>1.8043173192324258</v>
      </c>
      <c r="AL11" s="20">
        <f t="shared" si="4"/>
        <v>11.304819130811806</v>
      </c>
      <c r="AM11" s="57">
        <f t="shared" si="5"/>
        <v>198.05809199703236</v>
      </c>
      <c r="AN11" s="57">
        <f ca="1">AVERAGE(OFFSET($AM$3,0,0,'Données projet'!$E$10+1,1))-AVERAGE(OFFSET($H$3,0,0,'Données projet'!$E$10+1,1))</f>
        <v>508.21188526136734</v>
      </c>
      <c r="AO11" s="57">
        <f t="shared" si="36"/>
        <v>281.06176764290592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3.5457547050492639</v>
      </c>
      <c r="BF11" s="13">
        <f t="shared" si="37"/>
        <v>1.4101803587787649</v>
      </c>
      <c r="BG11" s="20">
        <f t="shared" si="7"/>
        <v>8.631586902833817</v>
      </c>
      <c r="BH11" s="57">
        <f t="shared" si="8"/>
        <v>195.38485976905437</v>
      </c>
      <c r="BI11" s="57">
        <f ca="1">AVERAGE(OFFSET($BH$3,0,0,'Données projet'!$E$11+1,1))-AVERAGE(OFFSET($H$3,0,0,'Données projet'!$E$11+1,1))</f>
        <v>449.50723280509311</v>
      </c>
      <c r="BJ11" s="57">
        <f t="shared" si="38"/>
        <v>281.26353650058275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2.8</v>
      </c>
      <c r="BY11" s="12">
        <f>IF('Données projet'!$A$114&gt;35,BY10+BX11-CG10,IF(A11&lt;'Données projet'!$A$114,$BV$205^A11,IF(A11='Données projet'!$A$114,'Données projet'!$B$114,BY10+BX11-CG10)))</f>
        <v>3.8943176485047335</v>
      </c>
      <c r="BZ11" s="13">
        <f>BY11*VLOOKUP('Données projet'!$B$12,Paramètres!$A$1:$I$89,3,0)*VLOOKUP('Données projet'!$B$12,Paramètres!$A$1:$I$89,5,0)</f>
        <v>3.7058326743171039</v>
      </c>
      <c r="CA11" s="13">
        <f t="shared" si="39"/>
        <v>1.4662889549757283</v>
      </c>
      <c r="CB11" s="20">
        <f t="shared" si="10"/>
        <v>9.008111837685016</v>
      </c>
      <c r="CC11" s="57">
        <f t="shared" si="11"/>
        <v>195.76138470390558</v>
      </c>
      <c r="CD11" s="57">
        <f ca="1">AVERAGE(OFFSET($CC$3,0,0,'Données projet'!$E$12+1,1))-AVERAGE(OFFSET($H$3,0,0,'Données projet'!$E$12+1,1))</f>
        <v>479.4551766174892</v>
      </c>
      <c r="CE11" s="57">
        <f t="shared" si="40"/>
        <v>260.29028006191834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8.526315789473685</v>
      </c>
      <c r="CT11" s="12">
        <f>IF('Données projet'!$A$140&gt;35,CT10+CS11-DB10,IF(A11&lt;'Données projet'!$A$140,$CQ$205^A11,IF(A11='Données projet'!$A$140,'Données projet'!$B$140,CT10+CS11-DB10)))</f>
        <v>8.5176955198213591</v>
      </c>
      <c r="CU11" s="17">
        <f>CT11*VLOOKUP('Données projet'!$B$13,Paramètres!$A$1:$I$89,3,0)*VLOOKUP('Données projet'!$B$13,Paramètres!$A$1:$I$89,5,0)</f>
        <v>4.7613917955801393</v>
      </c>
      <c r="CV11" s="13">
        <f t="shared" si="41"/>
        <v>1.8297752795633417</v>
      </c>
      <c r="CW11" s="20">
        <f t="shared" si="13"/>
        <v>11.479615989208229</v>
      </c>
      <c r="CX11" s="57">
        <f t="shared" si="14"/>
        <v>198.2328888554288</v>
      </c>
      <c r="CY11" s="57">
        <f ca="1">AVERAGE(OFFSET($CX$3,0,0,'Données projet'!$E$13+1,1))-AVERAGE(OFFSET($H$3,0,0,'Données projet'!$E$13+1,1))</f>
        <v>459.83870442974046</v>
      </c>
      <c r="CZ11" s="57">
        <f t="shared" si="42"/>
        <v>565.68976940602215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6.6439333333333339</v>
      </c>
      <c r="DO11" s="12">
        <f>IF('Données projet'!$A$166&gt;35,DO10+DN11-DW10,IF(A11&lt;'Données projet'!$A$166,$DL$205^A11,IF(A11='Données projet'!$A$166,'Données projet'!$B$166,DO10+DN11-DW10)))</f>
        <v>11.63792301564358</v>
      </c>
      <c r="DP11" s="17">
        <f>DO11*VLOOKUP('Données projet'!$B$14,Paramètres!$A$1:$I$89,3,0)*VLOOKUP('Données projet'!$B$14,Paramètres!$A$1:$I$89,5,0)</f>
        <v>7.6251671598496733</v>
      </c>
      <c r="DQ11" s="13">
        <f t="shared" si="43"/>
        <v>2.7740073479542735</v>
      </c>
      <c r="DR11" s="20">
        <f t="shared" si="16"/>
        <v>18.11189560109187</v>
      </c>
      <c r="DS11" s="57">
        <f t="shared" si="17"/>
        <v>204.86516846731243</v>
      </c>
      <c r="DT11" s="57">
        <f ca="1">AVERAGE(OFFSET($DS$3,0,0,'Données projet'!$E$14+1,1))-AVERAGE(OFFSET($H$3,0,0,'Données projet'!$E$14+1,1))</f>
        <v>315.23504986325418</v>
      </c>
      <c r="DU11" s="57">
        <f t="shared" si="44"/>
        <v>350.52837099886688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2.1523809523809527</v>
      </c>
      <c r="EJ11" s="12">
        <f>IF('Données projet'!$A$192&gt;35,EJ10+EI11-ER10,IF(A11&lt;'Données projet'!$A$192,$EG$205^A11,IF(A11='Données projet'!$A$192,'Données projet'!$B$192,EJ10+EI11-ER10)))</f>
        <v>17.219047619047618</v>
      </c>
      <c r="EK11" s="17">
        <f>EJ11*VLOOKUP('Données projet'!$B$15,Paramètres!$A$1:$I$89,3,0)*VLOOKUP('Données projet'!$B$15,Paramètres!$A$1:$I$89,5,0)</f>
        <v>16.654262857142857</v>
      </c>
      <c r="EL11" s="13">
        <f t="shared" si="45"/>
        <v>5.5321241966582662</v>
      </c>
      <c r="EM11" s="20">
        <f t="shared" si="19"/>
        <v>38.641290785370288</v>
      </c>
      <c r="EN11" s="57">
        <f t="shared" si="20"/>
        <v>225.39456365159083</v>
      </c>
      <c r="EO11" s="57">
        <f ca="1">AVERAGE(OFFSET($EN$3,0,0,'Données projet'!$E$15+1,1))-AVERAGE(OFFSET($H$3,0,0,'Données projet'!$E$15+1,1))</f>
        <v>328.31200866623891</v>
      </c>
      <c r="EP11" s="57">
        <f t="shared" si="46"/>
        <v>195.52650232917446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>
        <f>VLOOKUP(A11,'Données projet'!$A$217:$I$237,2,0)</f>
        <v>72.3</v>
      </c>
      <c r="FC11" s="12">
        <f>VLOOKUP(A11,'Données projet'!$A$217:$I$237,9,0)</f>
        <v>17.699999999999996</v>
      </c>
      <c r="FD11" s="12">
        <f t="array" ref="FD11">INDEX(FC:FC,MIN(IF(ISNUMBER(FC11:FC207),ROW(FC11:FC207),"")))</f>
        <v>17.699999999999996</v>
      </c>
      <c r="FE11" s="12">
        <f>IF('Données projet'!$A$218&gt;35,FE10+FD11-FM10,IF(A11&lt;'Données projet'!$A$218,$FB$205^A11,IF(A11='Données projet'!$A$218,'Données projet'!$B$218,FE10+FD11-FM10)))</f>
        <v>72.3</v>
      </c>
      <c r="FF11" s="17">
        <f>FE11*VLOOKUP('Données projet'!$B$16,Paramètres!$A$1:$I$89,3,0)*VLOOKUP('Données projet'!$B$16,Paramètres!$A$1:$I$89,5,0)</f>
        <v>36.768888000000004</v>
      </c>
      <c r="FG11" s="13">
        <f t="shared" si="47"/>
        <v>11.138087641881855</v>
      </c>
      <c r="FH11" s="20">
        <f t="shared" si="22"/>
        <v>83.437982576277562</v>
      </c>
      <c r="FI11" s="57">
        <f t="shared" si="23"/>
        <v>270.19125544249812</v>
      </c>
      <c r="FJ11" s="57">
        <f ca="1">AVERAGE(OFFSET($FI$3,0,0,'Données projet'!$E$16+1,1))-AVERAGE(OFFSET($H$3,0,0,'Données projet'!$E$16+1,1))</f>
        <v>142.88219003619457</v>
      </c>
      <c r="FK11" s="57">
        <f t="shared" si="48"/>
        <v>288.69704547625088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7" t="e">
        <f t="shared" si="26"/>
        <v>#N/A</v>
      </c>
      <c r="GE11" s="57" t="e">
        <f ca="1">AVERAGE(OFFSET($GD$3,0,0,'Données projet'!$E$17+1,1))-AVERAGE(OFFSET($H$3,0,0,'Données projet'!$E$17+1,1))</f>
        <v>#N/A</v>
      </c>
      <c r="GF11" s="57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7" t="e">
        <f t="shared" si="29"/>
        <v>#N/A</v>
      </c>
      <c r="GZ11" s="57" t="e">
        <f ca="1">AVERAGE(OFFSET($GY$3,0,0,'Données projet'!$E$18+1,1))-AVERAGE(OFFSET($H$3,0,0,'Données projet'!$E$18+1,1))</f>
        <v>#N/A</v>
      </c>
      <c r="HA11" s="57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1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5">
        <f t="shared" si="1"/>
        <v>183.33333333333334</v>
      </c>
      <c r="I12" s="6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7">
        <f t="shared" si="0"/>
        <v>204.26849655299031</v>
      </c>
      <c r="S12" s="57">
        <f ca="1">AVERAGE(OFFSET($R$3,0,0,'Données projet'!$E$9+1,1))-AVERAGE(OFFSET($H$3,0,0,'Données projet'!$E$9+1,1))</f>
        <v>539.63700256763173</v>
      </c>
      <c r="T12" s="57">
        <f t="shared" si="34"/>
        <v>297.32483725004136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5.8078266502347455</v>
      </c>
      <c r="AK12" s="13">
        <f t="shared" si="35"/>
        <v>2.1808938198181922</v>
      </c>
      <c r="AL12" s="20">
        <f t="shared" si="4"/>
        <v>13.913688152008866</v>
      </c>
      <c r="AM12" s="57">
        <f t="shared" si="5"/>
        <v>203.27164690456493</v>
      </c>
      <c r="AN12" s="57">
        <f ca="1">AVERAGE(OFFSET($AM$3,0,0,'Données projet'!$E$10+1,1))-AVERAGE(OFFSET($H$3,0,0,'Données projet'!$E$10+1,1))</f>
        <v>508.21188526136734</v>
      </c>
      <c r="AO12" s="57">
        <f t="shared" si="36"/>
        <v>281.06176764290592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4.5671107401079603</v>
      </c>
      <c r="BF12" s="13">
        <f t="shared" si="37"/>
        <v>1.763645650133036</v>
      </c>
      <c r="BG12" s="20">
        <f t="shared" si="7"/>
        <v>11.026067379669733</v>
      </c>
      <c r="BH12" s="57">
        <f t="shared" si="8"/>
        <v>200.38402613222581</v>
      </c>
      <c r="BI12" s="57">
        <f ca="1">AVERAGE(OFFSET($BH$3,0,0,'Données projet'!$E$11+1,1))-AVERAGE(OFFSET($H$3,0,0,'Données projet'!$E$11+1,1))</f>
        <v>449.50723280509311</v>
      </c>
      <c r="BJ12" s="57">
        <f t="shared" si="38"/>
        <v>281.26353650058275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2.8</v>
      </c>
      <c r="BY12" s="12">
        <f>IF('Données projet'!$A$114&gt;35,BY11+BX12-CG11,IF(A12&lt;'Données projet'!$A$114,$BV$205^A12,IF(A12='Données projet'!$A$114,'Données projet'!$B$114,BY11+BX12-CG11)))</f>
        <v>4.6156757740012635</v>
      </c>
      <c r="BZ12" s="13">
        <f>BY12*VLOOKUP('Données projet'!$B$12,Paramètres!$A$1:$I$89,3,0)*VLOOKUP('Données projet'!$B$12,Paramètres!$A$1:$I$89,5,0)</f>
        <v>4.3922770665396023</v>
      </c>
      <c r="CA12" s="13">
        <f t="shared" si="39"/>
        <v>1.7038552953399257</v>
      </c>
      <c r="CB12" s="20">
        <f t="shared" si="10"/>
        <v>10.617430530273511</v>
      </c>
      <c r="CC12" s="57">
        <f t="shared" si="11"/>
        <v>199.97538928282958</v>
      </c>
      <c r="CD12" s="57">
        <f ca="1">AVERAGE(OFFSET($CC$3,0,0,'Données projet'!$E$12+1,1))-AVERAGE(OFFSET($H$3,0,0,'Données projet'!$E$12+1,1))</f>
        <v>479.4551766174892</v>
      </c>
      <c r="CE12" s="57">
        <f t="shared" si="40"/>
        <v>260.29028006191834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8.526315789473685</v>
      </c>
      <c r="CT12" s="12">
        <f>IF('Données projet'!$A$140&gt;35,CT11+CS12-DB11,IF(A12&lt;'Données projet'!$A$140,$CQ$205^A12,IF(A12='Données projet'!$A$140,'Données projet'!$B$140,CT11+CS12-DB11)))</f>
        <v>11.133004261541316</v>
      </c>
      <c r="CU12" s="17">
        <f>CT12*VLOOKUP('Données projet'!$B$13,Paramètres!$A$1:$I$89,3,0)*VLOOKUP('Données projet'!$B$13,Paramètres!$A$1:$I$89,5,0)</f>
        <v>6.2233493822015964</v>
      </c>
      <c r="CV12" s="13">
        <f t="shared" si="41"/>
        <v>2.3182049730052579</v>
      </c>
      <c r="CW12" s="20">
        <f t="shared" si="13"/>
        <v>14.87654050198527</v>
      </c>
      <c r="CX12" s="57">
        <f t="shared" si="14"/>
        <v>204.23449925454133</v>
      </c>
      <c r="CY12" s="57">
        <f ca="1">AVERAGE(OFFSET($CX$3,0,0,'Données projet'!$E$13+1,1))-AVERAGE(OFFSET($H$3,0,0,'Données projet'!$E$13+1,1))</f>
        <v>459.83870442974046</v>
      </c>
      <c r="CZ12" s="57">
        <f t="shared" si="42"/>
        <v>565.68976940602215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6.6439333333333339</v>
      </c>
      <c r="DO12" s="12">
        <f>IF('Données projet'!$A$166&gt;35,DO11+DN12-DW11,IF(A12&lt;'Données projet'!$A$166,$DL$205^A12,IF(A12='Données projet'!$A$166,'Données projet'!$B$166,DO11+DN12-DW11)))</f>
        <v>15.816482859472789</v>
      </c>
      <c r="DP12" s="17">
        <f>DO12*VLOOKUP('Données projet'!$B$14,Paramètres!$A$1:$I$89,3,0)*VLOOKUP('Données projet'!$B$14,Paramètres!$A$1:$I$89,5,0)</f>
        <v>10.362959569526572</v>
      </c>
      <c r="DQ12" s="13">
        <f t="shared" si="43"/>
        <v>3.637755901111646</v>
      </c>
      <c r="DR12" s="20">
        <f t="shared" si="16"/>
        <v>24.384579444694893</v>
      </c>
      <c r="DS12" s="57">
        <f t="shared" si="17"/>
        <v>213.74253819725095</v>
      </c>
      <c r="DT12" s="57">
        <f ca="1">AVERAGE(OFFSET($DS$3,0,0,'Données projet'!$E$14+1,1))-AVERAGE(OFFSET($H$3,0,0,'Données projet'!$E$14+1,1))</f>
        <v>315.23504986325418</v>
      </c>
      <c r="DU12" s="57">
        <f t="shared" si="44"/>
        <v>350.52837099886688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2.1523809523809527</v>
      </c>
      <c r="EJ12" s="12">
        <f>IF('Données projet'!$A$192&gt;35,EJ11+EI12-ER11,IF(A12&lt;'Données projet'!$A$192,$EG$205^A12,IF(A12='Données projet'!$A$192,'Données projet'!$B$192,EJ11+EI12-ER11)))</f>
        <v>19.37142857142857</v>
      </c>
      <c r="EK12" s="17">
        <f>EJ12*VLOOKUP('Données projet'!$B$15,Paramètres!$A$1:$I$89,3,0)*VLOOKUP('Données projet'!$B$15,Paramètres!$A$1:$I$89,5,0)</f>
        <v>18.736045714285712</v>
      </c>
      <c r="EL12" s="13">
        <f t="shared" si="45"/>
        <v>6.1388962026661655</v>
      </c>
      <c r="EM12" s="20">
        <f t="shared" si="19"/>
        <v>43.32385717202451</v>
      </c>
      <c r="EN12" s="57">
        <f t="shared" si="20"/>
        <v>232.68181592458058</v>
      </c>
      <c r="EO12" s="57">
        <f ca="1">AVERAGE(OFFSET($EN$3,0,0,'Données projet'!$E$15+1,1))-AVERAGE(OFFSET($H$3,0,0,'Données projet'!$E$15+1,1))</f>
        <v>328.31200866623891</v>
      </c>
      <c r="EP12" s="57">
        <f t="shared" si="46"/>
        <v>195.52650232917446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>
        <f>VLOOKUP(A12,'Données projet'!$A$217:$I$237,2,0)</f>
        <v>91.8</v>
      </c>
      <c r="FC12" s="12">
        <f>VLOOKUP(A12,'Données projet'!$A$217:$I$237,9,0)</f>
        <v>19.5</v>
      </c>
      <c r="FD12" s="12">
        <f t="array" ref="FD12">INDEX(FC:FC,MIN(IF(ISNUMBER(FC12:FC208),ROW(FC12:FC208),"")))</f>
        <v>19.5</v>
      </c>
      <c r="FE12" s="12">
        <f>IF('Données projet'!$A$218&gt;35,FE11+FD12-FM11,IF(A12&lt;'Données projet'!$A$218,$FB$205^A12,IF(A12='Données projet'!$A$218,'Données projet'!$B$218,FE11+FD12-FM11)))</f>
        <v>91.8</v>
      </c>
      <c r="FF12" s="17">
        <f>FE12*VLOOKUP('Données projet'!$B$16,Paramètres!$A$1:$I$89,3,0)*VLOOKUP('Données projet'!$B$16,Paramètres!$A$1:$I$89,5,0)</f>
        <v>46.685808000000002</v>
      </c>
      <c r="FG12" s="13">
        <f t="shared" si="47"/>
        <v>13.754468862853029</v>
      </c>
      <c r="FH12" s="20">
        <f t="shared" si="22"/>
        <v>105.2668155361357</v>
      </c>
      <c r="FI12" s="57">
        <f t="shared" si="23"/>
        <v>294.62477428869175</v>
      </c>
      <c r="FJ12" s="57">
        <f ca="1">AVERAGE(OFFSET($FI$3,0,0,'Données projet'!$E$16+1,1))-AVERAGE(OFFSET($H$3,0,0,'Données projet'!$E$16+1,1))</f>
        <v>142.88219003619457</v>
      </c>
      <c r="FK12" s="57">
        <f t="shared" si="48"/>
        <v>288.69704547625088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7" t="e">
        <f t="shared" si="26"/>
        <v>#N/A</v>
      </c>
      <c r="GE12" s="57" t="e">
        <f ca="1">AVERAGE(OFFSET($GD$3,0,0,'Données projet'!$E$17+1,1))-AVERAGE(OFFSET($H$3,0,0,'Données projet'!$E$17+1,1))</f>
        <v>#N/A</v>
      </c>
      <c r="GF12" s="57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7" t="e">
        <f t="shared" si="29"/>
        <v>#N/A</v>
      </c>
      <c r="GZ12" s="57" t="e">
        <f ca="1">AVERAGE(OFFSET($GY$3,0,0,'Données projet'!$E$18+1,1))-AVERAGE(OFFSET($H$3,0,0,'Données projet'!$E$18+1,1))</f>
        <v>#N/A</v>
      </c>
      <c r="HA12" s="57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1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5">
        <f t="shared" si="1"/>
        <v>183.33333333333334</v>
      </c>
      <c r="I13" s="6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7">
        <f t="shared" si="0"/>
        <v>210.29320032238616</v>
      </c>
      <c r="S13" s="57">
        <f ca="1">AVERAGE(OFFSET($R$3,0,0,'Données projet'!$E$9+1,1))-AVERAGE(OFFSET($H$3,0,0,'Données projet'!$E$9+1,1))</f>
        <v>539.63700256763173</v>
      </c>
      <c r="T13" s="57">
        <f t="shared" si="34"/>
        <v>297.32483725004136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7.1974687550554899</v>
      </c>
      <c r="AK13" s="13">
        <f t="shared" si="35"/>
        <v>2.6360650660630816</v>
      </c>
      <c r="AL13" s="20">
        <f t="shared" si="4"/>
        <v>17.126738071781514</v>
      </c>
      <c r="AM13" s="57">
        <f t="shared" si="5"/>
        <v>209.06540005682641</v>
      </c>
      <c r="AN13" s="57">
        <f ca="1">AVERAGE(OFFSET($AM$3,0,0,'Données projet'!$E$10+1,1))-AVERAGE(OFFSET($H$3,0,0,'Données projet'!$E$10+1,1))</f>
        <v>508.21188526136734</v>
      </c>
      <c r="AO13" s="57">
        <f t="shared" si="36"/>
        <v>281.06176764290592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5.8826687821090227</v>
      </c>
      <c r="BF13" s="13">
        <f t="shared" si="37"/>
        <v>2.2057079152108381</v>
      </c>
      <c r="BG13" s="20">
        <f t="shared" si="7"/>
        <v>14.087256081165423</v>
      </c>
      <c r="BH13" s="57">
        <f t="shared" si="8"/>
        <v>206.02591806621032</v>
      </c>
      <c r="BI13" s="57">
        <f ca="1">AVERAGE(OFFSET($BH$3,0,0,'Données projet'!$E$11+1,1))-AVERAGE(OFFSET($H$3,0,0,'Données projet'!$E$11+1,1))</f>
        <v>449.50723280509311</v>
      </c>
      <c r="BJ13" s="57">
        <f t="shared" si="38"/>
        <v>281.26353650058275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2.8</v>
      </c>
      <c r="BY13" s="12">
        <f>IF('Données projet'!$A$114&gt;35,BY12+BX13-CG12,IF(A13&lt;'Données projet'!$A$114,$BV$205^A13,IF(A13='Données projet'!$A$114,'Données projet'!$B$114,BY12+BX13-CG12)))</f>
        <v>5.4706535967558398</v>
      </c>
      <c r="BZ13" s="13">
        <f>BY13*VLOOKUP('Données projet'!$B$12,Paramètres!$A$1:$I$89,3,0)*VLOOKUP('Données projet'!$B$12,Paramètres!$A$1:$I$89,5,0)</f>
        <v>5.2058739626728574</v>
      </c>
      <c r="CA13" s="13">
        <f t="shared" si="39"/>
        <v>1.9799118431646106</v>
      </c>
      <c r="CB13" s="20">
        <f t="shared" si="10"/>
        <v>12.51524361183359</v>
      </c>
      <c r="CC13" s="57">
        <f t="shared" si="11"/>
        <v>204.45390559687849</v>
      </c>
      <c r="CD13" s="57">
        <f ca="1">AVERAGE(OFFSET($CC$3,0,0,'Données projet'!$E$12+1,1))-AVERAGE(OFFSET($H$3,0,0,'Données projet'!$E$12+1,1))</f>
        <v>479.4551766174892</v>
      </c>
      <c r="CE13" s="57">
        <f t="shared" si="40"/>
        <v>260.29028006191834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8.526315789473685</v>
      </c>
      <c r="CT13" s="12">
        <f>IF('Données projet'!$A$140&gt;35,CT12+CS13-DB12,IF(A13&lt;'Données projet'!$A$140,$CQ$205^A13,IF(A13='Données projet'!$A$140,'Données projet'!$B$140,CT12+CS13-DB12)))</f>
        <v>14.551328302246779</v>
      </c>
      <c r="CU13" s="17">
        <f>CT13*VLOOKUP('Données projet'!$B$13,Paramètres!$A$1:$I$89,3,0)*VLOOKUP('Données projet'!$B$13,Paramètres!$A$1:$I$89,5,0)</f>
        <v>8.1341925209559491</v>
      </c>
      <c r="CV13" s="13">
        <f t="shared" si="41"/>
        <v>2.9370132807503975</v>
      </c>
      <c r="CW13" s="20">
        <f t="shared" si="13"/>
        <v>19.282350104638549</v>
      </c>
      <c r="CX13" s="57">
        <f t="shared" si="14"/>
        <v>211.22101208968343</v>
      </c>
      <c r="CY13" s="57">
        <f ca="1">AVERAGE(OFFSET($CX$3,0,0,'Données projet'!$E$13+1,1))-AVERAGE(OFFSET($H$3,0,0,'Données projet'!$E$13+1,1))</f>
        <v>459.83870442974046</v>
      </c>
      <c r="CZ13" s="57">
        <f t="shared" si="42"/>
        <v>565.68976940602215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6.6439333333333339</v>
      </c>
      <c r="DO13" s="12">
        <f>IF('Données projet'!$A$166&gt;35,DO12+DN13-DW12,IF(A13&lt;'Données projet'!$A$166,$DL$205^A13,IF(A13='Données projet'!$A$166,'Données projet'!$B$166,DO12+DN13-DW12)))</f>
        <v>21.495341540559462</v>
      </c>
      <c r="DP13" s="17">
        <f>DO13*VLOOKUP('Données projet'!$B$14,Paramètres!$A$1:$I$89,3,0)*VLOOKUP('Données projet'!$B$14,Paramètres!$A$1:$I$89,5,0)</f>
        <v>14.083747777374558</v>
      </c>
      <c r="DQ13" s="13">
        <f t="shared" si="43"/>
        <v>4.7704516737605758</v>
      </c>
      <c r="DR13" s="20">
        <f t="shared" si="16"/>
        <v>32.837730710727023</v>
      </c>
      <c r="DS13" s="57">
        <f t="shared" si="17"/>
        <v>224.7763926957719</v>
      </c>
      <c r="DT13" s="57">
        <f ca="1">AVERAGE(OFFSET($DS$3,0,0,'Données projet'!$E$14+1,1))-AVERAGE(OFFSET($H$3,0,0,'Données projet'!$E$14+1,1))</f>
        <v>315.23504986325418</v>
      </c>
      <c r="DU13" s="57">
        <f t="shared" si="44"/>
        <v>350.52837099886688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2.1523809523809527</v>
      </c>
      <c r="EJ13" s="12">
        <f>IF('Données projet'!$A$192&gt;35,EJ12+EI13-ER12,IF(A13&lt;'Données projet'!$A$192,$EG$205^A13,IF(A13='Données projet'!$A$192,'Données projet'!$B$192,EJ12+EI13-ER12)))</f>
        <v>21.523809523809522</v>
      </c>
      <c r="EK13" s="17">
        <f>EJ13*VLOOKUP('Données projet'!$B$15,Paramètres!$A$1:$I$89,3,0)*VLOOKUP('Données projet'!$B$15,Paramètres!$A$1:$I$89,5,0)</f>
        <v>20.817828571428571</v>
      </c>
      <c r="EL13" s="13">
        <f t="shared" si="45"/>
        <v>6.7378541986447766</v>
      </c>
      <c r="EM13" s="20">
        <f t="shared" si="19"/>
        <v>47.992814157877746</v>
      </c>
      <c r="EN13" s="57">
        <f t="shared" si="20"/>
        <v>239.93147614292263</v>
      </c>
      <c r="EO13" s="57">
        <f ca="1">AVERAGE(OFFSET($EN$3,0,0,'Données projet'!$E$15+1,1))-AVERAGE(OFFSET($H$3,0,0,'Données projet'!$E$15+1,1))</f>
        <v>328.31200866623891</v>
      </c>
      <c r="EP13" s="57">
        <f t="shared" si="46"/>
        <v>195.52650232917446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112.8</v>
      </c>
      <c r="FC13" s="12">
        <f>VLOOKUP(A13,'Données projet'!$A$217:$I$237,9,0)</f>
        <v>21</v>
      </c>
      <c r="FD13" s="12">
        <f t="array" ref="FD13">INDEX(FC:FC,MIN(IF(ISNUMBER(FC13:FC209),ROW(FC13:FC209),"")))</f>
        <v>21</v>
      </c>
      <c r="FE13" s="12">
        <f>IF('Données projet'!$A$218&gt;35,FE12+FD13-FM12,IF(A13&lt;'Données projet'!$A$218,$FB$205^A13,IF(A13='Données projet'!$A$218,'Données projet'!$B$218,FE12+FD13-FM12)))</f>
        <v>112.8</v>
      </c>
      <c r="FF13" s="17">
        <f>FE13*VLOOKUP('Données projet'!$B$16,Paramètres!$A$1:$I$89,3,0)*VLOOKUP('Données projet'!$B$16,Paramètres!$A$1:$I$89,5,0)</f>
        <v>57.36556800000001</v>
      </c>
      <c r="FG13" s="13">
        <f t="shared" si="47"/>
        <v>16.50047140552989</v>
      </c>
      <c r="FH13" s="20">
        <f t="shared" si="22"/>
        <v>128.65001863129791</v>
      </c>
      <c r="FI13" s="57">
        <f t="shared" si="23"/>
        <v>320.5886806163428</v>
      </c>
      <c r="FJ13" s="57">
        <f ca="1">AVERAGE(OFFSET($FI$3,0,0,'Données projet'!$E$16+1,1))-AVERAGE(OFFSET($H$3,0,0,'Données projet'!$E$16+1,1))</f>
        <v>142.88219003619457</v>
      </c>
      <c r="FK13" s="57">
        <f t="shared" si="48"/>
        <v>288.69704547625088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7" t="e">
        <f t="shared" si="26"/>
        <v>#N/A</v>
      </c>
      <c r="GE13" s="57" t="e">
        <f ca="1">AVERAGE(OFFSET($GD$3,0,0,'Données projet'!$E$17+1,1))-AVERAGE(OFFSET($H$3,0,0,'Données projet'!$E$17+1,1))</f>
        <v>#N/A</v>
      </c>
      <c r="GF13" s="57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7" t="e">
        <f t="shared" si="29"/>
        <v>#N/A</v>
      </c>
      <c r="GZ13" s="57" t="e">
        <f ca="1">AVERAGE(OFFSET($GY$3,0,0,'Données projet'!$E$18+1,1))-AVERAGE(OFFSET($H$3,0,0,'Données projet'!$E$18+1,1))</f>
        <v>#N/A</v>
      </c>
      <c r="HA13" s="57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1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5">
        <f t="shared" si="1"/>
        <v>183.33333333333334</v>
      </c>
      <c r="I14" s="6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7">
        <f t="shared" si="0"/>
        <v>217.09257815700823</v>
      </c>
      <c r="S14" s="57">
        <f ca="1">AVERAGE(OFFSET($R$3,0,0,'Données projet'!$E$9+1,1))-AVERAGE(OFFSET($H$3,0,0,'Données projet'!$E$9+1,1))</f>
        <v>539.63700256763173</v>
      </c>
      <c r="T14" s="57">
        <f t="shared" si="34"/>
        <v>297.32483725004136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8.9196113451330703</v>
      </c>
      <c r="AK14" s="13">
        <f t="shared" si="35"/>
        <v>3.186234455512118</v>
      </c>
      <c r="AL14" s="20">
        <f t="shared" si="4"/>
        <v>21.084348102790369</v>
      </c>
      <c r="AM14" s="57">
        <f t="shared" si="5"/>
        <v>215.58014671190449</v>
      </c>
      <c r="AN14" s="57">
        <f ca="1">AVERAGE(OFFSET($AM$3,0,0,'Données projet'!$E$10+1,1))-AVERAGE(OFFSET($H$3,0,0,'Données projet'!$E$10+1,1))</f>
        <v>508.21188526136734</v>
      </c>
      <c r="AO14" s="57">
        <f t="shared" si="36"/>
        <v>281.06176764290592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7.5771738346729904</v>
      </c>
      <c r="BF14" s="13">
        <f t="shared" si="37"/>
        <v>2.7585742106736397</v>
      </c>
      <c r="BG14" s="20">
        <f t="shared" si="7"/>
        <v>18.001427845645381</v>
      </c>
      <c r="BH14" s="57">
        <f t="shared" si="8"/>
        <v>212.49722645475953</v>
      </c>
      <c r="BI14" s="57">
        <f ca="1">AVERAGE(OFFSET($BH$3,0,0,'Données projet'!$E$11+1,1))-AVERAGE(OFFSET($H$3,0,0,'Données projet'!$E$11+1,1))</f>
        <v>449.50723280509311</v>
      </c>
      <c r="BJ14" s="57">
        <f t="shared" si="38"/>
        <v>281.26353650058275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2.8</v>
      </c>
      <c r="BY14" s="12">
        <f>IF('Données projet'!$A$114&gt;35,BY13+BX14-CG13,IF(A14&lt;'Données projet'!$A$114,$BV$205^A14,IF(A14='Données projet'!$A$114,'Données projet'!$B$114,BY13+BX14-CG13)))</f>
        <v>6.4840019622421199</v>
      </c>
      <c r="BZ14" s="13">
        <f>BY14*VLOOKUP('Données projet'!$B$12,Paramètres!$A$1:$I$89,3,0)*VLOOKUP('Données projet'!$B$12,Paramètres!$A$1:$I$89,5,0)</f>
        <v>6.1701762672696008</v>
      </c>
      <c r="CA14" s="13">
        <f t="shared" si="39"/>
        <v>2.3006947347142055</v>
      </c>
      <c r="CB14" s="20">
        <f t="shared" si="10"/>
        <v>14.753433661788458</v>
      </c>
      <c r="CC14" s="57">
        <f t="shared" si="11"/>
        <v>209.24923227090258</v>
      </c>
      <c r="CD14" s="57">
        <f ca="1">AVERAGE(OFFSET($CC$3,0,0,'Données projet'!$E$12+1,1))-AVERAGE(OFFSET($H$3,0,0,'Données projet'!$E$12+1,1))</f>
        <v>479.4551766174892</v>
      </c>
      <c r="CE14" s="57">
        <f t="shared" si="40"/>
        <v>260.29028006191834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8.526315789473685</v>
      </c>
      <c r="CT14" s="12">
        <f>IF('Données projet'!$A$140&gt;35,CT13+CS14-DB13,IF(A14&lt;'Données projet'!$A$140,$CQ$205^A14,IF(A14='Données projet'!$A$140,'Données projet'!$B$140,CT13+CS14-DB13)))</f>
        <v>19.01922880701866</v>
      </c>
      <c r="CU14" s="17">
        <f>CT14*VLOOKUP('Données projet'!$B$13,Paramètres!$A$1:$I$89,3,0)*VLOOKUP('Données projet'!$B$13,Paramètres!$A$1:$I$89,5,0)</f>
        <v>10.631748903123432</v>
      </c>
      <c r="CV14" s="13">
        <f t="shared" si="41"/>
        <v>3.7210027205323613</v>
      </c>
      <c r="CW14" s="20">
        <f t="shared" si="13"/>
        <v>24.997709077867171</v>
      </c>
      <c r="CX14" s="57">
        <f t="shared" si="14"/>
        <v>219.4935076869813</v>
      </c>
      <c r="CY14" s="57">
        <f ca="1">AVERAGE(OFFSET($CX$3,0,0,'Données projet'!$E$13+1,1))-AVERAGE(OFFSET($H$3,0,0,'Données projet'!$E$13+1,1))</f>
        <v>459.83870442974046</v>
      </c>
      <c r="CZ14" s="57">
        <f t="shared" si="42"/>
        <v>565.68976940602215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6.6439333333333339</v>
      </c>
      <c r="DO14" s="12">
        <f>IF('Données projet'!$A$166&gt;35,DO13+DN14-DW13,IF(A14&lt;'Données projet'!$A$166,$DL$205^A14,IF(A14='Données projet'!$A$166,'Données projet'!$B$166,DO13+DN14-DW13)))</f>
        <v>29.213176662001757</v>
      </c>
      <c r="DP14" s="17">
        <f>DO14*VLOOKUP('Données projet'!$B$14,Paramètres!$A$1:$I$89,3,0)*VLOOKUP('Données projet'!$B$14,Paramètres!$A$1:$I$89,5,0)</f>
        <v>19.140473348943551</v>
      </c>
      <c r="DQ14" s="13">
        <f t="shared" si="43"/>
        <v>6.25583733222199</v>
      </c>
      <c r="DR14" s="20">
        <f t="shared" si="16"/>
        <v>44.231907769696647</v>
      </c>
      <c r="DS14" s="57">
        <f t="shared" si="17"/>
        <v>238.72770637881078</v>
      </c>
      <c r="DT14" s="57">
        <f ca="1">AVERAGE(OFFSET($DS$3,0,0,'Données projet'!$E$14+1,1))-AVERAGE(OFFSET($H$3,0,0,'Données projet'!$E$14+1,1))</f>
        <v>315.23504986325418</v>
      </c>
      <c r="DU14" s="57">
        <f t="shared" si="44"/>
        <v>350.52837099886688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2.1523809523809527</v>
      </c>
      <c r="EJ14" s="12">
        <f>IF('Données projet'!$A$192&gt;35,EJ13+EI14-ER13,IF(A14&lt;'Données projet'!$A$192,$EG$205^A14,IF(A14='Données projet'!$A$192,'Données projet'!$B$192,EJ13+EI14-ER13)))</f>
        <v>23.676190476190474</v>
      </c>
      <c r="EK14" s="17">
        <f>EJ14*VLOOKUP('Données projet'!$B$15,Paramètres!$A$1:$I$89,3,0)*VLOOKUP('Données projet'!$B$15,Paramètres!$A$1:$I$89,5,0)</f>
        <v>22.899611428571429</v>
      </c>
      <c r="EL14" s="13">
        <f t="shared" si="45"/>
        <v>7.3298685380486246</v>
      </c>
      <c r="EM14" s="20">
        <f t="shared" si="19"/>
        <v>52.649677608529935</v>
      </c>
      <c r="EN14" s="57">
        <f t="shared" si="20"/>
        <v>247.14547621764407</v>
      </c>
      <c r="EO14" s="57">
        <f ca="1">AVERAGE(OFFSET($EN$3,0,0,'Données projet'!$E$15+1,1))-AVERAGE(OFFSET($H$3,0,0,'Données projet'!$E$15+1,1))</f>
        <v>328.31200866623891</v>
      </c>
      <c r="EP14" s="57">
        <f t="shared" si="46"/>
        <v>195.52650232917446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>
        <f>VLOOKUP(A14,'Données projet'!$A$217:$I$237,2,0)</f>
        <v>135</v>
      </c>
      <c r="FC14" s="12">
        <f>VLOOKUP(A14,'Données projet'!$A$217:$I$237,9,0)</f>
        <v>22.200000000000003</v>
      </c>
      <c r="FD14" s="12">
        <f t="array" ref="FD14">INDEX(FC:FC,MIN(IF(ISNUMBER(FC14:FC210),ROW(FC14:FC210),"")))</f>
        <v>22.200000000000003</v>
      </c>
      <c r="FE14" s="12">
        <f>IF('Données projet'!$A$218&gt;35,FE13+FD14-FM13,IF(A14&lt;'Données projet'!$A$218,$FB$205^A14,IF(A14='Données projet'!$A$218,'Données projet'!$B$218,FE13+FD14-FM13)))</f>
        <v>135</v>
      </c>
      <c r="FF14" s="17">
        <f>FE14*VLOOKUP('Données projet'!$B$16,Paramètres!$A$1:$I$89,3,0)*VLOOKUP('Données projet'!$B$16,Paramètres!$A$1:$I$89,5,0)</f>
        <v>68.655600000000007</v>
      </c>
      <c r="FG14" s="13">
        <f t="shared" si="47"/>
        <v>19.339219792497016</v>
      </c>
      <c r="FH14" s="20">
        <f t="shared" si="22"/>
        <v>153.25764447193231</v>
      </c>
      <c r="FI14" s="57">
        <f t="shared" si="23"/>
        <v>347.75344308104644</v>
      </c>
      <c r="FJ14" s="57">
        <f ca="1">AVERAGE(OFFSET($FI$3,0,0,'Données projet'!$E$16+1,1))-AVERAGE(OFFSET($H$3,0,0,'Données projet'!$E$16+1,1))</f>
        <v>142.88219003619457</v>
      </c>
      <c r="FK14" s="57">
        <f t="shared" si="48"/>
        <v>288.69704547625088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7" t="e">
        <f t="shared" si="26"/>
        <v>#N/A</v>
      </c>
      <c r="GE14" s="57" t="e">
        <f ca="1">AVERAGE(OFFSET($GD$3,0,0,'Données projet'!$E$17+1,1))-AVERAGE(OFFSET($H$3,0,0,'Données projet'!$E$17+1,1))</f>
        <v>#N/A</v>
      </c>
      <c r="GF14" s="57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7" t="e">
        <f t="shared" si="29"/>
        <v>#N/A</v>
      </c>
      <c r="GZ14" s="57" t="e">
        <f ca="1">AVERAGE(OFFSET($GY$3,0,0,'Données projet'!$E$18+1,1))-AVERAGE(OFFSET($H$3,0,0,'Données projet'!$E$18+1,1))</f>
        <v>#N/A</v>
      </c>
      <c r="HA14" s="57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1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5">
        <f t="shared" si="1"/>
        <v>183.33333333333334</v>
      </c>
      <c r="I15" s="6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7">
        <f t="shared" si="0"/>
        <v>224.85264818290764</v>
      </c>
      <c r="S15" s="57">
        <f ca="1">AVERAGE(OFFSET($R$3,0,0,'Données projet'!$E$9+1,1))-AVERAGE(OFFSET($H$3,0,0,'Données projet'!$E$9+1,1))</f>
        <v>539.63700256763173</v>
      </c>
      <c r="T15" s="57">
        <f t="shared" si="34"/>
        <v>297.32483725004136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11.053812007498347</v>
      </c>
      <c r="AK15" s="13">
        <f t="shared" si="35"/>
        <v>3.8512289154738402</v>
      </c>
      <c r="AL15" s="20">
        <f t="shared" si="4"/>
        <v>25.959612940843225</v>
      </c>
      <c r="AM15" s="57">
        <f t="shared" si="5"/>
        <v>222.98939039357609</v>
      </c>
      <c r="AN15" s="57">
        <f ca="1">AVERAGE(OFFSET($AM$3,0,0,'Données projet'!$E$10+1,1))-AVERAGE(OFFSET($H$3,0,0,'Données projet'!$E$10+1,1))</f>
        <v>508.21188526136734</v>
      </c>
      <c r="AO15" s="57">
        <f t="shared" si="36"/>
        <v>281.06176764290592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9.7597817329891239</v>
      </c>
      <c r="BF15" s="13">
        <f t="shared" si="37"/>
        <v>3.4500178483814818</v>
      </c>
      <c r="BG15" s="20">
        <f t="shared" si="7"/>
        <v>23.00706760422047</v>
      </c>
      <c r="BH15" s="57">
        <f t="shared" si="8"/>
        <v>220.03684505695335</v>
      </c>
      <c r="BI15" s="57">
        <f ca="1">AVERAGE(OFFSET($BH$3,0,0,'Données projet'!$E$11+1,1))-AVERAGE(OFFSET($H$3,0,0,'Données projet'!$E$11+1,1))</f>
        <v>449.50723280509311</v>
      </c>
      <c r="BJ15" s="57">
        <f t="shared" si="38"/>
        <v>281.26353650058275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2.8</v>
      </c>
      <c r="BY15" s="12">
        <f>IF('Données projet'!$A$114&gt;35,BY14+BX15-CG14,IF(A15&lt;'Données projet'!$A$114,$BV$205^A15,IF(A15='Données projet'!$A$114,'Données projet'!$B$114,BY14+BX15-CG14)))</f>
        <v>7.685056401906202</v>
      </c>
      <c r="BZ15" s="13">
        <f>BY15*VLOOKUP('Données projet'!$B$12,Paramètres!$A$1:$I$89,3,0)*VLOOKUP('Données projet'!$B$12,Paramètres!$A$1:$I$89,5,0)</f>
        <v>7.3130996720539416</v>
      </c>
      <c r="CA15" s="13">
        <f t="shared" si="39"/>
        <v>2.6734504774117824</v>
      </c>
      <c r="CB15" s="20">
        <f t="shared" si="10"/>
        <v>17.393241510319466</v>
      </c>
      <c r="CC15" s="57">
        <f t="shared" si="11"/>
        <v>214.42301896305233</v>
      </c>
      <c r="CD15" s="57">
        <f ca="1">AVERAGE(OFFSET($CC$3,0,0,'Données projet'!$E$12+1,1))-AVERAGE(OFFSET($H$3,0,0,'Données projet'!$E$12+1,1))</f>
        <v>479.4551766174892</v>
      </c>
      <c r="CE15" s="57">
        <f t="shared" si="40"/>
        <v>260.29028006191834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8.526315789473685</v>
      </c>
      <c r="CT15" s="12">
        <f>IF('Données projet'!$A$140&gt;35,CT14+CS15-DB14,IF(A15&lt;'Données projet'!$A$140,$CQ$205^A15,IF(A15='Données projet'!$A$140,'Données projet'!$B$140,CT14+CS15-DB14)))</f>
        <v>24.85897210895007</v>
      </c>
      <c r="CU15" s="17">
        <f>CT15*VLOOKUP('Données projet'!$B$13,Paramètres!$A$1:$I$89,3,0)*VLOOKUP('Données projet'!$B$13,Paramètres!$A$1:$I$89,5,0)</f>
        <v>13.896165408903089</v>
      </c>
      <c r="CV15" s="13">
        <f t="shared" si="41"/>
        <v>4.7142657940830492</v>
      </c>
      <c r="CW15" s="20">
        <f t="shared" si="13"/>
        <v>32.413167678534187</v>
      </c>
      <c r="CX15" s="57">
        <f t="shared" si="14"/>
        <v>229.44294513126707</v>
      </c>
      <c r="CY15" s="57">
        <f ca="1">AVERAGE(OFFSET($CX$3,0,0,'Données projet'!$E$13+1,1))-AVERAGE(OFFSET($H$3,0,0,'Données projet'!$E$13+1,1))</f>
        <v>459.83870442974046</v>
      </c>
      <c r="CZ15" s="57">
        <f t="shared" si="42"/>
        <v>565.68976940602215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6.6439333333333339</v>
      </c>
      <c r="DO15" s="12">
        <f>IF('Données projet'!$A$166&gt;35,DO14+DN15-DW14,IF(A15&lt;'Données projet'!$A$166,$DL$205^A15,IF(A15='Données projet'!$A$166,'Données projet'!$B$166,DO14+DN15-DW14)))</f>
        <v>39.702076334773707</v>
      </c>
      <c r="DP15" s="17">
        <f>DO15*VLOOKUP('Données projet'!$B$14,Paramètres!$A$1:$I$89,3,0)*VLOOKUP('Données projet'!$B$14,Paramètres!$A$1:$I$89,5,0)</f>
        <v>26.012800414543737</v>
      </c>
      <c r="DQ15" s="13">
        <f t="shared" si="43"/>
        <v>8.2037306744943059</v>
      </c>
      <c r="DR15" s="20">
        <f t="shared" si="16"/>
        <v>59.593791646741245</v>
      </c>
      <c r="DS15" s="57">
        <f t="shared" si="17"/>
        <v>256.62356909947414</v>
      </c>
      <c r="DT15" s="57">
        <f ca="1">AVERAGE(OFFSET($DS$3,0,0,'Données projet'!$E$14+1,1))-AVERAGE(OFFSET($H$3,0,0,'Données projet'!$E$14+1,1))</f>
        <v>315.23504986325418</v>
      </c>
      <c r="DU15" s="57">
        <f t="shared" si="44"/>
        <v>350.52837099886688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2.1523809523809527</v>
      </c>
      <c r="EJ15" s="12">
        <f>IF('Données projet'!$A$192&gt;35,EJ14+EI15-ER14,IF(A15&lt;'Données projet'!$A$192,$EG$205^A15,IF(A15='Données projet'!$A$192,'Données projet'!$B$192,EJ14+EI15-ER14)))</f>
        <v>25.828571428571426</v>
      </c>
      <c r="EK15" s="17">
        <f>EJ15*VLOOKUP('Données projet'!$B$15,Paramètres!$A$1:$I$89,3,0)*VLOOKUP('Données projet'!$B$15,Paramètres!$A$1:$I$89,5,0)</f>
        <v>24.981394285714281</v>
      </c>
      <c r="EL15" s="13">
        <f t="shared" si="45"/>
        <v>7.9156422517748588</v>
      </c>
      <c r="EM15" s="20">
        <f t="shared" si="19"/>
        <v>57.295671969460251</v>
      </c>
      <c r="EN15" s="57">
        <f t="shared" si="20"/>
        <v>254.32544942219312</v>
      </c>
      <c r="EO15" s="57">
        <f ca="1">AVERAGE(OFFSET($EN$3,0,0,'Données projet'!$E$15+1,1))-AVERAGE(OFFSET($H$3,0,0,'Données projet'!$E$15+1,1))</f>
        <v>328.31200866623891</v>
      </c>
      <c r="EP15" s="57">
        <f t="shared" si="46"/>
        <v>195.52650232917446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>
        <f>VLOOKUP(A15,'Données projet'!$A$217:$I$237,2,0)</f>
        <v>157.80000000000001</v>
      </c>
      <c r="FC15" s="12">
        <f>VLOOKUP(A15,'Données projet'!$A$217:$I$237,9,0)</f>
        <v>22.800000000000011</v>
      </c>
      <c r="FD15" s="12">
        <f t="array" ref="FD15">INDEX(FC:FC,MIN(IF(ISNUMBER(FC15:FC211),ROW(FC15:FC211),"")))</f>
        <v>22.800000000000011</v>
      </c>
      <c r="FE15" s="12">
        <f>IF('Données projet'!$A$218&gt;35,FE14+FD15-FM14,IF(A15&lt;'Données projet'!$A$218,$FB$205^A15,IF(A15='Données projet'!$A$218,'Données projet'!$B$218,FE14+FD15-FM14)))</f>
        <v>157.80000000000001</v>
      </c>
      <c r="FF15" s="17">
        <f>FE15*VLOOKUP('Données projet'!$B$16,Paramètres!$A$1:$I$89,3,0)*VLOOKUP('Données projet'!$B$16,Paramètres!$A$1:$I$89,5,0)</f>
        <v>80.250768000000008</v>
      </c>
      <c r="FG15" s="13">
        <f t="shared" si="47"/>
        <v>22.198487035600046</v>
      </c>
      <c r="FH15" s="20">
        <f t="shared" si="22"/>
        <v>178.4324525203368</v>
      </c>
      <c r="FI15" s="57">
        <f t="shared" si="23"/>
        <v>375.46222997306967</v>
      </c>
      <c r="FJ15" s="57">
        <f ca="1">AVERAGE(OFFSET($FI$3,0,0,'Données projet'!$E$16+1,1))-AVERAGE(OFFSET($H$3,0,0,'Données projet'!$E$16+1,1))</f>
        <v>142.88219003619457</v>
      </c>
      <c r="FK15" s="57">
        <f t="shared" si="48"/>
        <v>288.69704547625088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7" t="e">
        <f t="shared" si="26"/>
        <v>#N/A</v>
      </c>
      <c r="GE15" s="57" t="e">
        <f ca="1">AVERAGE(OFFSET($GD$3,0,0,'Données projet'!$E$17+1,1))-AVERAGE(OFFSET($H$3,0,0,'Données projet'!$E$17+1,1))</f>
        <v>#N/A</v>
      </c>
      <c r="GF15" s="57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7" t="e">
        <f t="shared" si="29"/>
        <v>#N/A</v>
      </c>
      <c r="GZ15" s="57" t="e">
        <f ca="1">AVERAGE(OFFSET($GY$3,0,0,'Données projet'!$E$18+1,1))-AVERAGE(OFFSET($H$3,0,0,'Données projet'!$E$18+1,1))</f>
        <v>#N/A</v>
      </c>
      <c r="HA15" s="57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1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5">
        <f t="shared" si="1"/>
        <v>183.33333333333334</v>
      </c>
      <c r="I16" s="6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7">
        <f t="shared" si="0"/>
        <v>233.80270813005566</v>
      </c>
      <c r="S16" s="57">
        <f ca="1">AVERAGE(OFFSET($R$3,0,0,'Données projet'!$E$9+1,1))-AVERAGE(OFFSET($H$3,0,0,'Données projet'!$E$9+1,1))</f>
        <v>539.63700256763173</v>
      </c>
      <c r="T16" s="57">
        <f t="shared" si="34"/>
        <v>297.32483725004136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13.698664119909786</v>
      </c>
      <c r="AK16" s="13">
        <f t="shared" si="35"/>
        <v>4.6550134230463893</v>
      </c>
      <c r="AL16" s="20">
        <f t="shared" si="4"/>
        <v>31.965988387315338</v>
      </c>
      <c r="AM16" s="57">
        <f t="shared" si="5"/>
        <v>231.50698863893416</v>
      </c>
      <c r="AN16" s="57">
        <f ca="1">AVERAGE(OFFSET($AM$3,0,0,'Données projet'!$E$10+1,1))-AVERAGE(OFFSET($H$3,0,0,'Données projet'!$E$10+1,1))</f>
        <v>508.21188526136734</v>
      </c>
      <c r="AO16" s="57">
        <f t="shared" si="36"/>
        <v>281.06176764290592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12.571090693433858</v>
      </c>
      <c r="BF16" s="13">
        <f t="shared" si="37"/>
        <v>4.3147735914069099</v>
      </c>
      <c r="BG16" s="20">
        <f t="shared" si="7"/>
        <v>29.409546962764335</v>
      </c>
      <c r="BH16" s="57">
        <f t="shared" si="8"/>
        <v>228.95054721438314</v>
      </c>
      <c r="BI16" s="57">
        <f ca="1">AVERAGE(OFFSET($BH$3,0,0,'Données projet'!$E$11+1,1))-AVERAGE(OFFSET($H$3,0,0,'Données projet'!$E$11+1,1))</f>
        <v>449.50723280509311</v>
      </c>
      <c r="BJ16" s="57">
        <f t="shared" si="38"/>
        <v>281.26353650058275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2.8</v>
      </c>
      <c r="BY16" s="12">
        <f>IF('Données projet'!$A$114&gt;35,BY15+BX16-CG15,IF(A16&lt;'Données projet'!$A$114,$BV$205^A16,IF(A16='Données projet'!$A$114,'Données projet'!$B$114,BY15+BX16-CG15)))</f>
        <v>9.1085863706396779</v>
      </c>
      <c r="BZ16" s="13">
        <f>BY16*VLOOKUP('Données projet'!$B$12,Paramètres!$A$1:$I$89,3,0)*VLOOKUP('Données projet'!$B$12,Paramètres!$A$1:$I$89,5,0)</f>
        <v>8.6677307903007179</v>
      </c>
      <c r="CA16" s="13">
        <f t="shared" si="39"/>
        <v>3.1065996489365348</v>
      </c>
      <c r="CB16" s="20">
        <f t="shared" si="10"/>
        <v>20.506958848338215</v>
      </c>
      <c r="CC16" s="57">
        <f t="shared" si="11"/>
        <v>220.04795909995704</v>
      </c>
      <c r="CD16" s="57">
        <f ca="1">AVERAGE(OFFSET($CC$3,0,0,'Données projet'!$E$12+1,1))-AVERAGE(OFFSET($H$3,0,0,'Données projet'!$E$12+1,1))</f>
        <v>479.4551766174892</v>
      </c>
      <c r="CE16" s="57">
        <f t="shared" si="40"/>
        <v>260.29028006191834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8.526315789473685</v>
      </c>
      <c r="CT16" s="12">
        <f>IF('Données projet'!$A$140&gt;35,CT15+CS16-DB15,IF(A16&lt;'Données projet'!$A$140,$CQ$205^A16,IF(A16='Données projet'!$A$140,'Données projet'!$B$140,CT15+CS16-DB15)))</f>
        <v>32.491774539539094</v>
      </c>
      <c r="CU16" s="17">
        <f>CT16*VLOOKUP('Données projet'!$B$13,Paramètres!$A$1:$I$89,3,0)*VLOOKUP('Données projet'!$B$13,Paramètres!$A$1:$I$89,5,0)</f>
        <v>18.162901967602355</v>
      </c>
      <c r="CV16" s="13">
        <f t="shared" si="41"/>
        <v>5.9726648020514927</v>
      </c>
      <c r="CW16" s="20">
        <f t="shared" si="13"/>
        <v>42.036112123813787</v>
      </c>
      <c r="CX16" s="57">
        <f t="shared" si="14"/>
        <v>241.57711237543259</v>
      </c>
      <c r="CY16" s="57">
        <f ca="1">AVERAGE(OFFSET($CX$3,0,0,'Données projet'!$E$13+1,1))-AVERAGE(OFFSET($H$3,0,0,'Données projet'!$E$13+1,1))</f>
        <v>459.83870442974046</v>
      </c>
      <c r="CZ16" s="57">
        <f t="shared" si="42"/>
        <v>565.68976940602215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6.6439333333333339</v>
      </c>
      <c r="DO16" s="12">
        <f>IF('Données projet'!$A$166&gt;35,DO15+DN16-DW15,IF(A16&lt;'Données projet'!$A$166,$DL$205^A16,IF(A16='Données projet'!$A$166,'Données projet'!$B$166,DO15+DN16-DW15)))</f>
        <v>53.956982615398658</v>
      </c>
      <c r="DP16" s="17">
        <f>DO16*VLOOKUP('Données projet'!$B$14,Paramètres!$A$1:$I$89,3,0)*VLOOKUP('Données projet'!$B$14,Paramètres!$A$1:$I$89,5,0)</f>
        <v>35.352615009609202</v>
      </c>
      <c r="DQ16" s="13">
        <f t="shared" si="43"/>
        <v>10.758143699323831</v>
      </c>
      <c r="DR16" s="20">
        <f t="shared" si="16"/>
        <v>80.309571418058368</v>
      </c>
      <c r="DS16" s="57">
        <f t="shared" si="17"/>
        <v>279.85057166967715</v>
      </c>
      <c r="DT16" s="57">
        <f ca="1">AVERAGE(OFFSET($DS$3,0,0,'Données projet'!$E$14+1,1))-AVERAGE(OFFSET($H$3,0,0,'Données projet'!$E$14+1,1))</f>
        <v>315.23504986325418</v>
      </c>
      <c r="DU16" s="57">
        <f t="shared" si="44"/>
        <v>350.52837099886688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2.1523809523809527</v>
      </c>
      <c r="EJ16" s="12">
        <f>IF('Données projet'!$A$192&gt;35,EJ15+EI16-ER15,IF(A16&lt;'Données projet'!$A$192,$EG$205^A16,IF(A16='Données projet'!$A$192,'Données projet'!$B$192,EJ15+EI16-ER15)))</f>
        <v>27.980952380952377</v>
      </c>
      <c r="EK16" s="17">
        <f>EJ16*VLOOKUP('Données projet'!$B$15,Paramètres!$A$1:$I$89,3,0)*VLOOKUP('Données projet'!$B$15,Paramètres!$A$1:$I$89,5,0)</f>
        <v>27.063177142857143</v>
      </c>
      <c r="EL16" s="13">
        <f t="shared" si="45"/>
        <v>8.4957545172731042</v>
      </c>
      <c r="EM16" s="20">
        <f t="shared" si="19"/>
        <v>61.931805974726849</v>
      </c>
      <c r="EN16" s="57">
        <f t="shared" si="20"/>
        <v>261.47280622634565</v>
      </c>
      <c r="EO16" s="57">
        <f ca="1">AVERAGE(OFFSET($EN$3,0,0,'Données projet'!$E$15+1,1))-AVERAGE(OFFSET($H$3,0,0,'Données projet'!$E$15+1,1))</f>
        <v>328.31200866623891</v>
      </c>
      <c r="EP16" s="57">
        <f t="shared" si="46"/>
        <v>195.52650232917446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>
        <f>VLOOKUP(A16,'Données projet'!$A$217:$I$237,2,0)</f>
        <v>180.9</v>
      </c>
      <c r="FC16" s="12">
        <f>VLOOKUP(A16,'Données projet'!$A$217:$I$237,9,0)</f>
        <v>23.099999999999994</v>
      </c>
      <c r="FD16" s="12">
        <f t="array" ref="FD16">INDEX(FC:FC,MIN(IF(ISNUMBER(FC16:FC212),ROW(FC16:FC212),"")))</f>
        <v>23.099999999999994</v>
      </c>
      <c r="FE16" s="12">
        <f>IF('Données projet'!$A$218&gt;35,FE15+FD16-FM15,IF(A16&lt;'Données projet'!$A$218,$FB$205^A16,IF(A16='Données projet'!$A$218,'Données projet'!$B$218,FE15+FD16-FM15)))</f>
        <v>180.9</v>
      </c>
      <c r="FF16" s="17">
        <f>FE16*VLOOKUP('Données projet'!$B$16,Paramètres!$A$1:$I$89,3,0)*VLOOKUP('Données projet'!$B$16,Paramètres!$A$1:$I$89,5,0)</f>
        <v>91.998504000000011</v>
      </c>
      <c r="FG16" s="13">
        <f t="shared" si="47"/>
        <v>25.046598213760628</v>
      </c>
      <c r="FH16" s="20">
        <f t="shared" si="22"/>
        <v>203.85355302229979</v>
      </c>
      <c r="FI16" s="57">
        <f t="shared" si="23"/>
        <v>403.39455327391863</v>
      </c>
      <c r="FJ16" s="57">
        <f ca="1">AVERAGE(OFFSET($FI$3,0,0,'Données projet'!$E$16+1,1))-AVERAGE(OFFSET($H$3,0,0,'Données projet'!$E$16+1,1))</f>
        <v>142.88219003619457</v>
      </c>
      <c r="FK16" s="57">
        <f t="shared" si="48"/>
        <v>288.69704547625088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7" t="e">
        <f t="shared" si="26"/>
        <v>#N/A</v>
      </c>
      <c r="GE16" s="57" t="e">
        <f ca="1">AVERAGE(OFFSET($GD$3,0,0,'Données projet'!$E$17+1,1))-AVERAGE(OFFSET($H$3,0,0,'Données projet'!$E$17+1,1))</f>
        <v>#N/A</v>
      </c>
      <c r="GF16" s="57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7" t="e">
        <f t="shared" si="29"/>
        <v>#N/A</v>
      </c>
      <c r="GZ16" s="57" t="e">
        <f ca="1">AVERAGE(OFFSET($GY$3,0,0,'Données projet'!$E$18+1,1))-AVERAGE(OFFSET($H$3,0,0,'Données projet'!$E$18+1,1))</f>
        <v>#N/A</v>
      </c>
      <c r="HA16" s="57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1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5">
        <f t="shared" si="1"/>
        <v>183.33333333333334</v>
      </c>
      <c r="I17" s="6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7">
        <f t="shared" si="0"/>
        <v>244.22545806894149</v>
      </c>
      <c r="S17" s="57">
        <f ca="1">AVERAGE(OFFSET($R$3,0,0,'Données projet'!$E$9+1,1))-AVERAGE(OFFSET($H$3,0,0,'Données projet'!$E$9+1,1))</f>
        <v>539.63700256763173</v>
      </c>
      <c r="T17" s="57">
        <f t="shared" si="34"/>
        <v>297.32483725004136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16.976351555717539</v>
      </c>
      <c r="AK17" s="13">
        <f t="shared" si="35"/>
        <v>5.6265546516016363</v>
      </c>
      <c r="AL17" s="20">
        <f t="shared" si="4"/>
        <v>39.366728311080898</v>
      </c>
      <c r="AM17" s="57">
        <f t="shared" si="5"/>
        <v>241.39659008335408</v>
      </c>
      <c r="AN17" s="57">
        <f ca="1">AVERAGE(OFFSET($AM$3,0,0,'Données projet'!$E$10+1,1))-AVERAGE(OFFSET($H$3,0,0,'Données projet'!$E$10+1,1))</f>
        <v>508.21188526136734</v>
      </c>
      <c r="AO17" s="57">
        <f t="shared" si="36"/>
        <v>281.06176764290592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16.192198303817896</v>
      </c>
      <c r="BF17" s="13">
        <f t="shared" si="37"/>
        <v>5.3962825594761723</v>
      </c>
      <c r="BG17" s="20">
        <f t="shared" si="7"/>
        <v>37.599937503570509</v>
      </c>
      <c r="BH17" s="57">
        <f t="shared" si="8"/>
        <v>239.62979927584371</v>
      </c>
      <c r="BI17" s="57">
        <f ca="1">AVERAGE(OFFSET($BH$3,0,0,'Données projet'!$E$11+1,1))-AVERAGE(OFFSET($H$3,0,0,'Données projet'!$E$11+1,1))</f>
        <v>449.50723280509311</v>
      </c>
      <c r="BJ17" s="57">
        <f t="shared" si="38"/>
        <v>281.26353650058275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2.8</v>
      </c>
      <c r="BY17" s="12">
        <f>IF('Données projet'!$A$114&gt;35,BY16+BX17-CG16,IF(A17&lt;'Données projet'!$A$114,$BV$205^A17,IF(A17='Données projet'!$A$114,'Données projet'!$B$114,BY16+BX17-CG16)))</f>
        <v>10.795801791490293</v>
      </c>
      <c r="BZ17" s="13">
        <f>BY17*VLOOKUP('Données projet'!$B$12,Paramètres!$A$1:$I$89,3,0)*VLOOKUP('Données projet'!$B$12,Paramètres!$A$1:$I$89,5,0)</f>
        <v>10.273284984782164</v>
      </c>
      <c r="CA17" s="13">
        <f t="shared" si="39"/>
        <v>3.6099271186485127</v>
      </c>
      <c r="CB17" s="20">
        <f t="shared" si="10"/>
        <v>24.179927746808428</v>
      </c>
      <c r="CC17" s="57">
        <f t="shared" si="11"/>
        <v>226.20978951908162</v>
      </c>
      <c r="CD17" s="57">
        <f ca="1">AVERAGE(OFFSET($CC$3,0,0,'Données projet'!$E$12+1,1))-AVERAGE(OFFSET($H$3,0,0,'Données projet'!$E$12+1,1))</f>
        <v>479.4551766174892</v>
      </c>
      <c r="CE17" s="57">
        <f t="shared" si="40"/>
        <v>260.29028006191834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8.526315789473685</v>
      </c>
      <c r="CT17" s="12">
        <f>IF('Données projet'!$A$140&gt;35,CT16+CS17-DB16,IF(A17&lt;'Données projet'!$A$140,$CQ$205^A17,IF(A17='Données projet'!$A$140,'Données projet'!$B$140,CT16+CS17-DB16)))</f>
        <v>42.468184448710481</v>
      </c>
      <c r="CU17" s="17">
        <f>CT17*VLOOKUP('Données projet'!$B$13,Paramètres!$A$1:$I$89,3,0)*VLOOKUP('Données projet'!$B$13,Paramètres!$A$1:$I$89,5,0)</f>
        <v>23.739715106829159</v>
      </c>
      <c r="CV17" s="13">
        <f t="shared" si="41"/>
        <v>7.5669736064602473</v>
      </c>
      <c r="CW17" s="20">
        <f t="shared" si="13"/>
        <v>54.525816175645708</v>
      </c>
      <c r="CX17" s="57">
        <f t="shared" si="14"/>
        <v>256.55567794791892</v>
      </c>
      <c r="CY17" s="57">
        <f ca="1">AVERAGE(OFFSET($CX$3,0,0,'Données projet'!$E$13+1,1))-AVERAGE(OFFSET($H$3,0,0,'Données projet'!$E$13+1,1))</f>
        <v>459.83870442974046</v>
      </c>
      <c r="CZ17" s="57">
        <f t="shared" si="42"/>
        <v>565.68976940602215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6.6439333333333339</v>
      </c>
      <c r="DO17" s="12">
        <f>IF('Données projet'!$A$166&gt;35,DO16+DN17-DW16,IF(A17&lt;'Données projet'!$A$166,$DL$205^A17,IF(A17='Données projet'!$A$166,'Données projet'!$B$166,DO16+DN17-DW16)))</f>
        <v>73.330068392631517</v>
      </c>
      <c r="DP17" s="17">
        <f>DO17*VLOOKUP('Données projet'!$B$14,Paramètres!$A$1:$I$89,3,0)*VLOOKUP('Données projet'!$B$14,Paramètres!$A$1:$I$89,5,0)</f>
        <v>48.045860810852169</v>
      </c>
      <c r="DQ17" s="13">
        <f t="shared" si="43"/>
        <v>14.107929727036698</v>
      </c>
      <c r="DR17" s="20">
        <f t="shared" si="16"/>
        <v>108.25118518682309</v>
      </c>
      <c r="DS17" s="57">
        <f t="shared" si="17"/>
        <v>310.28104695909627</v>
      </c>
      <c r="DT17" s="57">
        <f ca="1">AVERAGE(OFFSET($DS$3,0,0,'Données projet'!$E$14+1,1))-AVERAGE(OFFSET($H$3,0,0,'Données projet'!$E$14+1,1))</f>
        <v>315.23504986325418</v>
      </c>
      <c r="DU17" s="57">
        <f t="shared" si="44"/>
        <v>350.52837099886688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2.1523809523809527</v>
      </c>
      <c r="EJ17" s="12">
        <f>IF('Données projet'!$A$192&gt;35,EJ16+EI17-ER16,IF(A17&lt;'Données projet'!$A$192,$EG$205^A17,IF(A17='Données projet'!$A$192,'Données projet'!$B$192,EJ16+EI17-ER16)))</f>
        <v>30.133333333333329</v>
      </c>
      <c r="EK17" s="17">
        <f>EJ17*VLOOKUP('Données projet'!$B$15,Paramètres!$A$1:$I$89,3,0)*VLOOKUP('Données projet'!$B$15,Paramètres!$A$1:$I$89,5,0)</f>
        <v>29.144959999999994</v>
      </c>
      <c r="EL17" s="13">
        <f t="shared" si="45"/>
        <v>9.0706903460767379</v>
      </c>
      <c r="EM17" s="20">
        <f t="shared" si="19"/>
        <v>66.55892435275031</v>
      </c>
      <c r="EN17" s="57">
        <f t="shared" si="20"/>
        <v>268.58878612502349</v>
      </c>
      <c r="EO17" s="57">
        <f ca="1">AVERAGE(OFFSET($EN$3,0,0,'Données projet'!$E$15+1,1))-AVERAGE(OFFSET($H$3,0,0,'Données projet'!$E$15+1,1))</f>
        <v>328.31200866623891</v>
      </c>
      <c r="EP17" s="57">
        <f t="shared" si="46"/>
        <v>195.52650232917446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>
        <f>VLOOKUP(A17,'Données projet'!$A$217:$I$237,2,0)</f>
        <v>192</v>
      </c>
      <c r="FC17" s="12">
        <f>VLOOKUP(A17,'Données projet'!$A$217:$I$237,9,0)</f>
        <v>11.099999999999994</v>
      </c>
      <c r="FD17" s="12">
        <f t="array" ref="FD17">INDEX(FC:FC,MIN(IF(ISNUMBER(FC17:FC213),ROW(FC17:FC213),"")))</f>
        <v>11.099999999999994</v>
      </c>
      <c r="FE17" s="12">
        <f>IF('Données projet'!$A$218&gt;35,FE16+FD17-FM16,IF(A17&lt;'Données projet'!$A$218,$FB$205^A17,IF(A17='Données projet'!$A$218,'Données projet'!$B$218,FE16+FD17-FM16)))</f>
        <v>192</v>
      </c>
      <c r="FF17" s="17">
        <f>FE17*VLOOKUP('Données projet'!$B$16,Paramètres!$A$1:$I$89,3,0)*VLOOKUP('Données projet'!$B$16,Paramètres!$A$1:$I$89,5,0)</f>
        <v>97.643519999999995</v>
      </c>
      <c r="FG17" s="13">
        <f t="shared" si="47"/>
        <v>26.399821903695297</v>
      </c>
      <c r="FH17" s="20">
        <f t="shared" si="22"/>
        <v>216.04215381560263</v>
      </c>
      <c r="FI17" s="57">
        <f t="shared" si="23"/>
        <v>418.07201558787585</v>
      </c>
      <c r="FJ17" s="57">
        <f ca="1">AVERAGE(OFFSET($FI$3,0,0,'Données projet'!$E$16+1,1))-AVERAGE(OFFSET($H$3,0,0,'Données projet'!$E$16+1,1))</f>
        <v>142.88219003619457</v>
      </c>
      <c r="FK17" s="57">
        <f t="shared" si="48"/>
        <v>288.69704547625088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7" t="e">
        <f t="shared" si="26"/>
        <v>#N/A</v>
      </c>
      <c r="GE17" s="57" t="e">
        <f ca="1">AVERAGE(OFFSET($GD$3,0,0,'Données projet'!$E$17+1,1))-AVERAGE(OFFSET($H$3,0,0,'Données projet'!$E$17+1,1))</f>
        <v>#N/A</v>
      </c>
      <c r="GF17" s="57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7" t="e">
        <f t="shared" si="29"/>
        <v>#N/A</v>
      </c>
      <c r="GZ17" s="57" t="e">
        <f ca="1">AVERAGE(OFFSET($GY$3,0,0,'Données projet'!$E$18+1,1))-AVERAGE(OFFSET($H$3,0,0,'Données projet'!$E$18+1,1))</f>
        <v>#N/A</v>
      </c>
      <c r="HA17" s="57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1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5">
        <f t="shared" si="1"/>
        <v>183.33333333333334</v>
      </c>
      <c r="I18" s="6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7">
        <f t="shared" si="0"/>
        <v>256.46949622159559</v>
      </c>
      <c r="S18" s="57">
        <f ca="1">AVERAGE(OFFSET($R$3,0,0,'Données projet'!$E$9+1,1))-AVERAGE(OFFSET($H$3,0,0,'Données projet'!$E$9+1,1))</f>
        <v>539.63700256763173</v>
      </c>
      <c r="T18" s="57">
        <f t="shared" si="34"/>
        <v>297.32483725004136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21.03829319564419</v>
      </c>
      <c r="AK18" s="13">
        <f t="shared" si="35"/>
        <v>6.8008648676982615</v>
      </c>
      <c r="AL18" s="20">
        <f t="shared" si="4"/>
        <v>48.486533626988098</v>
      </c>
      <c r="AM18" s="57">
        <f t="shared" si="5"/>
        <v>252.98328355986914</v>
      </c>
      <c r="AN18" s="57">
        <f ca="1">AVERAGE(OFFSET($AM$3,0,0,'Données projet'!$E$10+1,1))-AVERAGE(OFFSET($H$3,0,0,'Données projet'!$E$10+1,1))</f>
        <v>508.21188526136734</v>
      </c>
      <c r="AO18" s="57">
        <f t="shared" si="36"/>
        <v>281.06176764290592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20.856367383230236</v>
      </c>
      <c r="BF18" s="13">
        <f t="shared" si="37"/>
        <v>6.7488744993944465</v>
      </c>
      <c r="BG18" s="20">
        <f t="shared" si="7"/>
        <v>48.079129612237985</v>
      </c>
      <c r="BH18" s="57">
        <f t="shared" si="8"/>
        <v>252.57587954511902</v>
      </c>
      <c r="BI18" s="57">
        <f ca="1">AVERAGE(OFFSET($BH$3,0,0,'Données projet'!$E$11+1,1))-AVERAGE(OFFSET($H$3,0,0,'Données projet'!$E$11+1,1))</f>
        <v>449.50723280509311</v>
      </c>
      <c r="BJ18" s="57">
        <f t="shared" si="38"/>
        <v>281.26353650058275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2.8</v>
      </c>
      <c r="BY18" s="12">
        <f>IF('Données projet'!$A$114&gt;35,BY17+BX18-CG17,IF(A18&lt;'Données projet'!$A$114,$BV$205^A18,IF(A18='Données projet'!$A$114,'Données projet'!$B$114,BY17+BX18-CG17)))</f>
        <v>12.795546046181913</v>
      </c>
      <c r="BZ18" s="13">
        <f>BY18*VLOOKUP('Données projet'!$B$12,Paramètres!$A$1:$I$89,3,0)*VLOOKUP('Données projet'!$B$12,Paramètres!$A$1:$I$89,5,0)</f>
        <v>12.176241617546708</v>
      </c>
      <c r="CA18" s="13">
        <f t="shared" si="39"/>
        <v>4.1948030884555632</v>
      </c>
      <c r="CB18" s="20">
        <f t="shared" si="10"/>
        <v>28.512902862953961</v>
      </c>
      <c r="CC18" s="57">
        <f t="shared" si="11"/>
        <v>233.009652795835</v>
      </c>
      <c r="CD18" s="57">
        <f ca="1">AVERAGE(OFFSET($CC$3,0,0,'Données projet'!$E$12+1,1))-AVERAGE(OFFSET($H$3,0,0,'Données projet'!$E$12+1,1))</f>
        <v>479.4551766174892</v>
      </c>
      <c r="CE18" s="57">
        <f t="shared" si="40"/>
        <v>260.29028006191834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8.526315789473685</v>
      </c>
      <c r="CT18" s="12">
        <f>IF('Données projet'!$A$140&gt;35,CT17+CS18-DB17,IF(A18&lt;'Données projet'!$A$140,$CQ$205^A18,IF(A18='Données projet'!$A$140,'Données projet'!$B$140,CT17+CS18-DB17)))</f>
        <v>55.507792846923991</v>
      </c>
      <c r="CU18" s="17">
        <f>CT18*VLOOKUP('Données projet'!$B$13,Paramètres!$A$1:$I$89,3,0)*VLOOKUP('Données projet'!$B$13,Paramètres!$A$1:$I$89,5,0)</f>
        <v>31.028856201430514</v>
      </c>
      <c r="CV18" s="13">
        <f t="shared" si="41"/>
        <v>9.5868580371693835</v>
      </c>
      <c r="CW18" s="20">
        <f t="shared" si="13"/>
        <v>70.739035632228152</v>
      </c>
      <c r="CX18" s="57">
        <f t="shared" si="14"/>
        <v>275.23578556510921</v>
      </c>
      <c r="CY18" s="57">
        <f ca="1">AVERAGE(OFFSET($CX$3,0,0,'Données projet'!$E$13+1,1))-AVERAGE(OFFSET($H$3,0,0,'Données projet'!$E$13+1,1))</f>
        <v>459.83870442974046</v>
      </c>
      <c r="CZ18" s="57">
        <f t="shared" si="42"/>
        <v>565.68976940602215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99.659000000000006</v>
      </c>
      <c r="DM18" s="12">
        <f>VLOOKUP(A18,'Données projet'!$A$165:$I$185,9,0)</f>
        <v>6.6439333333333339</v>
      </c>
      <c r="DN18" s="12">
        <f t="array" ref="DN18">INDEX(DM:DM,MIN(IF(ISNUMBER(DM18:DM214),ROW(DM18:DM214),"")))</f>
        <v>6.6439333333333339</v>
      </c>
      <c r="DO18" s="12">
        <f>IF('Données projet'!$A$166&gt;35,DO17+DN18-DW17,IF(A18&lt;'Données projet'!$A$166,$DL$205^A18,IF(A18='Données projet'!$A$166,'Données projet'!$B$166,DO17+DN18-DW17)))</f>
        <v>99.659000000000006</v>
      </c>
      <c r="DP18" s="17">
        <f>DO18*VLOOKUP('Données projet'!$B$14,Paramètres!$A$1:$I$89,3,0)*VLOOKUP('Données projet'!$B$14,Paramètres!$A$1:$I$89,5,0)</f>
        <v>65.296576799999997</v>
      </c>
      <c r="DQ18" s="13">
        <f t="shared" si="43"/>
        <v>18.500745736972764</v>
      </c>
      <c r="DR18" s="20">
        <f t="shared" si="16"/>
        <v>145.94700341856088</v>
      </c>
      <c r="DS18" s="57">
        <f t="shared" si="17"/>
        <v>350.44375335144196</v>
      </c>
      <c r="DT18" s="57">
        <f ca="1">AVERAGE(OFFSET($DS$3,0,0,'Données projet'!$E$14+1,1))-AVERAGE(OFFSET($H$3,0,0,'Données projet'!$E$14+1,1))</f>
        <v>315.23504986325418</v>
      </c>
      <c r="DU18" s="57">
        <f t="shared" si="44"/>
        <v>350.52837099886688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20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2.1523809523809527</v>
      </c>
      <c r="EJ18" s="12">
        <f>IF('Données projet'!$A$192&gt;35,EJ17+EI18-ER17,IF(A18&lt;'Données projet'!$A$192,$EG$205^A18,IF(A18='Données projet'!$A$192,'Données projet'!$B$192,EJ17+EI18-ER17)))</f>
        <v>32.285714285714285</v>
      </c>
      <c r="EK18" s="17">
        <f>EJ18*VLOOKUP('Données projet'!$B$15,Paramètres!$A$1:$I$89,3,0)*VLOOKUP('Données projet'!$B$15,Paramètres!$A$1:$I$89,5,0)</f>
        <v>31.22674285714286</v>
      </c>
      <c r="EL18" s="13">
        <f t="shared" si="45"/>
        <v>9.6408615362085364</v>
      </c>
      <c r="EM18" s="20">
        <f t="shared" si="19"/>
        <v>71.177744318420352</v>
      </c>
      <c r="EN18" s="57">
        <f t="shared" si="20"/>
        <v>275.67449425130138</v>
      </c>
      <c r="EO18" s="57">
        <f ca="1">AVERAGE(OFFSET($EN$3,0,0,'Données projet'!$E$15+1,1))-AVERAGE(OFFSET($H$3,0,0,'Données projet'!$E$15+1,1))</f>
        <v>328.31200866623891</v>
      </c>
      <c r="EP18" s="57">
        <f t="shared" si="46"/>
        <v>195.52650232917446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201.4</v>
      </c>
      <c r="FC18" s="12">
        <f>VLOOKUP(A18,'Données projet'!$A$217:$I$237,9,0)</f>
        <v>9.4000000000000057</v>
      </c>
      <c r="FD18" s="12">
        <f t="array" ref="FD18">INDEX(FC:FC,MIN(IF(ISNUMBER(FC18:FC214),ROW(FC18:FC214),"")))</f>
        <v>9.4000000000000057</v>
      </c>
      <c r="FE18" s="12">
        <f>IF('Données projet'!$A$218&gt;35,FE17+FD18-FM17,IF(A18&lt;'Données projet'!$A$218,$FB$205^A18,IF(A18='Données projet'!$A$218,'Données projet'!$B$218,FE17+FD18-FM17)))</f>
        <v>201.4</v>
      </c>
      <c r="FF18" s="17">
        <f>FE18*VLOOKUP('Données projet'!$B$16,Paramètres!$A$1:$I$89,3,0)*VLOOKUP('Données projet'!$B$16,Paramètres!$A$1:$I$89,5,0)</f>
        <v>102.423984</v>
      </c>
      <c r="FG18" s="13">
        <f t="shared" si="47"/>
        <v>27.538670880412841</v>
      </c>
      <c r="FH18" s="20">
        <f t="shared" si="22"/>
        <v>226.35162391671903</v>
      </c>
      <c r="FI18" s="57">
        <f t="shared" si="23"/>
        <v>430.84837384960008</v>
      </c>
      <c r="FJ18" s="57">
        <f ca="1">AVERAGE(OFFSET($FI$3,0,0,'Données projet'!$E$16+1,1))-AVERAGE(OFFSET($H$3,0,0,'Données projet'!$E$16+1,1))</f>
        <v>142.88219003619457</v>
      </c>
      <c r="FK18" s="57">
        <f t="shared" si="48"/>
        <v>288.69704547625088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7" t="e">
        <f t="shared" si="26"/>
        <v>#N/A</v>
      </c>
      <c r="GE18" s="57" t="e">
        <f ca="1">AVERAGE(OFFSET($GD$3,0,0,'Données projet'!$E$17+1,1))-AVERAGE(OFFSET($H$3,0,0,'Données projet'!$E$17+1,1))</f>
        <v>#N/A</v>
      </c>
      <c r="GF18" s="57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7" t="e">
        <f t="shared" si="29"/>
        <v>#N/A</v>
      </c>
      <c r="GZ18" s="57" t="e">
        <f ca="1">AVERAGE(OFFSET($GY$3,0,0,'Données projet'!$E$18+1,1))-AVERAGE(OFFSET($H$3,0,0,'Données projet'!$E$18+1,1))</f>
        <v>#N/A</v>
      </c>
      <c r="HA18" s="57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1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5">
        <f t="shared" si="1"/>
        <v>183.33333333333334</v>
      </c>
      <c r="I19" s="6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7">
        <f t="shared" si="0"/>
        <v>270.96474543463864</v>
      </c>
      <c r="S19" s="57">
        <f ca="1">AVERAGE(OFFSET($R$3,0,0,'Données projet'!$E$9+1,1))-AVERAGE(OFFSET($H$3,0,0,'Données projet'!$E$9+1,1))</f>
        <v>539.63700256763173</v>
      </c>
      <c r="T19" s="57">
        <f t="shared" si="34"/>
        <v>297.32483725004136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26.072138005225284</v>
      </c>
      <c r="AK19" s="13">
        <f t="shared" si="35"/>
        <v>8.2202636982343371</v>
      </c>
      <c r="AL19" s="20">
        <f t="shared" si="4"/>
        <v>59.725932966858835</v>
      </c>
      <c r="AM19" s="57">
        <f t="shared" si="5"/>
        <v>266.66797888897293</v>
      </c>
      <c r="AN19" s="57">
        <f ca="1">AVERAGE(OFFSET($AM$3,0,0,'Données projet'!$E$10+1,1))-AVERAGE(OFFSET($H$3,0,0,'Données projet'!$E$10+1,1))</f>
        <v>508.21188526136734</v>
      </c>
      <c r="AO19" s="57">
        <f t="shared" si="36"/>
        <v>281.06176764290592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26.864052197391008</v>
      </c>
      <c r="BF19" s="13">
        <f t="shared" si="37"/>
        <v>8.4404970471001413</v>
      </c>
      <c r="BG19" s="20">
        <f t="shared" si="7"/>
        <v>61.488756600822086</v>
      </c>
      <c r="BH19" s="57">
        <f t="shared" si="8"/>
        <v>268.43080252293612</v>
      </c>
      <c r="BI19" s="57">
        <f ca="1">AVERAGE(OFFSET($BH$3,0,0,'Données projet'!$E$11+1,1))-AVERAGE(OFFSET($H$3,0,0,'Données projet'!$E$11+1,1))</f>
        <v>449.50723280509311</v>
      </c>
      <c r="BJ19" s="57">
        <f t="shared" si="38"/>
        <v>281.26353650058275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2.8</v>
      </c>
      <c r="BY19" s="12">
        <f>IF('Données projet'!$A$114&gt;35,BY18+BX19-CG18,IF(A19&lt;'Données projet'!$A$114,$BV$205^A19,IF(A19='Données projet'!$A$114,'Données projet'!$B$114,BY18+BX19-CG18)))</f>
        <v>15.165709947455436</v>
      </c>
      <c r="BZ19" s="13">
        <f>BY19*VLOOKUP('Données projet'!$B$12,Paramètres!$A$1:$I$89,3,0)*VLOOKUP('Données projet'!$B$12,Paramètres!$A$1:$I$89,5,0)</f>
        <v>14.431689585998592</v>
      </c>
      <c r="CA19" s="13">
        <f t="shared" si="39"/>
        <v>4.8744399464507975</v>
      </c>
      <c r="CB19" s="20">
        <f t="shared" si="10"/>
        <v>33.624842269016021</v>
      </c>
      <c r="CC19" s="57">
        <f t="shared" si="11"/>
        <v>240.56688819113009</v>
      </c>
      <c r="CD19" s="57">
        <f ca="1">AVERAGE(OFFSET($CC$3,0,0,'Données projet'!$E$12+1,1))-AVERAGE(OFFSET($H$3,0,0,'Données projet'!$E$12+1,1))</f>
        <v>479.4551766174892</v>
      </c>
      <c r="CE19" s="57">
        <f t="shared" si="40"/>
        <v>260.29028006191834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8.526315789473685</v>
      </c>
      <c r="CT19" s="12">
        <f>IF('Données projet'!$A$140&gt;35,CT18+CS19-DB18,IF(A19&lt;'Données projet'!$A$140,$CQ$205^A19,IF(A19='Données projet'!$A$140,'Données projet'!$B$140,CT18+CS19-DB18)))</f>
        <v>72.551136968384853</v>
      </c>
      <c r="CU19" s="17">
        <f>CT19*VLOOKUP('Données projet'!$B$13,Paramètres!$A$1:$I$89,3,0)*VLOOKUP('Données projet'!$B$13,Paramètres!$A$1:$I$89,5,0)</f>
        <v>40.55608556532713</v>
      </c>
      <c r="CV19" s="13">
        <f t="shared" si="41"/>
        <v>12.145918805157919</v>
      </c>
      <c r="CW19" s="20">
        <f t="shared" si="13"/>
        <v>91.78932427859479</v>
      </c>
      <c r="CX19" s="57">
        <f t="shared" si="14"/>
        <v>298.73137020070885</v>
      </c>
      <c r="CY19" s="57">
        <f ca="1">AVERAGE(OFFSET($CX$3,0,0,'Données projet'!$E$13+1,1))-AVERAGE(OFFSET($H$3,0,0,'Données projet'!$E$13+1,1))</f>
        <v>459.83870442974046</v>
      </c>
      <c r="CZ19" s="57">
        <f t="shared" si="42"/>
        <v>565.68976940602215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9.4627199999999974</v>
      </c>
      <c r="DO19" s="12">
        <f>IF('Données projet'!$A$166&gt;35,DO18+DN19-DW18,IF(A19&lt;'Données projet'!$A$166,$DL$205^A19,IF(A19='Données projet'!$A$166,'Données projet'!$B$166,DO18+DN19-DW18)))</f>
        <v>89.12172000000001</v>
      </c>
      <c r="DP19" s="17">
        <f>DO19*VLOOKUP('Données projet'!$B$14,Paramètres!$A$1:$I$89,3,0)*VLOOKUP('Données projet'!$B$14,Paramètres!$A$1:$I$89,5,0)</f>
        <v>58.392550944</v>
      </c>
      <c r="DQ19" s="13">
        <f t="shared" si="43"/>
        <v>16.761215358211981</v>
      </c>
      <c r="DR19" s="20">
        <f t="shared" si="16"/>
        <v>130.89280964301921</v>
      </c>
      <c r="DS19" s="57">
        <f t="shared" si="17"/>
        <v>337.83485556513324</v>
      </c>
      <c r="DT19" s="57">
        <f ca="1">AVERAGE(OFFSET($DS$3,0,0,'Données projet'!$E$14+1,1))-AVERAGE(OFFSET($H$3,0,0,'Données projet'!$E$14+1,1))</f>
        <v>315.23504986325418</v>
      </c>
      <c r="DU19" s="57">
        <f t="shared" si="44"/>
        <v>350.52837099886688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2.1523809523809527</v>
      </c>
      <c r="EJ19" s="12">
        <f>IF('Données projet'!$A$192&gt;35,EJ18+EI19-ER18,IF(A19&lt;'Données projet'!$A$192,$EG$205^A19,IF(A19='Données projet'!$A$192,'Données projet'!$B$192,EJ18+EI19-ER18)))</f>
        <v>34.438095238095237</v>
      </c>
      <c r="EK19" s="17">
        <f>EJ19*VLOOKUP('Données projet'!$B$15,Paramètres!$A$1:$I$89,3,0)*VLOOKUP('Données projet'!$B$15,Paramètres!$A$1:$I$89,5,0)</f>
        <v>33.308525714285715</v>
      </c>
      <c r="EL19" s="13">
        <f t="shared" si="45"/>
        <v>10.206621872979516</v>
      </c>
      <c r="EM19" s="20">
        <f t="shared" si="19"/>
        <v>75.78888204782028</v>
      </c>
      <c r="EN19" s="57">
        <f t="shared" si="20"/>
        <v>282.73092796993433</v>
      </c>
      <c r="EO19" s="57">
        <f ca="1">AVERAGE(OFFSET($EN$3,0,0,'Données projet'!$E$15+1,1))-AVERAGE(OFFSET($H$3,0,0,'Données projet'!$E$15+1,1))</f>
        <v>328.31200866623891</v>
      </c>
      <c r="EP19" s="57">
        <f t="shared" si="46"/>
        <v>195.52650232917446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>
        <f>VLOOKUP(A19,'Données projet'!$A$217:$I$237,2,0)</f>
        <v>209.3</v>
      </c>
      <c r="FC19" s="12">
        <f>VLOOKUP(A19,'Données projet'!$A$217:$I$237,9,0)</f>
        <v>7.9000000000000057</v>
      </c>
      <c r="FD19" s="12">
        <f t="array" ref="FD19">INDEX(FC:FC,MIN(IF(ISNUMBER(FC19:FC215),ROW(FC19:FC215),"")))</f>
        <v>7.9000000000000057</v>
      </c>
      <c r="FE19" s="12">
        <f>IF('Données projet'!$A$218&gt;35,FE18+FD19-FM18,IF(A19&lt;'Données projet'!$A$218,$FB$205^A19,IF(A19='Données projet'!$A$218,'Données projet'!$B$218,FE18+FD19-FM18)))</f>
        <v>209.3</v>
      </c>
      <c r="FF19" s="17">
        <f>FE19*VLOOKUP('Données projet'!$B$16,Paramètres!$A$1:$I$89,3,0)*VLOOKUP('Données projet'!$B$16,Paramètres!$A$1:$I$89,5,0)</f>
        <v>106.44160800000002</v>
      </c>
      <c r="FG19" s="13">
        <f t="shared" si="47"/>
        <v>28.491001891473147</v>
      </c>
      <c r="FH19" s="20">
        <f t="shared" si="22"/>
        <v>235.00762889431576</v>
      </c>
      <c r="FI19" s="57">
        <f t="shared" si="23"/>
        <v>441.94967481642982</v>
      </c>
      <c r="FJ19" s="57">
        <f ca="1">AVERAGE(OFFSET($FI$3,0,0,'Données projet'!$E$16+1,1))-AVERAGE(OFFSET($H$3,0,0,'Données projet'!$E$16+1,1))</f>
        <v>142.88219003619457</v>
      </c>
      <c r="FK19" s="57">
        <f t="shared" si="48"/>
        <v>288.69704547625088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7" t="e">
        <f t="shared" si="26"/>
        <v>#N/A</v>
      </c>
      <c r="GE19" s="57" t="e">
        <f ca="1">AVERAGE(OFFSET($GD$3,0,0,'Données projet'!$E$17+1,1))-AVERAGE(OFFSET($H$3,0,0,'Données projet'!$E$17+1,1))</f>
        <v>#N/A</v>
      </c>
      <c r="GF19" s="57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7" t="e">
        <f t="shared" si="29"/>
        <v>#N/A</v>
      </c>
      <c r="GZ19" s="57" t="e">
        <f ca="1">AVERAGE(OFFSET($GY$3,0,0,'Données projet'!$E$18+1,1))-AVERAGE(OFFSET($H$3,0,0,'Données projet'!$E$18+1,1))</f>
        <v>#N/A</v>
      </c>
      <c r="HA19" s="57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1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5">
        <f t="shared" si="1"/>
        <v>183.33333333333334</v>
      </c>
      <c r="I20" s="6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7">
        <f t="shared" si="0"/>
        <v>288.24149918328646</v>
      </c>
      <c r="S20" s="57">
        <f ca="1">AVERAGE(OFFSET($R$3,0,0,'Données projet'!$E$9+1,1))-AVERAGE(OFFSET($H$3,0,0,'Données projet'!$E$9+1,1))</f>
        <v>539.63700256763173</v>
      </c>
      <c r="T20" s="57">
        <f t="shared" si="34"/>
        <v>297.32483725004136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32.310433828550828</v>
      </c>
      <c r="AK20" s="13">
        <f t="shared" si="35"/>
        <v>9.9359032392271498</v>
      </c>
      <c r="AL20" s="20">
        <f t="shared" si="4"/>
        <v>73.579037059713301</v>
      </c>
      <c r="AM20" s="57">
        <f t="shared" si="5"/>
        <v>282.94516137558605</v>
      </c>
      <c r="AN20" s="57">
        <f ca="1">AVERAGE(OFFSET($AM$3,0,0,'Données projet'!$E$10+1,1))-AVERAGE(OFFSET($H$3,0,0,'Données projet'!$E$10+1,1))</f>
        <v>508.21188526136734</v>
      </c>
      <c r="AO20" s="57">
        <f t="shared" si="36"/>
        <v>281.06176764290592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34.602252981236802</v>
      </c>
      <c r="BF20" s="13">
        <f t="shared" si="37"/>
        <v>10.556129086190376</v>
      </c>
      <c r="BG20" s="20">
        <f t="shared" si="7"/>
        <v>78.650848767435647</v>
      </c>
      <c r="BH20" s="57">
        <f t="shared" si="8"/>
        <v>288.01697308330836</v>
      </c>
      <c r="BI20" s="57">
        <f ca="1">AVERAGE(OFFSET($BH$3,0,0,'Données projet'!$E$11+1,1))-AVERAGE(OFFSET($H$3,0,0,'Données projet'!$E$11+1,1))</f>
        <v>449.50723280509311</v>
      </c>
      <c r="BJ20" s="57">
        <f t="shared" si="38"/>
        <v>281.26353650058275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2.8</v>
      </c>
      <c r="BY20" s="12">
        <f>IF('Données projet'!$A$114&gt;35,BY19+BX20-CG19,IF(A20&lt;'Données projet'!$A$114,$BV$205^A20,IF(A20='Données projet'!$A$114,'Données projet'!$B$114,BY19+BX20-CG19)))</f>
        <v>17.974907626468866</v>
      </c>
      <c r="BZ20" s="13">
        <f>BY20*VLOOKUP('Données projet'!$B$12,Paramètres!$A$1:$I$89,3,0)*VLOOKUP('Données projet'!$B$12,Paramètres!$A$1:$I$89,5,0)</f>
        <v>17.104922097347774</v>
      </c>
      <c r="CA20" s="13">
        <f t="shared" si="39"/>
        <v>5.6641907356617391</v>
      </c>
      <c r="CB20" s="20">
        <f t="shared" si="10"/>
        <v>39.656204850824899</v>
      </c>
      <c r="CC20" s="57">
        <f t="shared" si="11"/>
        <v>249.02232916669763</v>
      </c>
      <c r="CD20" s="57">
        <f ca="1">AVERAGE(OFFSET($CC$3,0,0,'Données projet'!$E$12+1,1))-AVERAGE(OFFSET($H$3,0,0,'Données projet'!$E$12+1,1))</f>
        <v>479.4551766174892</v>
      </c>
      <c r="CE20" s="57">
        <f t="shared" si="40"/>
        <v>260.29028006191834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8.526315789473685</v>
      </c>
      <c r="CT20" s="12">
        <f>IF('Données projet'!$A$140&gt;35,CT19+CS20-DB19,IF(A20&lt;'Données projet'!$A$140,$CQ$205^A20,IF(A20='Données projet'!$A$140,'Données projet'!$B$140,CT19+CS20-DB19)))</f>
        <v>94.827540520682575</v>
      </c>
      <c r="CU20" s="17">
        <f>CT20*VLOOKUP('Données projet'!$B$13,Paramètres!$A$1:$I$89,3,0)*VLOOKUP('Données projet'!$B$13,Paramètres!$A$1:$I$89,5,0)</f>
        <v>53.008595151061563</v>
      </c>
      <c r="CV20" s="13">
        <f t="shared" si="41"/>
        <v>15.388080542084102</v>
      </c>
      <c r="CW20" s="20">
        <f t="shared" si="13"/>
        <v>119.12421016556203</v>
      </c>
      <c r="CX20" s="57">
        <f t="shared" si="14"/>
        <v>328.49033448143473</v>
      </c>
      <c r="CY20" s="57">
        <f ca="1">AVERAGE(OFFSET($CX$3,0,0,'Données projet'!$E$13+1,1))-AVERAGE(OFFSET($H$3,0,0,'Données projet'!$E$13+1,1))</f>
        <v>459.83870442974046</v>
      </c>
      <c r="CZ20" s="57">
        <f t="shared" si="42"/>
        <v>565.68976940602215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9.4627199999999974</v>
      </c>
      <c r="DO20" s="12">
        <f>IF('Données projet'!$A$166&gt;35,DO19+DN20-DW19,IF(A20&lt;'Données projet'!$A$166,$DL$205^A20,IF(A20='Données projet'!$A$166,'Données projet'!$B$166,DO19+DN20-DW19)))</f>
        <v>98.584440000000001</v>
      </c>
      <c r="DP20" s="17">
        <f>DO20*VLOOKUP('Données projet'!$B$14,Paramètres!$A$1:$I$89,3,0)*VLOOKUP('Données projet'!$B$14,Paramètres!$A$1:$I$89,5,0)</f>
        <v>64.592525088000002</v>
      </c>
      <c r="DQ20" s="13">
        <f t="shared" si="43"/>
        <v>18.324372520580365</v>
      </c>
      <c r="DR20" s="20">
        <f t="shared" si="16"/>
        <v>144.41359666827748</v>
      </c>
      <c r="DS20" s="57">
        <f t="shared" si="17"/>
        <v>353.77972098415023</v>
      </c>
      <c r="DT20" s="57">
        <f ca="1">AVERAGE(OFFSET($DS$3,0,0,'Données projet'!$E$14+1,1))-AVERAGE(OFFSET($H$3,0,0,'Données projet'!$E$14+1,1))</f>
        <v>315.23504986325418</v>
      </c>
      <c r="DU20" s="57">
        <f t="shared" si="44"/>
        <v>350.52837099886688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2.1523809523809527</v>
      </c>
      <c r="EJ20" s="12">
        <f>IF('Données projet'!$A$192&gt;35,EJ19+EI20-ER19,IF(A20&lt;'Données projet'!$A$192,$EG$205^A20,IF(A20='Données projet'!$A$192,'Données projet'!$B$192,EJ19+EI20-ER19)))</f>
        <v>36.590476190476188</v>
      </c>
      <c r="EK20" s="17">
        <f>EJ20*VLOOKUP('Données projet'!$B$15,Paramètres!$A$1:$I$89,3,0)*VLOOKUP('Données projet'!$B$15,Paramètres!$A$1:$I$89,5,0)</f>
        <v>35.390308571428569</v>
      </c>
      <c r="EL20" s="13">
        <f t="shared" si="45"/>
        <v>10.768278419035559</v>
      </c>
      <c r="EM20" s="20">
        <f t="shared" si="19"/>
        <v>80.392872341725024</v>
      </c>
      <c r="EN20" s="57">
        <f t="shared" si="20"/>
        <v>289.75899665759778</v>
      </c>
      <c r="EO20" s="57">
        <f ca="1">AVERAGE(OFFSET($EN$3,0,0,'Données projet'!$E$15+1,1))-AVERAGE(OFFSET($H$3,0,0,'Données projet'!$E$15+1,1))</f>
        <v>328.31200866623891</v>
      </c>
      <c r="EP20" s="57">
        <f t="shared" si="46"/>
        <v>195.52650232917446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>
        <f>VLOOKUP(A20,'Données projet'!$A$217:$I$237,2,0)</f>
        <v>215.5</v>
      </c>
      <c r="FC20" s="12">
        <f>VLOOKUP(A20,'Données projet'!$A$217:$I$237,9,0)</f>
        <v>6.1999999999999886</v>
      </c>
      <c r="FD20" s="12">
        <f t="array" ref="FD20">INDEX(FC:FC,MIN(IF(ISNUMBER(FC20:FC216),ROW(FC20:FC216),"")))</f>
        <v>6.1999999999999886</v>
      </c>
      <c r="FE20" s="12">
        <f>IF('Données projet'!$A$218&gt;35,FE19+FD20-FM19,IF(A20&lt;'Données projet'!$A$218,$FB$205^A20,IF(A20='Données projet'!$A$218,'Données projet'!$B$218,FE19+FD20-FM19)))</f>
        <v>215.5</v>
      </c>
      <c r="FF20" s="17">
        <f>FE20*VLOOKUP('Données projet'!$B$16,Paramètres!$A$1:$I$89,3,0)*VLOOKUP('Données projet'!$B$16,Paramètres!$A$1:$I$89,5,0)</f>
        <v>109.59468000000001</v>
      </c>
      <c r="FG20" s="13">
        <f t="shared" si="47"/>
        <v>29.23546751169992</v>
      </c>
      <c r="FH20" s="20">
        <f t="shared" si="22"/>
        <v>241.79584024954406</v>
      </c>
      <c r="FI20" s="57">
        <f t="shared" si="23"/>
        <v>451.16196456541678</v>
      </c>
      <c r="FJ20" s="57">
        <f ca="1">AVERAGE(OFFSET($FI$3,0,0,'Données projet'!$E$16+1,1))-AVERAGE(OFFSET($H$3,0,0,'Données projet'!$E$16+1,1))</f>
        <v>142.88219003619457</v>
      </c>
      <c r="FK20" s="57">
        <f t="shared" si="48"/>
        <v>288.69704547625088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7" t="e">
        <f t="shared" si="26"/>
        <v>#N/A</v>
      </c>
      <c r="GE20" s="57" t="e">
        <f ca="1">AVERAGE(OFFSET($GD$3,0,0,'Données projet'!$E$17+1,1))-AVERAGE(OFFSET($H$3,0,0,'Données projet'!$E$17+1,1))</f>
        <v>#N/A</v>
      </c>
      <c r="GF20" s="57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7" t="e">
        <f t="shared" si="29"/>
        <v>#N/A</v>
      </c>
      <c r="GZ20" s="57" t="e">
        <f ca="1">AVERAGE(OFFSET($GY$3,0,0,'Données projet'!$E$18+1,1))-AVERAGE(OFFSET($H$3,0,0,'Données projet'!$E$18+1,1))</f>
        <v>#N/A</v>
      </c>
      <c r="HA20" s="57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1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5">
        <f t="shared" si="1"/>
        <v>183.33333333333334</v>
      </c>
      <c r="I21" s="6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7">
        <f t="shared" si="0"/>
        <v>308.95393822316214</v>
      </c>
      <c r="S21" s="57">
        <f ca="1">AVERAGE(OFFSET($R$3,0,0,'Données projet'!$E$9+1,1))-AVERAGE(OFFSET($H$3,0,0,'Données projet'!$E$9+1,1))</f>
        <v>539.63700256763173</v>
      </c>
      <c r="T21" s="57">
        <f t="shared" si="34"/>
        <v>297.32483725004136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40.041370369393334</v>
      </c>
      <c r="AK21" s="13">
        <f t="shared" si="35"/>
        <v>12.009611467876571</v>
      </c>
      <c r="AL21" s="20">
        <f t="shared" si="4"/>
        <v>90.655460033245092</v>
      </c>
      <c r="AM21" s="57">
        <f t="shared" si="5"/>
        <v>302.42481322524822</v>
      </c>
      <c r="AN21" s="57">
        <f ca="1">AVERAGE(OFFSET($AM$3,0,0,'Données projet'!$E$10+1,1))-AVERAGE(OFFSET($H$3,0,0,'Données projet'!$E$10+1,1))</f>
        <v>508.21188526136734</v>
      </c>
      <c r="AO21" s="57">
        <f t="shared" si="36"/>
        <v>281.06176764290592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44.569445539336513</v>
      </c>
      <c r="BF21" s="13">
        <f t="shared" si="37"/>
        <v>13.202049673437019</v>
      </c>
      <c r="BG21" s="20">
        <f t="shared" si="7"/>
        <v>100.61868749558056</v>
      </c>
      <c r="BH21" s="57">
        <f t="shared" si="8"/>
        <v>312.38804068758367</v>
      </c>
      <c r="BI21" s="57">
        <f ca="1">AVERAGE(OFFSET($BH$3,0,0,'Données projet'!$E$11+1,1))-AVERAGE(OFFSET($H$3,0,0,'Données projet'!$E$11+1,1))</f>
        <v>449.50723280509311</v>
      </c>
      <c r="BJ21" s="57">
        <f t="shared" si="38"/>
        <v>281.26353650058275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2.8</v>
      </c>
      <c r="BY21" s="12">
        <f>IF('Données projet'!$A$114&gt;35,BY20+BX21-CG20,IF(A21&lt;'Données projet'!$A$114,$BV$205^A21,IF(A21='Données projet'!$A$114,'Données projet'!$B$114,BY20+BX21-CG20)))</f>
        <v>21.304462850702166</v>
      </c>
      <c r="BZ21" s="13">
        <f>BY21*VLOOKUP('Données projet'!$B$12,Paramètres!$A$1:$I$89,3,0)*VLOOKUP('Données projet'!$B$12,Paramètres!$A$1:$I$89,5,0)</f>
        <v>20.273326848728182</v>
      </c>
      <c r="CA21" s="13">
        <f t="shared" si="39"/>
        <v>6.5818959803406232</v>
      </c>
      <c r="CB21" s="20">
        <f t="shared" si="10"/>
        <v>46.772846427294837</v>
      </c>
      <c r="CC21" s="57">
        <f t="shared" si="11"/>
        <v>258.54219961929795</v>
      </c>
      <c r="CD21" s="57">
        <f ca="1">AVERAGE(OFFSET($CC$3,0,0,'Données projet'!$E$12+1,1))-AVERAGE(OFFSET($H$3,0,0,'Données projet'!$E$12+1,1))</f>
        <v>479.4551766174892</v>
      </c>
      <c r="CE21" s="57">
        <f t="shared" si="40"/>
        <v>260.29028006191834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8.526315789473685</v>
      </c>
      <c r="CT21" s="12">
        <f>IF('Données projet'!$A$140&gt;35,CT20+CS21-DB20,IF(A21&lt;'Données projet'!$A$140,$CQ$205^A21,IF(A21='Données projet'!$A$140,'Données projet'!$B$140,CT20+CS21-DB20)))</f>
        <v>123.94378388749713</v>
      </c>
      <c r="CU21" s="17">
        <f>CT21*VLOOKUP('Données projet'!$B$13,Paramètres!$A$1:$I$89,3,0)*VLOOKUP('Données projet'!$B$13,Paramètres!$A$1:$I$89,5,0)</f>
        <v>69.284575193110896</v>
      </c>
      <c r="CV21" s="13">
        <f t="shared" si="41"/>
        <v>19.495686293334202</v>
      </c>
      <c r="CW21" s="20">
        <f t="shared" si="13"/>
        <v>154.62562208889187</v>
      </c>
      <c r="CX21" s="57">
        <f t="shared" si="14"/>
        <v>366.39497528089498</v>
      </c>
      <c r="CY21" s="57">
        <f ca="1">AVERAGE(OFFSET($CX$3,0,0,'Données projet'!$E$13+1,1))-AVERAGE(OFFSET($H$3,0,0,'Données projet'!$E$13+1,1))</f>
        <v>459.83870442974046</v>
      </c>
      <c r="CZ21" s="57">
        <f t="shared" si="42"/>
        <v>565.68976940602215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9.4627199999999974</v>
      </c>
      <c r="DO21" s="12">
        <f>IF('Données projet'!$A$166&gt;35,DO20+DN21-DW20,IF(A21&lt;'Données projet'!$A$166,$DL$205^A21,IF(A21='Données projet'!$A$166,'Données projet'!$B$166,DO20+DN21-DW20)))</f>
        <v>108.04715999999999</v>
      </c>
      <c r="DP21" s="17">
        <f>DO21*VLOOKUP('Données projet'!$B$14,Paramètres!$A$1:$I$89,3,0)*VLOOKUP('Données projet'!$B$14,Paramètres!$A$1:$I$89,5,0)</f>
        <v>70.792499231999997</v>
      </c>
      <c r="DQ21" s="13">
        <f t="shared" si="43"/>
        <v>19.870133928537207</v>
      </c>
      <c r="DR21" s="20">
        <f t="shared" si="16"/>
        <v>157.90408608793564</v>
      </c>
      <c r="DS21" s="57">
        <f t="shared" si="17"/>
        <v>369.67343927993875</v>
      </c>
      <c r="DT21" s="57">
        <f ca="1">AVERAGE(OFFSET($DS$3,0,0,'Données projet'!$E$14+1,1))-AVERAGE(OFFSET($H$3,0,0,'Données projet'!$E$14+1,1))</f>
        <v>315.23504986325418</v>
      </c>
      <c r="DU21" s="57">
        <f t="shared" si="44"/>
        <v>350.52837099886688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2.1523809523809527</v>
      </c>
      <c r="EJ21" s="12">
        <f>IF('Données projet'!$A$192&gt;35,EJ20+EI21-ER20,IF(A21&lt;'Données projet'!$A$192,$EG$205^A21,IF(A21='Données projet'!$A$192,'Données projet'!$B$192,EJ20+EI21-ER20)))</f>
        <v>38.74285714285714</v>
      </c>
      <c r="EK21" s="17">
        <f>EJ21*VLOOKUP('Données projet'!$B$15,Paramètres!$A$1:$I$89,3,0)*VLOOKUP('Données projet'!$B$15,Paramètres!$A$1:$I$89,5,0)</f>
        <v>37.472091428571424</v>
      </c>
      <c r="EL21" s="13">
        <f t="shared" si="45"/>
        <v>11.326100071276814</v>
      </c>
      <c r="EM21" s="20">
        <f t="shared" si="19"/>
        <v>84.990183528902335</v>
      </c>
      <c r="EN21" s="57">
        <f t="shared" si="20"/>
        <v>296.75953672090543</v>
      </c>
      <c r="EO21" s="57">
        <f ca="1">AVERAGE(OFFSET($EN$3,0,0,'Données projet'!$E$15+1,1))-AVERAGE(OFFSET($H$3,0,0,'Données projet'!$E$15+1,1))</f>
        <v>328.31200866623891</v>
      </c>
      <c r="EP21" s="57">
        <f t="shared" si="46"/>
        <v>195.52650232917446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>
        <f>VLOOKUP(A21,'Données projet'!$A$217:$I$237,2,0)</f>
        <v>220.2</v>
      </c>
      <c r="FC21" s="12">
        <f>VLOOKUP(A21,'Données projet'!$A$217:$I$237,9,0)</f>
        <v>4.6999999999999886</v>
      </c>
      <c r="FD21" s="12">
        <f t="array" ref="FD21">INDEX(FC:FC,MIN(IF(ISNUMBER(FC21:FC217),ROW(FC21:FC217),"")))</f>
        <v>4.6999999999999886</v>
      </c>
      <c r="FE21" s="12">
        <f>IF('Données projet'!$A$218&gt;35,FE20+FD21-FM20,IF(A21&lt;'Données projet'!$A$218,$FB$205^A21,IF(A21='Données projet'!$A$218,'Données projet'!$B$218,FE20+FD21-FM20)))</f>
        <v>220.2</v>
      </c>
      <c r="FF21" s="17">
        <f>FE21*VLOOKUP('Données projet'!$B$16,Paramètres!$A$1:$I$89,3,0)*VLOOKUP('Données projet'!$B$16,Paramètres!$A$1:$I$89,5,0)</f>
        <v>111.98491200000001</v>
      </c>
      <c r="FG21" s="13">
        <f t="shared" si="47"/>
        <v>29.798157451553955</v>
      </c>
      <c r="FH21" s="20">
        <f t="shared" si="22"/>
        <v>246.93884596145651</v>
      </c>
      <c r="FI21" s="57">
        <f t="shared" si="23"/>
        <v>458.70819915345965</v>
      </c>
      <c r="FJ21" s="57">
        <f ca="1">AVERAGE(OFFSET($FI$3,0,0,'Données projet'!$E$16+1,1))-AVERAGE(OFFSET($H$3,0,0,'Données projet'!$E$16+1,1))</f>
        <v>142.88219003619457</v>
      </c>
      <c r="FK21" s="57">
        <f t="shared" si="48"/>
        <v>288.69704547625088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7" t="e">
        <f t="shared" si="26"/>
        <v>#N/A</v>
      </c>
      <c r="GE21" s="57" t="e">
        <f ca="1">AVERAGE(OFFSET($GD$3,0,0,'Données projet'!$E$17+1,1))-AVERAGE(OFFSET($H$3,0,0,'Données projet'!$E$17+1,1))</f>
        <v>#N/A</v>
      </c>
      <c r="GF21" s="57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7" t="e">
        <f t="shared" si="29"/>
        <v>#N/A</v>
      </c>
      <c r="GZ21" s="57" t="e">
        <f ca="1">AVERAGE(OFFSET($GY$3,0,0,'Données projet'!$E$18+1,1))-AVERAGE(OFFSET($H$3,0,0,'Données projet'!$E$18+1,1))</f>
        <v>#N/A</v>
      </c>
      <c r="HA21" s="57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1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5">
        <f t="shared" si="1"/>
        <v>183.33333333333334</v>
      </c>
      <c r="I22" s="6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7">
        <f t="shared" si="0"/>
        <v>333.90916953776684</v>
      </c>
      <c r="S22" s="57">
        <f ca="1">AVERAGE(OFFSET($R$3,0,0,'Données projet'!$E$9+1,1))-AVERAGE(OFFSET($H$3,0,0,'Données projet'!$E$9+1,1))</f>
        <v>539.63700256763173</v>
      </c>
      <c r="T22" s="57">
        <f t="shared" si="34"/>
        <v>297.32483725004136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49.622092651760646</v>
      </c>
      <c r="AK22" s="13">
        <f t="shared" si="35"/>
        <v>14.516120390537463</v>
      </c>
      <c r="AL22" s="20">
        <f t="shared" si="4"/>
        <v>111.70738771533587</v>
      </c>
      <c r="AM22" s="57">
        <f t="shared" si="5"/>
        <v>325.85948195835942</v>
      </c>
      <c r="AN22" s="57">
        <f ca="1">AVERAGE(OFFSET($AM$3,0,0,'Données projet'!$E$10+1,1))-AVERAGE(OFFSET($H$3,0,0,'Données projet'!$E$10+1,1))</f>
        <v>508.21188526136734</v>
      </c>
      <c r="AO22" s="57">
        <f t="shared" si="36"/>
        <v>281.06176764290592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57.407691827495569</v>
      </c>
      <c r="BF22" s="13">
        <f t="shared" si="37"/>
        <v>16.511176981334152</v>
      </c>
      <c r="BG22" s="20">
        <f t="shared" si="7"/>
        <v>128.7420298420451</v>
      </c>
      <c r="BH22" s="57">
        <f t="shared" si="8"/>
        <v>342.8941240850686</v>
      </c>
      <c r="BI22" s="57">
        <f ca="1">AVERAGE(OFFSET($BH$3,0,0,'Données projet'!$E$11+1,1))-AVERAGE(OFFSET($H$3,0,0,'Données projet'!$E$11+1,1))</f>
        <v>449.50723280509311</v>
      </c>
      <c r="BJ22" s="57">
        <f t="shared" si="38"/>
        <v>281.26353650058275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2.8</v>
      </c>
      <c r="BY22" s="12">
        <f>IF('Données projet'!$A$114&gt;35,BY21+BX22-CG21,IF(A22&lt;'Données projet'!$A$114,$BV$205^A22,IF(A22='Données projet'!$A$114,'Données projet'!$B$114,BY21+BX22-CG21)))</f>
        <v>25.250763274498809</v>
      </c>
      <c r="BZ22" s="13">
        <f>BY22*VLOOKUP('Données projet'!$B$12,Paramètres!$A$1:$I$89,3,0)*VLOOKUP('Données projet'!$B$12,Paramètres!$A$1:$I$89,5,0)</f>
        <v>24.028626332013069</v>
      </c>
      <c r="CA22" s="13">
        <f t="shared" si="39"/>
        <v>7.6482867046254057</v>
      </c>
      <c r="CB22" s="20">
        <f t="shared" si="10"/>
        <v>55.170623538812009</v>
      </c>
      <c r="CC22" s="57">
        <f t="shared" si="11"/>
        <v>269.32271778183554</v>
      </c>
      <c r="CD22" s="57">
        <f ca="1">AVERAGE(OFFSET($CC$3,0,0,'Données projet'!$E$12+1,1))-AVERAGE(OFFSET($H$3,0,0,'Données projet'!$E$12+1,1))</f>
        <v>479.4551766174892</v>
      </c>
      <c r="CE22" s="57">
        <f t="shared" si="40"/>
        <v>260.29028006191834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>
        <f>VLOOKUP(A22,'Données projet'!$A$139:$I$159,2,0)</f>
        <v>162</v>
      </c>
      <c r="CR22" s="12">
        <f>VLOOKUP(A22,'Données projet'!$A$139:$I$159,9,0)</f>
        <v>8.526315789473685</v>
      </c>
      <c r="CS22" s="12">
        <f t="array" ref="CS22">INDEX(CR:CR,MIN(IF(ISNUMBER(CR22:CR218),ROW(CR22:CR218),"")))</f>
        <v>8.526315789473685</v>
      </c>
      <c r="CT22" s="12">
        <f>IF('Données projet'!$A$140&gt;35,CT21+CS22-DB21,IF(A22&lt;'Données projet'!$A$140,$CQ$205^A22,IF(A22='Données projet'!$A$140,'Données projet'!$B$140,CT21+CS22-DB21)))</f>
        <v>162</v>
      </c>
      <c r="CU22" s="17">
        <f>CT22*VLOOKUP('Données projet'!$B$13,Paramètres!$A$1:$I$89,3,0)*VLOOKUP('Données projet'!$B$13,Paramètres!$A$1:$I$89,5,0)</f>
        <v>90.557999999999993</v>
      </c>
      <c r="CV22" s="13">
        <f t="shared" si="41"/>
        <v>24.699752708509138</v>
      </c>
      <c r="CW22" s="20">
        <f t="shared" si="13"/>
        <v>200.74058596732007</v>
      </c>
      <c r="CX22" s="57">
        <f t="shared" si="14"/>
        <v>414.8926802103436</v>
      </c>
      <c r="CY22" s="57">
        <f ca="1">AVERAGE(OFFSET($CX$3,0,0,'Données projet'!$E$13+1,1))-AVERAGE(OFFSET($H$3,0,0,'Données projet'!$E$13+1,1))</f>
        <v>459.83870442974046</v>
      </c>
      <c r="CZ22" s="57">
        <f t="shared" si="42"/>
        <v>565.68976940602215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0.30800000000000005</v>
      </c>
      <c r="DE22" s="16">
        <f>IF(ISNA(VLOOKUP(A22,'Données projet'!$A$139:$I$159,7,0)),0%,VLOOKUP(A22,'Données projet'!$A$139:$I$159,7,0))</f>
        <v>0.44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9.4627199999999974</v>
      </c>
      <c r="DO22" s="12">
        <f>IF('Données projet'!$A$166&gt;35,DO21+DN22-DW21,IF(A22&lt;'Données projet'!$A$166,$DL$205^A22,IF(A22='Données projet'!$A$166,'Données projet'!$B$166,DO21+DN22-DW21)))</f>
        <v>117.50987999999998</v>
      </c>
      <c r="DP22" s="17">
        <f>DO22*VLOOKUP('Données projet'!$B$14,Paramètres!$A$1:$I$89,3,0)*VLOOKUP('Données projet'!$B$14,Paramètres!$A$1:$I$89,5,0)</f>
        <v>76.992473375999992</v>
      </c>
      <c r="DQ22" s="13">
        <f t="shared" si="43"/>
        <v>21.40019632549436</v>
      </c>
      <c r="DR22" s="20">
        <f t="shared" si="16"/>
        <v>171.36723306343598</v>
      </c>
      <c r="DS22" s="57">
        <f t="shared" si="17"/>
        <v>385.5193273064595</v>
      </c>
      <c r="DT22" s="57">
        <f ca="1">AVERAGE(OFFSET($DS$3,0,0,'Données projet'!$E$14+1,1))-AVERAGE(OFFSET($H$3,0,0,'Données projet'!$E$14+1,1))</f>
        <v>315.23504986325418</v>
      </c>
      <c r="DU22" s="57">
        <f t="shared" si="44"/>
        <v>350.52837099886688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2.1523809523809527</v>
      </c>
      <c r="EJ22" s="12">
        <f>IF('Données projet'!$A$192&gt;35,EJ21+EI22-ER21,IF(A22&lt;'Données projet'!$A$192,$EG$205^A22,IF(A22='Données projet'!$A$192,'Données projet'!$B$192,EJ21+EI22-ER21)))</f>
        <v>40.895238095238092</v>
      </c>
      <c r="EK22" s="17">
        <f>EJ22*VLOOKUP('Données projet'!$B$15,Paramètres!$A$1:$I$89,3,0)*VLOOKUP('Données projet'!$B$15,Paramètres!$A$1:$I$89,5,0)</f>
        <v>39.553874285714286</v>
      </c>
      <c r="EL22" s="13">
        <f t="shared" si="45"/>
        <v>11.880324161724149</v>
      </c>
      <c r="EM22" s="20">
        <f t="shared" si="19"/>
        <v>89.581228962621935</v>
      </c>
      <c r="EN22" s="57">
        <f t="shared" si="20"/>
        <v>303.73332320564543</v>
      </c>
      <c r="EO22" s="57">
        <f ca="1">AVERAGE(OFFSET($EN$3,0,0,'Données projet'!$E$15+1,1))-AVERAGE(OFFSET($H$3,0,0,'Données projet'!$E$15+1,1))</f>
        <v>328.31200866623891</v>
      </c>
      <c r="EP22" s="57">
        <f t="shared" si="46"/>
        <v>195.52650232917446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>
        <f>VLOOKUP(A22,'Données projet'!$A$217:$I$237,2,0)</f>
        <v>223.4</v>
      </c>
      <c r="FC22" s="12">
        <f>VLOOKUP(A22,'Données projet'!$A$217:$I$237,9,0)</f>
        <v>3.2000000000000171</v>
      </c>
      <c r="FD22" s="12">
        <f t="array" ref="FD22">INDEX(FC:FC,MIN(IF(ISNUMBER(FC22:FC218),ROW(FC22:FC218),"")))</f>
        <v>3.2000000000000171</v>
      </c>
      <c r="FE22" s="12">
        <f>IF('Données projet'!$A$218&gt;35,FE21+FD22-FM21,IF(A22&lt;'Données projet'!$A$218,$FB$205^A22,IF(A22='Données projet'!$A$218,'Données projet'!$B$218,FE21+FD22-FM21)))</f>
        <v>223.4</v>
      </c>
      <c r="FF22" s="17">
        <f>FE22*VLOOKUP('Données projet'!$B$16,Paramètres!$A$1:$I$89,3,0)*VLOOKUP('Données projet'!$B$16,Paramètres!$A$1:$I$89,5,0)</f>
        <v>113.61230400000001</v>
      </c>
      <c r="FG22" s="13">
        <f t="shared" si="47"/>
        <v>30.180464480555425</v>
      </c>
      <c r="FH22" s="20">
        <f t="shared" si="22"/>
        <v>250.43907177030067</v>
      </c>
      <c r="FI22" s="57">
        <f t="shared" si="23"/>
        <v>464.5911660133242</v>
      </c>
      <c r="FJ22" s="57">
        <f ca="1">AVERAGE(OFFSET($FI$3,0,0,'Données projet'!$E$16+1,1))-AVERAGE(OFFSET($H$3,0,0,'Données projet'!$E$16+1,1))</f>
        <v>142.88219003619457</v>
      </c>
      <c r="FK22" s="57">
        <f t="shared" si="48"/>
        <v>288.69704547625088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7" t="e">
        <f t="shared" si="26"/>
        <v>#N/A</v>
      </c>
      <c r="GE22" s="57" t="e">
        <f ca="1">AVERAGE(OFFSET($GD$3,0,0,'Données projet'!$E$17+1,1))-AVERAGE(OFFSET($H$3,0,0,'Données projet'!$E$17+1,1))</f>
        <v>#N/A</v>
      </c>
      <c r="GF22" s="57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7" t="e">
        <f t="shared" si="29"/>
        <v>#N/A</v>
      </c>
      <c r="GZ22" s="57" t="e">
        <f ca="1">AVERAGE(OFFSET($GY$3,0,0,'Données projet'!$E$18+1,1))-AVERAGE(OFFSET($H$3,0,0,'Données projet'!$E$18+1,1))</f>
        <v>#N/A</v>
      </c>
      <c r="HA22" s="57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1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5">
        <f t="shared" si="1"/>
        <v>183.33333333333334</v>
      </c>
      <c r="I23" s="6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7">
        <f t="shared" si="0"/>
        <v>364.10308709124286</v>
      </c>
      <c r="S23" s="57">
        <f ca="1">AVERAGE(OFFSET($R$3,0,0,'Données projet'!$E$9+1,1))-AVERAGE(OFFSET($H$3,0,0,'Données projet'!$E$9+1,1))</f>
        <v>539.63700256763173</v>
      </c>
      <c r="T23" s="57">
        <f t="shared" si="34"/>
        <v>297.32483725004136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61.495200000000004</v>
      </c>
      <c r="AK23" s="13">
        <f t="shared" si="35"/>
        <v>17.545759224285259</v>
      </c>
      <c r="AL23" s="20">
        <f t="shared" si="4"/>
        <v>137.66300398229683</v>
      </c>
      <c r="AM23" s="57">
        <f t="shared" si="5"/>
        <v>354.17770686919255</v>
      </c>
      <c r="AN23" s="57">
        <f ca="1">AVERAGE(OFFSET($AM$3,0,0,'Données projet'!$E$10+1,1))-AVERAGE(OFFSET($H$3,0,0,'Données projet'!$E$10+1,1))</f>
        <v>508.21188526136734</v>
      </c>
      <c r="AO23" s="57">
        <f t="shared" si="36"/>
        <v>281.06176764290592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73.944000000000003</v>
      </c>
      <c r="BF23" s="13">
        <f t="shared" si="37"/>
        <v>20.649745460165708</v>
      </c>
      <c r="BG23" s="20">
        <f t="shared" si="7"/>
        <v>164.75077334312192</v>
      </c>
      <c r="BH23" s="57">
        <f t="shared" si="8"/>
        <v>381.26547623001761</v>
      </c>
      <c r="BI23" s="57">
        <f ca="1">AVERAGE(OFFSET($BH$3,0,0,'Données projet'!$E$11+1,1))-AVERAGE(OFFSET($H$3,0,0,'Données projet'!$E$11+1,1))</f>
        <v>449.50723280509311</v>
      </c>
      <c r="BJ23" s="57">
        <f t="shared" si="38"/>
        <v>281.26353650058275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31.6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0.30800000000000005</v>
      </c>
      <c r="BO23" s="16">
        <f>IF(ISNA(VLOOKUP(A23,'Données projet'!$A$87:$I$107,7,0)),0%,VLOOKUP(A23,'Données projet'!$A$87:$I$107,7,0))</f>
        <v>0.44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6.018643926817755</v>
      </c>
      <c r="BR23" s="21">
        <f>EXP(-LN(2)/2)*BR22+(1-EXP(-LN(2)/2))/(LN(2)/2)*BL23*BO23*VLOOKUP('Données projet'!$B$11,Paramètres!$A$1:$I$89,3,0)*0.475*44/12</f>
        <v>7.3675170807301358</v>
      </c>
      <c r="BS23" s="22">
        <f t="shared" si="9"/>
        <v>13.386161007547891</v>
      </c>
      <c r="BT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2.8</v>
      </c>
      <c r="BY23" s="12">
        <f>IF('Données projet'!$A$114&gt;35,BY22+BX23-CG22,IF(A23&lt;'Données projet'!$A$114,$BV$205^A23,IF(A23='Données projet'!$A$114,'Données projet'!$B$114,BY22+BX23-CG22)))</f>
        <v>29.92805077569761</v>
      </c>
      <c r="BZ23" s="13">
        <f>BY23*VLOOKUP('Données projet'!$B$12,Paramètres!$A$1:$I$89,3,0)*VLOOKUP('Données projet'!$B$12,Paramètres!$A$1:$I$89,5,0)</f>
        <v>28.479533118153846</v>
      </c>
      <c r="CA23" s="13">
        <f t="shared" si="39"/>
        <v>8.8874527477905296</v>
      </c>
      <c r="CB23" s="20">
        <f t="shared" si="10"/>
        <v>65.080833716519777</v>
      </c>
      <c r="CC23" s="57">
        <f t="shared" si="11"/>
        <v>281.5955366034155</v>
      </c>
      <c r="CD23" s="57">
        <f ca="1">AVERAGE(OFFSET($CC$3,0,0,'Données projet'!$E$12+1,1))-AVERAGE(OFFSET($H$3,0,0,'Données projet'!$E$12+1,1))</f>
        <v>479.4551766174892</v>
      </c>
      <c r="CE23" s="57">
        <f t="shared" si="40"/>
        <v>260.29028006191834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28.833333333333332</v>
      </c>
      <c r="CT23" s="12">
        <f>IF('Données projet'!$A$140&gt;35,CT22+CS23-DB22,IF(A23&lt;'Données projet'!$A$140,$CQ$205^A23,IF(A23='Données projet'!$A$140,'Données projet'!$B$140,CT22+CS23-DB22)))</f>
        <v>190.83333333333334</v>
      </c>
      <c r="CU23" s="17">
        <f>CT23*VLOOKUP('Données projet'!$B$13,Paramètres!$A$1:$I$89,3,0)*VLOOKUP('Données projet'!$B$13,Paramètres!$A$1:$I$89,5,0)</f>
        <v>106.67583333333334</v>
      </c>
      <c r="CV23" s="13">
        <f t="shared" si="41"/>
        <v>28.546391754319739</v>
      </c>
      <c r="CW23" s="20">
        <f t="shared" si="13"/>
        <v>235.51204202766243</v>
      </c>
      <c r="CX23" s="57">
        <f t="shared" si="14"/>
        <v>452.02674491455815</v>
      </c>
      <c r="CY23" s="57">
        <f ca="1">AVERAGE(OFFSET($CX$3,0,0,'Données projet'!$E$13+1,1))-AVERAGE(OFFSET($H$3,0,0,'Données projet'!$E$13+1,1))</f>
        <v>459.83870442974046</v>
      </c>
      <c r="CZ23" s="57">
        <f t="shared" si="42"/>
        <v>565.68976940602215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9.4627199999999974</v>
      </c>
      <c r="DO23" s="12">
        <f>IF('Données projet'!$A$166&gt;35,DO22+DN23-DW22,IF(A23&lt;'Données projet'!$A$166,$DL$205^A23,IF(A23='Données projet'!$A$166,'Données projet'!$B$166,DO22+DN23-DW22)))</f>
        <v>126.97259999999997</v>
      </c>
      <c r="DP23" s="17">
        <f>DO23*VLOOKUP('Données projet'!$B$14,Paramètres!$A$1:$I$89,3,0)*VLOOKUP('Données projet'!$B$14,Paramètres!$A$1:$I$89,5,0)</f>
        <v>83.192447519999973</v>
      </c>
      <c r="DQ23" s="13">
        <f t="shared" si="43"/>
        <v>22.915967632617768</v>
      </c>
      <c r="DR23" s="20">
        <f t="shared" si="16"/>
        <v>184.80548972414252</v>
      </c>
      <c r="DS23" s="57">
        <f t="shared" si="17"/>
        <v>401.32019261103824</v>
      </c>
      <c r="DT23" s="57">
        <f ca="1">AVERAGE(OFFSET($DS$3,0,0,'Données projet'!$E$14+1,1))-AVERAGE(OFFSET($H$3,0,0,'Données projet'!$E$14+1,1))</f>
        <v>315.23504986325418</v>
      </c>
      <c r="DU23" s="57">
        <f t="shared" si="44"/>
        <v>350.52837099886688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2.1523809523809527</v>
      </c>
      <c r="EJ23" s="12">
        <f>IF('Données projet'!$A$192&gt;35,EJ22+EI23-ER22,IF(A23&lt;'Données projet'!$A$192,$EG$205^A23,IF(A23='Données projet'!$A$192,'Données projet'!$B$192,EJ22+EI23-ER22)))</f>
        <v>43.047619047619044</v>
      </c>
      <c r="EK23" s="17">
        <f>EJ23*VLOOKUP('Données projet'!$B$15,Paramètres!$A$1:$I$89,3,0)*VLOOKUP('Données projet'!$B$15,Paramètres!$A$1:$I$89,5,0)</f>
        <v>41.635657142857141</v>
      </c>
      <c r="EL23" s="13">
        <f t="shared" si="45"/>
        <v>12.431161629085675</v>
      </c>
      <c r="EM23" s="20">
        <f t="shared" si="19"/>
        <v>94.16637602780041</v>
      </c>
      <c r="EN23" s="57">
        <f t="shared" si="20"/>
        <v>310.68107891469612</v>
      </c>
      <c r="EO23" s="57">
        <f ca="1">AVERAGE(OFFSET($EN$3,0,0,'Données projet'!$E$15+1,1))-AVERAGE(OFFSET($H$3,0,0,'Données projet'!$E$15+1,1))</f>
        <v>328.31200866623891</v>
      </c>
      <c r="EP23" s="57">
        <f t="shared" si="46"/>
        <v>195.52650232917446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225.3</v>
      </c>
      <c r="FC23" s="12">
        <f>VLOOKUP(A23,'Données projet'!$A$217:$I$237,9,0)</f>
        <v>1.9000000000000057</v>
      </c>
      <c r="FD23" s="12">
        <f t="array" ref="FD23">INDEX(FC:FC,MIN(IF(ISNUMBER(FC23:FC219),ROW(FC23:FC219),"")))</f>
        <v>1.9000000000000057</v>
      </c>
      <c r="FE23" s="12">
        <f>IF('Données projet'!$A$218&gt;35,FE22+FD23-FM22,IF(A23&lt;'Données projet'!$A$218,$FB$205^A23,IF(A23='Données projet'!$A$218,'Données projet'!$B$218,FE22+FD23-FM22)))</f>
        <v>225.3</v>
      </c>
      <c r="FF23" s="17">
        <f>FE23*VLOOKUP('Données projet'!$B$16,Paramètres!$A$1:$I$89,3,0)*VLOOKUP('Données projet'!$B$16,Paramètres!$A$1:$I$89,5,0)</f>
        <v>114.578568</v>
      </c>
      <c r="FG23" s="13">
        <f t="shared" si="47"/>
        <v>30.40715727351218</v>
      </c>
      <c r="FH23" s="20">
        <f t="shared" si="22"/>
        <v>252.51680485136703</v>
      </c>
      <c r="FI23" s="57">
        <f t="shared" si="23"/>
        <v>469.03150773826275</v>
      </c>
      <c r="FJ23" s="57">
        <f ca="1">AVERAGE(OFFSET($FI$3,0,0,'Données projet'!$E$16+1,1))-AVERAGE(OFFSET($H$3,0,0,'Données projet'!$E$16+1,1))</f>
        <v>142.88219003619457</v>
      </c>
      <c r="FK23" s="57">
        <f t="shared" si="48"/>
        <v>288.69704547625088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7" t="e">
        <f t="shared" si="26"/>
        <v>#N/A</v>
      </c>
      <c r="GE23" s="57" t="e">
        <f ca="1">AVERAGE(OFFSET($GD$3,0,0,'Données projet'!$E$17+1,1))-AVERAGE(OFFSET($H$3,0,0,'Données projet'!$E$17+1,1))</f>
        <v>#N/A</v>
      </c>
      <c r="GF23" s="57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7" t="e">
        <f t="shared" si="29"/>
        <v>#N/A</v>
      </c>
      <c r="GZ23" s="57" t="e">
        <f ca="1">AVERAGE(OFFSET($GY$3,0,0,'Données projet'!$E$18+1,1))-AVERAGE(OFFSET($H$3,0,0,'Données projet'!$E$18+1,1))</f>
        <v>#N/A</v>
      </c>
      <c r="HA23" s="57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1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5">
        <f t="shared" si="1"/>
        <v>183.33333333333334</v>
      </c>
      <c r="I24" s="6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67.136160000000004</v>
      </c>
      <c r="P24" s="13">
        <f t="shared" si="33"/>
        <v>18.960545405756019</v>
      </c>
      <c r="Q24" s="20">
        <f t="shared" si="2"/>
        <v>149.95176191502506</v>
      </c>
      <c r="R24" s="57">
        <f t="shared" si="0"/>
        <v>368.80929029089941</v>
      </c>
      <c r="S24" s="57">
        <f ca="1">AVERAGE(OFFSET($R$3,0,0,'Données projet'!$E$9+1,1))-AVERAGE(OFFSET($H$3,0,0,'Données projet'!$E$9+1,1))</f>
        <v>539.63700256763173</v>
      </c>
      <c r="T24" s="57">
        <f t="shared" si="34"/>
        <v>297.32483725004136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62.506080000000011</v>
      </c>
      <c r="AK24" s="13">
        <f t="shared" si="35"/>
        <v>17.800367834870475</v>
      </c>
      <c r="AL24" s="20">
        <f t="shared" si="4"/>
        <v>139.86706331239944</v>
      </c>
      <c r="AM24" s="57">
        <f t="shared" si="5"/>
        <v>358.72459168827379</v>
      </c>
      <c r="AN24" s="57">
        <f ca="1">AVERAGE(OFFSET($AM$3,0,0,'Données projet'!$E$10+1,1))-AVERAGE(OFFSET($H$3,0,0,'Données projet'!$E$10+1,1))</f>
        <v>508.21188526136734</v>
      </c>
      <c r="AO24" s="57">
        <f t="shared" si="36"/>
        <v>281.06176764290592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9.16</v>
      </c>
      <c r="BD24" s="12">
        <f>IF('Données projet'!$A$88&gt;35,BD23+BC24-BL23,IF(A24&lt;'Données projet'!$A$88,$BA$205^A24,IF(A24='Données projet'!$A$88,'Données projet'!$B$88,BD23+BC24-BL23)))</f>
        <v>135.56</v>
      </c>
      <c r="BE24" s="13">
        <f>BD24*VLOOKUP('Données projet'!$B$11,Paramètres!$A$1:$I$89,3,0)*VLOOKUP('Données projet'!$B$11,Paramètres!$A$1:$I$89,5,0)</f>
        <v>63.442080000000004</v>
      </c>
      <c r="BF24" s="13">
        <f t="shared" si="37"/>
        <v>18.035689386391009</v>
      </c>
      <c r="BG24" s="20">
        <f t="shared" si="7"/>
        <v>141.90711501463102</v>
      </c>
      <c r="BH24" s="57">
        <f t="shared" si="8"/>
        <v>360.7646433905054</v>
      </c>
      <c r="BI24" s="57">
        <f ca="1">AVERAGE(OFFSET($BH$3,0,0,'Données projet'!$E$11+1,1))-AVERAGE(OFFSET($H$3,0,0,'Données projet'!$E$11+1,1))</f>
        <v>449.50723280509311</v>
      </c>
      <c r="BJ24" s="57">
        <f t="shared" si="38"/>
        <v>281.26353650058275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5.8540637921321954</v>
      </c>
      <c r="BR24" s="21">
        <f>EXP(-LN(2)/2)*BR23+(1-EXP(-LN(2)/2))/(LN(2)/2)*BL24*BO24*VLOOKUP('Données projet'!$B$11,Paramètres!$A$1:$I$89,3,0)*0.475*44/12</f>
        <v>5.2096212882919959</v>
      </c>
      <c r="BS24" s="22">
        <f t="shared" si="9"/>
        <v>11.063685080424191</v>
      </c>
      <c r="BT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2.8</v>
      </c>
      <c r="BY24" s="12">
        <f>IF('Données projet'!$A$114&gt;35,BY23+BX24-CG23,IF(A24&lt;'Données projet'!$A$114,$BV$205^A24,IF(A24='Données projet'!$A$114,'Données projet'!$B$114,BY23+BX24-CG23)))</f>
        <v>35.471728656111772</v>
      </c>
      <c r="BZ24" s="13">
        <f>BY24*VLOOKUP('Données projet'!$B$12,Paramètres!$A$1:$I$89,3,0)*VLOOKUP('Données projet'!$B$12,Paramètres!$A$1:$I$89,5,0)</f>
        <v>33.754896989155966</v>
      </c>
      <c r="CA24" s="13">
        <f t="shared" si="39"/>
        <v>10.327386955361005</v>
      </c>
      <c r="CB24" s="20">
        <f t="shared" si="10"/>
        <v>76.776644536700402</v>
      </c>
      <c r="CC24" s="57">
        <f t="shared" si="11"/>
        <v>295.6341729125748</v>
      </c>
      <c r="CD24" s="57">
        <f ca="1">AVERAGE(OFFSET($CC$3,0,0,'Données projet'!$E$12+1,1))-AVERAGE(OFFSET($H$3,0,0,'Données projet'!$E$12+1,1))</f>
        <v>479.4551766174892</v>
      </c>
      <c r="CE24" s="57">
        <f t="shared" si="40"/>
        <v>260.29028006191834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28.833333333333332</v>
      </c>
      <c r="CT24" s="12">
        <f>IF('Données projet'!$A$140&gt;35,CT23+CS24-DB23,IF(A24&lt;'Données projet'!$A$140,$CQ$205^A24,IF(A24='Données projet'!$A$140,'Données projet'!$B$140,CT23+CS24-DB23)))</f>
        <v>219.66666666666669</v>
      </c>
      <c r="CU24" s="17">
        <f>CT24*VLOOKUP('Données projet'!$B$13,Paramètres!$A$1:$I$89,3,0)*VLOOKUP('Données projet'!$B$13,Paramètres!$A$1:$I$89,5,0)</f>
        <v>122.79366666666668</v>
      </c>
      <c r="CV24" s="13">
        <f t="shared" si="41"/>
        <v>32.32570088253398</v>
      </c>
      <c r="CW24" s="20">
        <f t="shared" si="13"/>
        <v>270.16623181485778</v>
      </c>
      <c r="CX24" s="57">
        <f t="shared" si="14"/>
        <v>489.02376019073216</v>
      </c>
      <c r="CY24" s="57">
        <f ca="1">AVERAGE(OFFSET($CX$3,0,0,'Données projet'!$E$13+1,1))-AVERAGE(OFFSET($H$3,0,0,'Données projet'!$E$13+1,1))</f>
        <v>459.83870442974046</v>
      </c>
      <c r="CZ24" s="57">
        <f t="shared" si="42"/>
        <v>565.68976940602215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9.4627199999999974</v>
      </c>
      <c r="DO24" s="12">
        <f>IF('Données projet'!$A$166&gt;35,DO23+DN24-DW23,IF(A24&lt;'Données projet'!$A$166,$DL$205^A24,IF(A24='Données projet'!$A$166,'Données projet'!$B$166,DO23+DN24-DW23)))</f>
        <v>136.43531999999996</v>
      </c>
      <c r="DP24" s="17">
        <f>DO24*VLOOKUP('Données projet'!$B$14,Paramètres!$A$1:$I$89,3,0)*VLOOKUP('Données projet'!$B$14,Paramètres!$A$1:$I$89,5,0)</f>
        <v>89.392421663999968</v>
      </c>
      <c r="DQ24" s="13">
        <f t="shared" si="43"/>
        <v>24.418634011550449</v>
      </c>
      <c r="DR24" s="20">
        <f t="shared" si="16"/>
        <v>198.22092196825031</v>
      </c>
      <c r="DS24" s="57">
        <f t="shared" si="17"/>
        <v>417.07845034412469</v>
      </c>
      <c r="DT24" s="57">
        <f ca="1">AVERAGE(OFFSET($DS$3,0,0,'Données projet'!$E$14+1,1))-AVERAGE(OFFSET($H$3,0,0,'Données projet'!$E$14+1,1))</f>
        <v>315.23504986325418</v>
      </c>
      <c r="DU24" s="57">
        <f t="shared" si="44"/>
        <v>350.52837099886688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2.1523809523809527</v>
      </c>
      <c r="EJ24" s="12">
        <f>IF('Données projet'!$A$192&gt;35,EJ23+EI24-ER23,IF(A24&lt;'Données projet'!$A$192,$EG$205^A24,IF(A24='Données projet'!$A$192,'Données projet'!$B$192,EJ23+EI24-ER23)))</f>
        <v>45.199999999999996</v>
      </c>
      <c r="EK24" s="17">
        <f>EJ24*VLOOKUP('Données projet'!$B$15,Paramètres!$A$1:$I$89,3,0)*VLOOKUP('Données projet'!$B$15,Paramètres!$A$1:$I$89,5,0)</f>
        <v>43.717439999999996</v>
      </c>
      <c r="EL24" s="13">
        <f t="shared" si="45"/>
        <v>12.978801126616625</v>
      </c>
      <c r="EM24" s="20">
        <f t="shared" si="19"/>
        <v>98.745953295523933</v>
      </c>
      <c r="EN24" s="57">
        <f t="shared" si="20"/>
        <v>317.6034816713983</v>
      </c>
      <c r="EO24" s="57">
        <f ca="1">AVERAGE(OFFSET($EN$3,0,0,'Données projet'!$E$15+1,1))-AVERAGE(OFFSET($H$3,0,0,'Données projet'!$E$15+1,1))</f>
        <v>328.31200866623891</v>
      </c>
      <c r="EP24" s="57">
        <f t="shared" si="46"/>
        <v>195.52650232917446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>
        <f>VLOOKUP(A24,'Données projet'!$A$217:$I$237,2,0)</f>
        <v>225.9</v>
      </c>
      <c r="FC24" s="12">
        <f>VLOOKUP(A24,'Données projet'!$A$217:$I$237,9,0)</f>
        <v>0.59999999999999432</v>
      </c>
      <c r="FD24" s="12">
        <f t="array" ref="FD24">INDEX(FC:FC,MIN(IF(ISNUMBER(FC24:FC220),ROW(FC24:FC220),"")))</f>
        <v>0.59999999999999432</v>
      </c>
      <c r="FE24" s="12">
        <f>IF('Données projet'!$A$218&gt;35,FE23+FD24-FM23,IF(A24&lt;'Données projet'!$A$218,$FB$205^A24,IF(A24='Données projet'!$A$218,'Données projet'!$B$218,FE23+FD24-FM23)))</f>
        <v>225.9</v>
      </c>
      <c r="FF24" s="17">
        <f>FE24*VLOOKUP('Données projet'!$B$16,Paramètres!$A$1:$I$89,3,0)*VLOOKUP('Données projet'!$B$16,Paramètres!$A$1:$I$89,5,0)</f>
        <v>114.88370400000001</v>
      </c>
      <c r="FG24" s="13">
        <f t="shared" si="47"/>
        <v>30.478698162895654</v>
      </c>
      <c r="FH24" s="20">
        <f t="shared" si="22"/>
        <v>253.1728504337099</v>
      </c>
      <c r="FI24" s="57">
        <f t="shared" si="23"/>
        <v>472.03037880958425</v>
      </c>
      <c r="FJ24" s="57">
        <f ca="1">AVERAGE(OFFSET($FI$3,0,0,'Données projet'!$E$16+1,1))-AVERAGE(OFFSET($H$3,0,0,'Données projet'!$E$16+1,1))</f>
        <v>142.88219003619457</v>
      </c>
      <c r="FK24" s="57">
        <f t="shared" si="48"/>
        <v>288.69704547625088</v>
      </c>
      <c r="FL24" s="15" t="str">
        <f>IF(ISNA(VLOOKUP(A24,'Données projet'!$A$217:$I$237,3,0)),0,VLOOKUP(A24,'Données projet'!$A$217:$I$237,3,0))</f>
        <v>CR</v>
      </c>
      <c r="FM24" s="15">
        <f>IF(ISNA(VLOOKUP(A24,'Données projet'!$A$217:$I$237,4,0)),0,VLOOKUP(A24,'Données projet'!$A$217:$I$237,4,0))</f>
        <v>225.9</v>
      </c>
      <c r="FN24" s="16">
        <f>IF(ISNA(VLOOKUP(A24,'Données projet'!$A$217:$I$237,5,0)),0%,VLOOKUP(A24,'Données projet'!$A$217:$I$237,5,0)*VLOOKUP('Données projet'!$B$16,Paramètres!$A$1:$I$89,7,0))</f>
        <v>0.46199999999999997</v>
      </c>
      <c r="FO24" s="16">
        <f>IF(ISNA(VLOOKUP(A24,'Données projet'!$A$217:$I$237,6,0)),0%,VLOOKUP(A24,'Données projet'!$A$217:$I$237,6,0)*VLOOKUP('Données projet'!$B$16,Paramètres!$A$1:$I$89,7,0))</f>
        <v>0.126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58.674245720720364</v>
      </c>
      <c r="FR24" s="21">
        <f>EXP(-LN(2)/25)*FR23+(1-EXP(-LN(2)/25))/(LN(2)/25)*Calculateur!FM24*Calculateur!FO24*VLOOKUP('Données projet'!$B$16,Paramètres!$A$1:$I$89,3,0)*0.475*44/12</f>
        <v>15.939060779639329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74.613306500359698</v>
      </c>
      <c r="FU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7" t="e">
        <f t="shared" si="26"/>
        <v>#N/A</v>
      </c>
      <c r="GE24" s="57" t="e">
        <f ca="1">AVERAGE(OFFSET($GD$3,0,0,'Données projet'!$E$17+1,1))-AVERAGE(OFFSET($H$3,0,0,'Données projet'!$E$17+1,1))</f>
        <v>#N/A</v>
      </c>
      <c r="GF24" s="57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7" t="e">
        <f t="shared" si="29"/>
        <v>#N/A</v>
      </c>
      <c r="GZ24" s="57" t="e">
        <f ca="1">AVERAGE(OFFSET($GY$3,0,0,'Données projet'!$E$18+1,1))-AVERAGE(OFFSET($H$3,0,0,'Données projet'!$E$18+1,1))</f>
        <v>#N/A</v>
      </c>
      <c r="HA24" s="57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1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5">
        <f t="shared" si="1"/>
        <v>183.33333333333334</v>
      </c>
      <c r="I25" s="6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73.650720000000007</v>
      </c>
      <c r="P25" s="13">
        <f t="shared" si="33"/>
        <v>20.577360172493922</v>
      </c>
      <c r="Q25" s="20">
        <f t="shared" si="2"/>
        <v>164.11390630042692</v>
      </c>
      <c r="R25" s="57">
        <f t="shared" si="0"/>
        <v>385.29482020389531</v>
      </c>
      <c r="S25" s="57">
        <f ca="1">AVERAGE(OFFSET($R$3,0,0,'Données projet'!$E$9+1,1))-AVERAGE(OFFSET($H$3,0,0,'Données projet'!$E$9+1,1))</f>
        <v>539.63700256763173</v>
      </c>
      <c r="T25" s="57">
        <f t="shared" si="34"/>
        <v>297.32483725004136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68.571360000000013</v>
      </c>
      <c r="AK25" s="13">
        <f t="shared" si="35"/>
        <v>19.318251258205343</v>
      </c>
      <c r="AL25" s="20">
        <f t="shared" si="4"/>
        <v>153.07440627470763</v>
      </c>
      <c r="AM25" s="57">
        <f t="shared" si="5"/>
        <v>374.25532017817602</v>
      </c>
      <c r="AN25" s="57">
        <f ca="1">AVERAGE(OFFSET($AM$3,0,0,'Données projet'!$E$10+1,1))-AVERAGE(OFFSET($H$3,0,0,'Données projet'!$E$10+1,1))</f>
        <v>508.21188526136734</v>
      </c>
      <c r="AO25" s="57">
        <f t="shared" si="36"/>
        <v>281.06176764290592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9.16</v>
      </c>
      <c r="BD25" s="12">
        <f>IF('Données projet'!$A$88&gt;35,BD24+BC25-BL24,IF(A25&lt;'Données projet'!$A$88,$BA$205^A25,IF(A25='Données projet'!$A$88,'Données projet'!$B$88,BD24+BC25-BL24)))</f>
        <v>144.72</v>
      </c>
      <c r="BE25" s="13">
        <f>BD25*VLOOKUP('Données projet'!$B$11,Paramètres!$A$1:$I$89,3,0)*VLOOKUP('Données projet'!$B$11,Paramètres!$A$1:$I$89,5,0)</f>
        <v>67.728960000000001</v>
      </c>
      <c r="BF25" s="13">
        <f t="shared" si="37"/>
        <v>19.108400305729717</v>
      </c>
      <c r="BG25" s="20">
        <f t="shared" si="7"/>
        <v>151.24173586581256</v>
      </c>
      <c r="BH25" s="57">
        <f t="shared" si="8"/>
        <v>372.42264976928095</v>
      </c>
      <c r="BI25" s="57">
        <f ca="1">AVERAGE(OFFSET($BH$3,0,0,'Données projet'!$E$11+1,1))-AVERAGE(OFFSET($H$3,0,0,'Données projet'!$E$11+1,1))</f>
        <v>449.50723280509311</v>
      </c>
      <c r="BJ25" s="57">
        <f t="shared" si="38"/>
        <v>281.26353650058275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5.6939841098845054</v>
      </c>
      <c r="BR25" s="21">
        <f>EXP(-LN(2)/2)*BR24+(1-EXP(-LN(2)/2))/(LN(2)/2)*BL25*BO25*VLOOKUP('Données projet'!$B$11,Paramètres!$A$1:$I$89,3,0)*0.475*44/12</f>
        <v>3.6837585403650683</v>
      </c>
      <c r="BS25" s="22">
        <f t="shared" si="9"/>
        <v>9.3777426502495729</v>
      </c>
      <c r="BT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2.8</v>
      </c>
      <c r="BY25" s="12">
        <f>IF('Données projet'!$A$114&gt;35,BY24+BX25-CG24,IF(A25&lt;'Données projet'!$A$114,$BV$205^A25,IF(A25='Données projet'!$A$114,'Données projet'!$B$114,BY24+BX25-CG24)))</f>
        <v>42.042281446359659</v>
      </c>
      <c r="BZ25" s="13">
        <f>BY25*VLOOKUP('Données projet'!$B$12,Paramètres!$A$1:$I$89,3,0)*VLOOKUP('Données projet'!$B$12,Paramètres!$A$1:$I$89,5,0)</f>
        <v>40.00743502435585</v>
      </c>
      <c r="CA25" s="13">
        <f t="shared" si="39"/>
        <v>12.000617539404164</v>
      </c>
      <c r="CB25" s="20">
        <f t="shared" si="10"/>
        <v>90.5806915485487</v>
      </c>
      <c r="CC25" s="57">
        <f t="shared" si="11"/>
        <v>311.76160545201708</v>
      </c>
      <c r="CD25" s="57">
        <f ca="1">AVERAGE(OFFSET($CC$3,0,0,'Données projet'!$E$12+1,1))-AVERAGE(OFFSET($H$3,0,0,'Données projet'!$E$12+1,1))</f>
        <v>479.4551766174892</v>
      </c>
      <c r="CE25" s="57">
        <f t="shared" si="40"/>
        <v>260.29028006191834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28.833333333333332</v>
      </c>
      <c r="CT25" s="12">
        <f>IF('Données projet'!$A$140&gt;35,CT24+CS25-DB24,IF(A25&lt;'Données projet'!$A$140,$CQ$205^A25,IF(A25='Données projet'!$A$140,'Données projet'!$B$140,CT24+CS25-DB24)))</f>
        <v>248.50000000000003</v>
      </c>
      <c r="CU25" s="17">
        <f>CT25*VLOOKUP('Données projet'!$B$13,Paramètres!$A$1:$I$89,3,0)*VLOOKUP('Données projet'!$B$13,Paramètres!$A$1:$I$89,5,0)</f>
        <v>138.91150000000002</v>
      </c>
      <c r="CV25" s="13">
        <f t="shared" si="41"/>
        <v>36.047532265727178</v>
      </c>
      <c r="CW25" s="20">
        <f t="shared" si="13"/>
        <v>304.72031452947482</v>
      </c>
      <c r="CX25" s="57">
        <f t="shared" si="14"/>
        <v>525.90122843294318</v>
      </c>
      <c r="CY25" s="57">
        <f ca="1">AVERAGE(OFFSET($CX$3,0,0,'Données projet'!$E$13+1,1))-AVERAGE(OFFSET($H$3,0,0,'Données projet'!$E$13+1,1))</f>
        <v>459.83870442974046</v>
      </c>
      <c r="CZ25" s="57">
        <f t="shared" si="42"/>
        <v>565.68976940602215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9.4627199999999974</v>
      </c>
      <c r="DO25" s="12">
        <f>IF('Données projet'!$A$166&gt;35,DO24+DN25-DW24,IF(A25&lt;'Données projet'!$A$166,$DL$205^A25,IF(A25='Données projet'!$A$166,'Données projet'!$B$166,DO24+DN25-DW24)))</f>
        <v>145.89803999999995</v>
      </c>
      <c r="DP25" s="17">
        <f>DO25*VLOOKUP('Données projet'!$B$14,Paramètres!$A$1:$I$89,3,0)*VLOOKUP('Données projet'!$B$14,Paramètres!$A$1:$I$89,5,0)</f>
        <v>95.592395807999964</v>
      </c>
      <c r="DQ25" s="13">
        <f t="shared" si="43"/>
        <v>25.909207770761206</v>
      </c>
      <c r="DR25" s="20">
        <f t="shared" si="16"/>
        <v>211.61529289967572</v>
      </c>
      <c r="DS25" s="57">
        <f t="shared" si="17"/>
        <v>432.79620680314412</v>
      </c>
      <c r="DT25" s="57">
        <f ca="1">AVERAGE(OFFSET($DS$3,0,0,'Données projet'!$E$14+1,1))-AVERAGE(OFFSET($H$3,0,0,'Données projet'!$E$14+1,1))</f>
        <v>315.23504986325418</v>
      </c>
      <c r="DU25" s="57">
        <f t="shared" si="44"/>
        <v>350.52837099886688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2.1523809523809527</v>
      </c>
      <c r="EJ25" s="12">
        <f>IF('Données projet'!$A$192&gt;35,EJ24+EI25-ER24,IF(A25&lt;'Données projet'!$A$192,$EG$205^A25,IF(A25='Données projet'!$A$192,'Données projet'!$B$192,EJ24+EI25-ER24)))</f>
        <v>47.352380952380948</v>
      </c>
      <c r="EK25" s="17">
        <f>EJ25*VLOOKUP('Données projet'!$B$15,Paramètres!$A$1:$I$89,3,0)*VLOOKUP('Données projet'!$B$15,Paramètres!$A$1:$I$89,5,0)</f>
        <v>45.799222857142858</v>
      </c>
      <c r="EL25" s="13">
        <f t="shared" si="45"/>
        <v>13.523412325360152</v>
      </c>
      <c r="EM25" s="20">
        <f t="shared" si="19"/>
        <v>103.32025627619272</v>
      </c>
      <c r="EN25" s="57">
        <f t="shared" si="20"/>
        <v>324.50117017966113</v>
      </c>
      <c r="EO25" s="57">
        <f ca="1">AVERAGE(OFFSET($EN$3,0,0,'Données projet'!$E$15+1,1))-AVERAGE(OFFSET($H$3,0,0,'Données projet'!$E$15+1,1))</f>
        <v>328.31200866623891</v>
      </c>
      <c r="EP25" s="57">
        <f t="shared" si="46"/>
        <v>195.52650232917446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>
        <f>FE25*VLOOKUP('Données projet'!$B$16,Paramètres!$A$1:$I$89,3,0)*VLOOKUP('Données projet'!$B$16,Paramètres!$A$1:$I$89,5,0)</f>
        <v>0</v>
      </c>
      <c r="FG25" s="13" t="e">
        <f t="shared" si="47"/>
        <v>#NUM!</v>
      </c>
      <c r="FH25" s="20" t="e">
        <f t="shared" si="22"/>
        <v>#NUM!</v>
      </c>
      <c r="FI25" s="57" t="e">
        <f t="shared" si="23"/>
        <v>#NUM!</v>
      </c>
      <c r="FJ25" s="57">
        <f ca="1">AVERAGE(OFFSET($FI$3,0,0,'Données projet'!$E$16+1,1))-AVERAGE(OFFSET($H$3,0,0,'Données projet'!$E$16+1,1))</f>
        <v>142.88219003619457</v>
      </c>
      <c r="FK25" s="57">
        <f t="shared" si="48"/>
        <v>288.69704547625088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57.523679549893181</v>
      </c>
      <c r="FR25" s="21">
        <f>EXP(-LN(2)/25)*FR24+(1-EXP(-LN(2)/25))/(LN(2)/25)*Calculateur!FM25*Calculateur!FO25*VLOOKUP('Données projet'!$B$16,Paramètres!$A$1:$I$89,3,0)*0.475*44/12</f>
        <v>15.503206324421313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73.026885874314502</v>
      </c>
      <c r="FU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7" t="e">
        <f t="shared" si="26"/>
        <v>#N/A</v>
      </c>
      <c r="GE25" s="57" t="e">
        <f ca="1">AVERAGE(OFFSET($GD$3,0,0,'Données projet'!$E$17+1,1))-AVERAGE(OFFSET($H$3,0,0,'Données projet'!$E$17+1,1))</f>
        <v>#N/A</v>
      </c>
      <c r="GF25" s="57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7" t="e">
        <f t="shared" si="29"/>
        <v>#N/A</v>
      </c>
      <c r="GZ25" s="57" t="e">
        <f ca="1">AVERAGE(OFFSET($GY$3,0,0,'Données projet'!$E$18+1,1))-AVERAGE(OFFSET($H$3,0,0,'Données projet'!$E$18+1,1))</f>
        <v>#N/A</v>
      </c>
      <c r="HA25" s="57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1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5">
        <f t="shared" si="1"/>
        <v>183.33333333333334</v>
      </c>
      <c r="I26" s="6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80.165279999999996</v>
      </c>
      <c r="P26" s="13">
        <f t="shared" si="33"/>
        <v>22.177591092468788</v>
      </c>
      <c r="Q26" s="20">
        <f t="shared" si="2"/>
        <v>178.24716715271646</v>
      </c>
      <c r="R26" s="57">
        <f t="shared" si="0"/>
        <v>401.73236386226296</v>
      </c>
      <c r="S26" s="57">
        <f ca="1">AVERAGE(OFFSET($R$3,0,0,'Données projet'!$E$9+1,1))-AVERAGE(OFFSET($H$3,0,0,'Données projet'!$E$9+1,1))</f>
        <v>539.63700256763173</v>
      </c>
      <c r="T26" s="57">
        <f t="shared" si="34"/>
        <v>297.32483725004136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74.636640000000014</v>
      </c>
      <c r="AK26" s="13">
        <f t="shared" si="35"/>
        <v>20.82056558443978</v>
      </c>
      <c r="AL26" s="20">
        <f t="shared" si="4"/>
        <v>166.25463305956598</v>
      </c>
      <c r="AM26" s="57">
        <f t="shared" si="5"/>
        <v>389.73982976911248</v>
      </c>
      <c r="AN26" s="57">
        <f ca="1">AVERAGE(OFFSET($AM$3,0,0,'Données projet'!$E$10+1,1))-AVERAGE(OFFSET($H$3,0,0,'Données projet'!$E$10+1,1))</f>
        <v>508.21188526136734</v>
      </c>
      <c r="AO26" s="57">
        <f t="shared" si="36"/>
        <v>281.06176764290592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9.16</v>
      </c>
      <c r="BD26" s="12">
        <f>IF('Données projet'!$A$88&gt;35,BD25+BC26-BL25,IF(A26&lt;'Données projet'!$A$88,$BA$205^A26,IF(A26='Données projet'!$A$88,'Données projet'!$B$88,BD25+BC26-BL25)))</f>
        <v>153.88</v>
      </c>
      <c r="BE26" s="13">
        <f>BD26*VLOOKUP('Données projet'!$B$11,Paramètres!$A$1:$I$89,3,0)*VLOOKUP('Données projet'!$B$11,Paramètres!$A$1:$I$89,5,0)</f>
        <v>72.015839999999997</v>
      </c>
      <c r="BF26" s="13">
        <f t="shared" si="37"/>
        <v>20.173231521410678</v>
      </c>
      <c r="BG26" s="20">
        <f t="shared" si="7"/>
        <v>160.56263289979026</v>
      </c>
      <c r="BH26" s="57">
        <f t="shared" si="8"/>
        <v>384.04782960933676</v>
      </c>
      <c r="BI26" s="57">
        <f ca="1">AVERAGE(OFFSET($BH$3,0,0,'Données projet'!$E$11+1,1))-AVERAGE(OFFSET($H$3,0,0,'Données projet'!$E$11+1,1))</f>
        <v>449.50723280509311</v>
      </c>
      <c r="BJ26" s="57">
        <f t="shared" si="38"/>
        <v>281.26353650058275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5.5382818149661031</v>
      </c>
      <c r="BR26" s="21">
        <f>EXP(-LN(2)/2)*BR25+(1-EXP(-LN(2)/2))/(LN(2)/2)*BL26*BO26*VLOOKUP('Données projet'!$B$11,Paramètres!$A$1:$I$89,3,0)*0.475*44/12</f>
        <v>2.6048106441459984</v>
      </c>
      <c r="BS26" s="22">
        <f t="shared" si="9"/>
        <v>8.1430924591121006</v>
      </c>
      <c r="BT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2.8</v>
      </c>
      <c r="BY26" s="12">
        <f>IF('Données projet'!$A$114&gt;35,BY25+BX26-CG25,IF(A26&lt;'Données projet'!$A$114,$BV$205^A26,IF(A26='Données projet'!$A$114,'Données projet'!$B$114,BY25+BX26-CG25)))</f>
        <v>49.82992078990118</v>
      </c>
      <c r="BZ26" s="13">
        <f>BY26*VLOOKUP('Données projet'!$B$12,Paramètres!$A$1:$I$89,3,0)*VLOOKUP('Données projet'!$B$12,Paramètres!$A$1:$I$89,5,0)</f>
        <v>47.418152623669961</v>
      </c>
      <c r="CA26" s="13">
        <f t="shared" si="39"/>
        <v>13.944942893061231</v>
      </c>
      <c r="CB26" s="20">
        <f t="shared" si="10"/>
        <v>106.87405802497348</v>
      </c>
      <c r="CC26" s="57">
        <f t="shared" si="11"/>
        <v>330.35925473451999</v>
      </c>
      <c r="CD26" s="57">
        <f ca="1">AVERAGE(OFFSET($CC$3,0,0,'Données projet'!$E$12+1,1))-AVERAGE(OFFSET($H$3,0,0,'Données projet'!$E$12+1,1))</f>
        <v>479.4551766174892</v>
      </c>
      <c r="CE26" s="57">
        <f t="shared" si="40"/>
        <v>260.29028006191834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28.833333333333332</v>
      </c>
      <c r="CT26" s="12">
        <f>IF('Données projet'!$A$140&gt;35,CT25+CS26-DB25,IF(A26&lt;'Données projet'!$A$140,$CQ$205^A26,IF(A26='Données projet'!$A$140,'Données projet'!$B$140,CT25+CS26-DB25)))</f>
        <v>277.33333333333337</v>
      </c>
      <c r="CU26" s="17">
        <f>CT26*VLOOKUP('Données projet'!$B$13,Paramètres!$A$1:$I$89,3,0)*VLOOKUP('Données projet'!$B$13,Paramètres!$A$1:$I$89,5,0)</f>
        <v>155.02933333333334</v>
      </c>
      <c r="CV26" s="13">
        <f t="shared" si="41"/>
        <v>39.719316712120367</v>
      </c>
      <c r="CW26" s="20">
        <f t="shared" si="13"/>
        <v>339.1872321624985</v>
      </c>
      <c r="CX26" s="57">
        <f t="shared" si="14"/>
        <v>562.67242887204497</v>
      </c>
      <c r="CY26" s="57">
        <f ca="1">AVERAGE(OFFSET($CX$3,0,0,'Données projet'!$E$13+1,1))-AVERAGE(OFFSET($H$3,0,0,'Données projet'!$E$13+1,1))</f>
        <v>459.83870442974046</v>
      </c>
      <c r="CZ26" s="57">
        <f t="shared" si="42"/>
        <v>565.68976940602215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9.4627199999999974</v>
      </c>
      <c r="DO26" s="12">
        <f>IF('Données projet'!$A$166&gt;35,DO25+DN26-DW25,IF(A26&lt;'Données projet'!$A$166,$DL$205^A26,IF(A26='Données projet'!$A$166,'Données projet'!$B$166,DO25+DN26-DW25)))</f>
        <v>155.36075999999994</v>
      </c>
      <c r="DP26" s="17">
        <f>DO26*VLOOKUP('Données projet'!$B$14,Paramètres!$A$1:$I$89,3,0)*VLOOKUP('Données projet'!$B$14,Paramètres!$A$1:$I$89,5,0)</f>
        <v>101.79236995199996</v>
      </c>
      <c r="DQ26" s="13">
        <f t="shared" si="43"/>
        <v>27.388562479667193</v>
      </c>
      <c r="DR26" s="20">
        <f t="shared" si="16"/>
        <v>224.99012398515359</v>
      </c>
      <c r="DS26" s="57">
        <f t="shared" si="17"/>
        <v>448.47532069470009</v>
      </c>
      <c r="DT26" s="57">
        <f ca="1">AVERAGE(OFFSET($DS$3,0,0,'Données projet'!$E$14+1,1))-AVERAGE(OFFSET($H$3,0,0,'Données projet'!$E$14+1,1))</f>
        <v>315.23504986325418</v>
      </c>
      <c r="DU26" s="57">
        <f t="shared" si="44"/>
        <v>350.52837099886688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2.1523809523809527</v>
      </c>
      <c r="EJ26" s="12">
        <f>IF('Données projet'!$A$192&gt;35,EJ25+EI26-ER25,IF(A26&lt;'Données projet'!$A$192,$EG$205^A26,IF(A26='Données projet'!$A$192,'Données projet'!$B$192,EJ25+EI26-ER25)))</f>
        <v>49.504761904761899</v>
      </c>
      <c r="EK26" s="17">
        <f>EJ26*VLOOKUP('Données projet'!$B$15,Paramètres!$A$1:$I$89,3,0)*VLOOKUP('Données projet'!$B$15,Paramètres!$A$1:$I$89,5,0)</f>
        <v>47.881005714285713</v>
      </c>
      <c r="EL26" s="13">
        <f t="shared" si="45"/>
        <v>14.065148599821704</v>
      </c>
      <c r="EM26" s="20">
        <f t="shared" si="19"/>
        <v>107.88955209707041</v>
      </c>
      <c r="EN26" s="57">
        <f t="shared" si="20"/>
        <v>331.37474880661694</v>
      </c>
      <c r="EO26" s="57">
        <f ca="1">AVERAGE(OFFSET($EN$3,0,0,'Données projet'!$E$15+1,1))-AVERAGE(OFFSET($H$3,0,0,'Données projet'!$E$15+1,1))</f>
        <v>328.31200866623891</v>
      </c>
      <c r="EP26" s="57">
        <f t="shared" si="46"/>
        <v>195.52650232917446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>
        <f>FE26*VLOOKUP('Données projet'!$B$16,Paramètres!$A$1:$I$89,3,0)*VLOOKUP('Données projet'!$B$16,Paramètres!$A$1:$I$89,5,0)</f>
        <v>0</v>
      </c>
      <c r="FG26" s="13" t="e">
        <f t="shared" si="47"/>
        <v>#NUM!</v>
      </c>
      <c r="FH26" s="20" t="e">
        <f t="shared" si="22"/>
        <v>#NUM!</v>
      </c>
      <c r="FI26" s="57" t="e">
        <f t="shared" si="23"/>
        <v>#NUM!</v>
      </c>
      <c r="FJ26" s="57">
        <f ca="1">AVERAGE(OFFSET($FI$3,0,0,'Données projet'!$E$16+1,1))-AVERAGE(OFFSET($H$3,0,0,'Données projet'!$E$16+1,1))</f>
        <v>142.88219003619457</v>
      </c>
      <c r="FK26" s="57">
        <f t="shared" si="48"/>
        <v>288.69704547625088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56.395675279899848</v>
      </c>
      <c r="FR26" s="21">
        <f>EXP(-LN(2)/25)*FR25+(1-EXP(-LN(2)/25))/(LN(2)/25)*Calculateur!FM26*Calculateur!FO26*VLOOKUP('Données projet'!$B$16,Paramètres!$A$1:$I$89,3,0)*0.475*44/12</f>
        <v>15.079270332201824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71.474945612101678</v>
      </c>
      <c r="FU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7" t="e">
        <f t="shared" si="26"/>
        <v>#N/A</v>
      </c>
      <c r="GE26" s="57" t="e">
        <f ca="1">AVERAGE(OFFSET($GD$3,0,0,'Données projet'!$E$17+1,1))-AVERAGE(OFFSET($H$3,0,0,'Données projet'!$E$17+1,1))</f>
        <v>#N/A</v>
      </c>
      <c r="GF26" s="57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7" t="e">
        <f t="shared" si="29"/>
        <v>#N/A</v>
      </c>
      <c r="GZ26" s="57" t="e">
        <f ca="1">AVERAGE(OFFSET($GY$3,0,0,'Données projet'!$E$18+1,1))-AVERAGE(OFFSET($H$3,0,0,'Données projet'!$E$18+1,1))</f>
        <v>#N/A</v>
      </c>
      <c r="HA26" s="57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1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5">
        <f t="shared" si="1"/>
        <v>183.33333333333334</v>
      </c>
      <c r="I27" s="6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86.679839999999999</v>
      </c>
      <c r="P27" s="13">
        <f t="shared" si="33"/>
        <v>23.762739053789723</v>
      </c>
      <c r="Q27" s="20">
        <f t="shared" si="2"/>
        <v>192.35415851868379</v>
      </c>
      <c r="R27" s="57">
        <f t="shared" si="0"/>
        <v>418.12486670230362</v>
      </c>
      <c r="S27" s="57">
        <f ca="1">AVERAGE(OFFSET($R$3,0,0,'Données projet'!$E$9+1,1))-AVERAGE(OFFSET($H$3,0,0,'Données projet'!$E$9+1,1))</f>
        <v>539.63700256763173</v>
      </c>
      <c r="T27" s="57">
        <f t="shared" si="34"/>
        <v>297.32483725004136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80.701920000000015</v>
      </c>
      <c r="AK27" s="13">
        <f t="shared" si="35"/>
        <v>22.308719863780368</v>
      </c>
      <c r="AL27" s="20">
        <f t="shared" si="4"/>
        <v>179.41019776275084</v>
      </c>
      <c r="AM27" s="57">
        <f t="shared" si="5"/>
        <v>405.18090594637067</v>
      </c>
      <c r="AN27" s="57">
        <f ca="1">AVERAGE(OFFSET($AM$3,0,0,'Données projet'!$E$10+1,1))-AVERAGE(OFFSET($H$3,0,0,'Données projet'!$E$10+1,1))</f>
        <v>508.21188526136734</v>
      </c>
      <c r="AO27" s="57">
        <f t="shared" si="36"/>
        <v>281.06176764290592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9.16</v>
      </c>
      <c r="BD27" s="12">
        <f>IF('Données projet'!$A$88&gt;35,BD26+BC27-BL26,IF(A27&lt;'Données projet'!$A$88,$BA$205^A27,IF(A27='Données projet'!$A$88,'Données projet'!$B$88,BD26+BC27-BL26)))</f>
        <v>163.04</v>
      </c>
      <c r="BE27" s="13">
        <f>BD27*VLOOKUP('Données projet'!$B$11,Paramètres!$A$1:$I$89,3,0)*VLOOKUP('Données projet'!$B$11,Paramètres!$A$1:$I$89,5,0)</f>
        <v>76.302719999999994</v>
      </c>
      <c r="BF27" s="13">
        <f t="shared" si="37"/>
        <v>21.230705510876394</v>
      </c>
      <c r="BG27" s="20">
        <f t="shared" si="7"/>
        <v>169.87071609810968</v>
      </c>
      <c r="BH27" s="57">
        <f t="shared" si="8"/>
        <v>395.64142428172948</v>
      </c>
      <c r="BI27" s="57">
        <f ca="1">AVERAGE(OFFSET($BH$3,0,0,'Données projet'!$E$11+1,1))-AVERAGE(OFFSET($H$3,0,0,'Données projet'!$E$11+1,1))</f>
        <v>449.50723280509311</v>
      </c>
      <c r="BJ27" s="57">
        <f t="shared" si="38"/>
        <v>281.26353650058275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5.386837207490272</v>
      </c>
      <c r="BR27" s="21">
        <f>EXP(-LN(2)/2)*BR26+(1-EXP(-LN(2)/2))/(LN(2)/2)*BL27*BO27*VLOOKUP('Données projet'!$B$11,Paramètres!$A$1:$I$89,3,0)*0.475*44/12</f>
        <v>1.8418792701825346</v>
      </c>
      <c r="BS27" s="22">
        <f t="shared" si="9"/>
        <v>7.2287164776728066</v>
      </c>
      <c r="BT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2.8</v>
      </c>
      <c r="BY27" s="12">
        <f>IF('Données projet'!$A$114&gt;35,BY26+BX27-CG26,IF(A27&lt;'Données projet'!$A$114,$BV$205^A27,IF(A27='Données projet'!$A$114,'Données projet'!$B$114,BY26+BX27-CG26)))</f>
        <v>59.060091900479499</v>
      </c>
      <c r="BZ27" s="13">
        <f>BY27*VLOOKUP('Données projet'!$B$12,Paramètres!$A$1:$I$89,3,0)*VLOOKUP('Données projet'!$B$12,Paramètres!$A$1:$I$89,5,0)</f>
        <v>56.201583452496287</v>
      </c>
      <c r="CA27" s="13">
        <f t="shared" si="39"/>
        <v>16.204285458829325</v>
      </c>
      <c r="CB27" s="20">
        <f t="shared" si="10"/>
        <v>126.10688835389209</v>
      </c>
      <c r="CC27" s="57">
        <f t="shared" si="11"/>
        <v>351.87759653751186</v>
      </c>
      <c r="CD27" s="57">
        <f ca="1">AVERAGE(OFFSET($CC$3,0,0,'Données projet'!$E$12+1,1))-AVERAGE(OFFSET($H$3,0,0,'Données projet'!$E$12+1,1))</f>
        <v>479.4551766174892</v>
      </c>
      <c r="CE27" s="57">
        <f t="shared" si="40"/>
        <v>260.29028006191834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28.833333333333332</v>
      </c>
      <c r="CT27" s="12">
        <f>IF('Données projet'!$A$140&gt;35,CT26+CS27-DB26,IF(A27&lt;'Données projet'!$A$140,$CQ$205^A27,IF(A27='Données projet'!$A$140,'Données projet'!$B$140,CT26+CS27-DB26)))</f>
        <v>306.16666666666669</v>
      </c>
      <c r="CU27" s="17">
        <f>CT27*VLOOKUP('Données projet'!$B$13,Paramètres!$A$1:$I$89,3,0)*VLOOKUP('Données projet'!$B$13,Paramètres!$A$1:$I$89,5,0)</f>
        <v>171.14716666666669</v>
      </c>
      <c r="CV27" s="13">
        <f t="shared" si="41"/>
        <v>43.346850105371793</v>
      </c>
      <c r="CW27" s="20">
        <f t="shared" si="13"/>
        <v>373.57707921130037</v>
      </c>
      <c r="CX27" s="57">
        <f t="shared" si="14"/>
        <v>599.34778739492015</v>
      </c>
      <c r="CY27" s="57">
        <f ca="1">AVERAGE(OFFSET($CX$3,0,0,'Données projet'!$E$13+1,1))-AVERAGE(OFFSET($H$3,0,0,'Données projet'!$E$13+1,1))</f>
        <v>459.83870442974046</v>
      </c>
      <c r="CZ27" s="57">
        <f t="shared" si="42"/>
        <v>565.68976940602215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9.4627199999999974</v>
      </c>
      <c r="DO27" s="12">
        <f>IF('Données projet'!$A$166&gt;35,DO26+DN27-DW26,IF(A27&lt;'Données projet'!$A$166,$DL$205^A27,IF(A27='Données projet'!$A$166,'Données projet'!$B$166,DO26+DN27-DW26)))</f>
        <v>164.82347999999993</v>
      </c>
      <c r="DP27" s="17">
        <f>DO27*VLOOKUP('Données projet'!$B$14,Paramètres!$A$1:$I$89,3,0)*VLOOKUP('Données projet'!$B$14,Paramètres!$A$1:$I$89,5,0)</f>
        <v>107.99234409599997</v>
      </c>
      <c r="DQ27" s="13">
        <f t="shared" si="43"/>
        <v>28.857459279875137</v>
      </c>
      <c r="DR27" s="20">
        <f t="shared" si="16"/>
        <v>238.3467408796491</v>
      </c>
      <c r="DS27" s="57">
        <f t="shared" si="17"/>
        <v>464.11744906326891</v>
      </c>
      <c r="DT27" s="57">
        <f ca="1">AVERAGE(OFFSET($DS$3,0,0,'Données projet'!$E$14+1,1))-AVERAGE(OFFSET($H$3,0,0,'Données projet'!$E$14+1,1))</f>
        <v>315.23504986325418</v>
      </c>
      <c r="DU27" s="57">
        <f t="shared" si="44"/>
        <v>350.52837099886688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2.1523809523809527</v>
      </c>
      <c r="EJ27" s="12">
        <f>IF('Données projet'!$A$192&gt;35,EJ26+EI27-ER26,IF(A27&lt;'Données projet'!$A$192,$EG$205^A27,IF(A27='Données projet'!$A$192,'Données projet'!$B$192,EJ26+EI27-ER26)))</f>
        <v>51.657142857142851</v>
      </c>
      <c r="EK27" s="17">
        <f>EJ27*VLOOKUP('Données projet'!$B$15,Paramètres!$A$1:$I$89,3,0)*VLOOKUP('Données projet'!$B$15,Paramètres!$A$1:$I$89,5,0)</f>
        <v>49.962788571428561</v>
      </c>
      <c r="EL27" s="13">
        <f t="shared" si="45"/>
        <v>14.604149233390189</v>
      </c>
      <c r="EM27" s="20">
        <f t="shared" si="19"/>
        <v>112.45408334339265</v>
      </c>
      <c r="EN27" s="57">
        <f t="shared" si="20"/>
        <v>338.22479152701248</v>
      </c>
      <c r="EO27" s="57">
        <f ca="1">AVERAGE(OFFSET($EN$3,0,0,'Données projet'!$E$15+1,1))-AVERAGE(OFFSET($H$3,0,0,'Données projet'!$E$15+1,1))</f>
        <v>328.31200866623891</v>
      </c>
      <c r="EP27" s="57">
        <f t="shared" si="46"/>
        <v>195.52650232917446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>
        <f>FE27*VLOOKUP('Données projet'!$B$16,Paramètres!$A$1:$I$89,3,0)*VLOOKUP('Données projet'!$B$16,Paramètres!$A$1:$I$89,5,0)</f>
        <v>0</v>
      </c>
      <c r="FG27" s="13" t="e">
        <f t="shared" si="47"/>
        <v>#NUM!</v>
      </c>
      <c r="FH27" s="20" t="e">
        <f t="shared" si="22"/>
        <v>#NUM!</v>
      </c>
      <c r="FI27" s="57" t="e">
        <f t="shared" si="23"/>
        <v>#NUM!</v>
      </c>
      <c r="FJ27" s="57">
        <f ca="1">AVERAGE(OFFSET($FI$3,0,0,'Données projet'!$E$16+1,1))-AVERAGE(OFFSET($H$3,0,0,'Données projet'!$E$16+1,1))</f>
        <v>142.88219003619457</v>
      </c>
      <c r="FK27" s="57">
        <f t="shared" si="48"/>
        <v>288.69704547625088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55.289790485626419</v>
      </c>
      <c r="FR27" s="21">
        <f>EXP(-LN(2)/25)*FR26+(1-EXP(-LN(2)/25))/(LN(2)/25)*Calculateur!FM27*Calculateur!FO27*VLOOKUP('Données projet'!$B$16,Paramètres!$A$1:$I$89,3,0)*0.475*44/12</f>
        <v>14.666926891983403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69.95671737760982</v>
      </c>
      <c r="FU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7" t="e">
        <f t="shared" si="26"/>
        <v>#N/A</v>
      </c>
      <c r="GE27" s="57" t="e">
        <f ca="1">AVERAGE(OFFSET($GD$3,0,0,'Données projet'!$E$17+1,1))-AVERAGE(OFFSET($H$3,0,0,'Données projet'!$E$17+1,1))</f>
        <v>#N/A</v>
      </c>
      <c r="GF27" s="57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7" t="e">
        <f t="shared" si="29"/>
        <v>#N/A</v>
      </c>
      <c r="GZ27" s="57" t="e">
        <f ca="1">AVERAGE(OFFSET($GY$3,0,0,'Données projet'!$E$18+1,1))-AVERAGE(OFFSET($H$3,0,0,'Données projet'!$E$18+1,1))</f>
        <v>#N/A</v>
      </c>
      <c r="HA27" s="57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1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5">
        <f t="shared" si="1"/>
        <v>183.33333333333334</v>
      </c>
      <c r="I28" s="6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7">
        <f t="shared" si="0"/>
        <v>434.47485318479289</v>
      </c>
      <c r="S28" s="57">
        <f ca="1">AVERAGE(OFFSET($R$3,0,0,'Données projet'!$E$9+1,1))-AVERAGE(OFFSET($H$3,0,0,'Données projet'!$E$9+1,1))</f>
        <v>539.63700256763173</v>
      </c>
      <c r="T28" s="57">
        <f t="shared" si="34"/>
        <v>297.32483725004136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86.767200000000017</v>
      </c>
      <c r="AK28" s="13">
        <f t="shared" si="35"/>
        <v>23.783899326718451</v>
      </c>
      <c r="AL28" s="20">
        <f t="shared" si="4"/>
        <v>192.54316466070134</v>
      </c>
      <c r="AM28" s="57">
        <f t="shared" si="5"/>
        <v>420.58093862703345</v>
      </c>
      <c r="AN28" s="57">
        <f ca="1">AVERAGE(OFFSET($AM$3,0,0,'Données projet'!$E$10+1,1))-AVERAGE(OFFSET($H$3,0,0,'Données projet'!$E$10+1,1))</f>
        <v>508.21188526136734</v>
      </c>
      <c r="AO28" s="57">
        <f t="shared" si="36"/>
        <v>281.06176764290592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9.16</v>
      </c>
      <c r="BD28" s="12">
        <f>IF('Données projet'!$A$88&gt;35,BD27+BC28-BL27,IF(A28&lt;'Données projet'!$A$88,$BA$205^A28,IF(A28='Données projet'!$A$88,'Données projet'!$B$88,BD27+BC28-BL27)))</f>
        <v>172.2</v>
      </c>
      <c r="BE28" s="13">
        <f>BD28*VLOOKUP('Données projet'!$B$11,Paramètres!$A$1:$I$89,3,0)*VLOOKUP('Données projet'!$B$11,Paramètres!$A$1:$I$89,5,0)</f>
        <v>80.58959999999999</v>
      </c>
      <c r="BF28" s="13">
        <f t="shared" si="37"/>
        <v>22.281282727508763</v>
      </c>
      <c r="BG28" s="20">
        <f t="shared" si="7"/>
        <v>179.16678741707776</v>
      </c>
      <c r="BH28" s="57">
        <f t="shared" si="8"/>
        <v>407.2045613834099</v>
      </c>
      <c r="BI28" s="57">
        <f ca="1">AVERAGE(OFFSET($BH$3,0,0,'Données projet'!$E$11+1,1))-AVERAGE(OFFSET($H$3,0,0,'Données projet'!$E$11+1,1))</f>
        <v>449.50723280509311</v>
      </c>
      <c r="BJ28" s="57">
        <f t="shared" si="38"/>
        <v>281.26353650058275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5.2395338607699937</v>
      </c>
      <c r="BR28" s="21">
        <f>EXP(-LN(2)/2)*BR27+(1-EXP(-LN(2)/2))/(LN(2)/2)*BL28*BO28*VLOOKUP('Données projet'!$B$11,Paramètres!$A$1:$I$89,3,0)*0.475*44/12</f>
        <v>1.3024053220729994</v>
      </c>
      <c r="BS28" s="22">
        <f t="shared" si="9"/>
        <v>6.5419391828429934</v>
      </c>
      <c r="BT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70</v>
      </c>
      <c r="BW28" s="12">
        <f>VLOOKUP(A28,'Données projet'!$A$113:$I$133,9,0)</f>
        <v>2.8</v>
      </c>
      <c r="BX28" s="12">
        <f t="array" ref="BX28">INDEX(BW:BW,MIN(IF(ISNUMBER(BW28:BW224),ROW(BW28:BW224),"")))</f>
        <v>2.8</v>
      </c>
      <c r="BY28" s="12">
        <f>IF('Données projet'!$A$114&gt;35,BY27+BX28-CG27,IF(A28&lt;'Données projet'!$A$114,$BV$205^A28,IF(A28='Données projet'!$A$114,'Données projet'!$B$114,BY27+BX28-CG27)))</f>
        <v>70</v>
      </c>
      <c r="BZ28" s="13">
        <f>BY28*VLOOKUP('Données projet'!$B$12,Paramètres!$A$1:$I$89,3,0)*VLOOKUP('Données projet'!$B$12,Paramètres!$A$1:$I$89,5,0)</f>
        <v>66.611999999999995</v>
      </c>
      <c r="CA28" s="13">
        <f t="shared" si="39"/>
        <v>18.829683939536395</v>
      </c>
      <c r="CB28" s="20">
        <f t="shared" si="10"/>
        <v>148.81093286135922</v>
      </c>
      <c r="CC28" s="57">
        <f t="shared" si="11"/>
        <v>376.84870682769133</v>
      </c>
      <c r="CD28" s="57">
        <f ca="1">AVERAGE(OFFSET($CC$3,0,0,'Données projet'!$E$12+1,1))-AVERAGE(OFFSET($H$3,0,0,'Données projet'!$E$12+1,1))</f>
        <v>479.4551766174892</v>
      </c>
      <c r="CE28" s="57">
        <f t="shared" si="40"/>
        <v>260.29028006191834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335</v>
      </c>
      <c r="CR28" s="12">
        <f>VLOOKUP(A28,'Données projet'!$A$139:$I$159,9,0)</f>
        <v>28.833333333333332</v>
      </c>
      <c r="CS28" s="12">
        <f t="array" ref="CS28">INDEX(CR:CR,MIN(IF(ISNUMBER(CR28:CR224),ROW(CR28:CR224),"")))</f>
        <v>28.833333333333332</v>
      </c>
      <c r="CT28" s="12">
        <f>IF('Données projet'!$A$140&gt;35,CT27+CS28-DB27,IF(A28&lt;'Données projet'!$A$140,$CQ$205^A28,IF(A28='Données projet'!$A$140,'Données projet'!$B$140,CT27+CS28-DB27)))</f>
        <v>335</v>
      </c>
      <c r="CU28" s="17">
        <f>CT28*VLOOKUP('Données projet'!$B$13,Paramètres!$A$1:$I$89,3,0)*VLOOKUP('Données projet'!$B$13,Paramètres!$A$1:$I$89,5,0)</f>
        <v>187.26500000000001</v>
      </c>
      <c r="CV28" s="13">
        <f t="shared" si="41"/>
        <v>46.934773872544483</v>
      </c>
      <c r="CW28" s="20">
        <f t="shared" si="13"/>
        <v>407.89793949468162</v>
      </c>
      <c r="CX28" s="57">
        <f t="shared" si="14"/>
        <v>635.93571346101373</v>
      </c>
      <c r="CY28" s="57">
        <f ca="1">AVERAGE(OFFSET($CX$3,0,0,'Données projet'!$E$13+1,1))-AVERAGE(OFFSET($H$3,0,0,'Données projet'!$E$13+1,1))</f>
        <v>459.83870442974046</v>
      </c>
      <c r="CZ28" s="57">
        <f t="shared" si="42"/>
        <v>565.68976940602215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54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0.30800000000000005</v>
      </c>
      <c r="DE28" s="16">
        <f>IF(ISNA(VLOOKUP(A28,'Données projet'!$A$139:$I$159,7,0)),0%,VLOOKUP(A28,'Données projet'!$A$139:$I$159,7,0))</f>
        <v>0.44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12.284890293662819</v>
      </c>
      <c r="DH28" s="21">
        <f>EXP(-LN(2)/2)*DH27+(1-EXP(-LN(2)/2))/(LN(2)/2)*DB28*DE28*VLOOKUP('Données projet'!$B$13,Paramètres!$A$1:$I$89,3,0)*0.475*44/12</f>
        <v>15.038128218578914</v>
      </c>
      <c r="DI28" s="22">
        <f t="shared" si="15"/>
        <v>27.323018512241731</v>
      </c>
      <c r="DJ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174.28619999999998</v>
      </c>
      <c r="DM28" s="12">
        <f>VLOOKUP(A28,'Données projet'!$A$165:$I$185,9,0)</f>
        <v>9.4627199999999974</v>
      </c>
      <c r="DN28" s="12">
        <f t="array" ref="DN28">INDEX(DM:DM,MIN(IF(ISNUMBER(DM28:DM224),ROW(DM28:DM224),"")))</f>
        <v>9.4627199999999974</v>
      </c>
      <c r="DO28" s="12">
        <f>IF('Données projet'!$A$166&gt;35,DO27+DN28-DW27,IF(A28&lt;'Données projet'!$A$166,$DL$205^A28,IF(A28='Données projet'!$A$166,'Données projet'!$B$166,DO27+DN28-DW27)))</f>
        <v>174.28619999999992</v>
      </c>
      <c r="DP28" s="17">
        <f>DO28*VLOOKUP('Données projet'!$B$14,Paramètres!$A$1:$I$89,3,0)*VLOOKUP('Données projet'!$B$14,Paramètres!$A$1:$I$89,5,0)</f>
        <v>114.19231823999996</v>
      </c>
      <c r="DQ28" s="13">
        <f t="shared" si="43"/>
        <v>30.316566980344533</v>
      </c>
      <c r="DR28" s="20">
        <f t="shared" si="16"/>
        <v>251.68630842543334</v>
      </c>
      <c r="DS28" s="57">
        <f t="shared" si="17"/>
        <v>479.72408239176548</v>
      </c>
      <c r="DT28" s="57">
        <f ca="1">AVERAGE(OFFSET($DS$3,0,0,'Données projet'!$E$14+1,1))-AVERAGE(OFFSET($H$3,0,0,'Données projet'!$E$14+1,1))</f>
        <v>315.23504986325418</v>
      </c>
      <c r="DU28" s="57">
        <f t="shared" si="44"/>
        <v>350.52837099886688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29.047699999999999</v>
      </c>
      <c r="DX28" s="16">
        <f>IF(ISNA(VLOOKUP(A28,'Données projet'!$A$165:$I$185,5,0)),0%,VLOOKUP(A28,'Données projet'!$A$165:$I$185,5,0)*VLOOKUP('Données projet'!$B$14,Paramètres!$A$1:$I$89,7,0))</f>
        <v>0.30099999999999999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6.3328506401234312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6.3328506401234312</v>
      </c>
      <c r="EE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2.1523809523809527</v>
      </c>
      <c r="EJ28" s="12">
        <f>IF('Données projet'!$A$192&gt;35,EJ27+EI28-ER27,IF(A28&lt;'Données projet'!$A$192,$EG$205^A28,IF(A28='Données projet'!$A$192,'Données projet'!$B$192,EJ27+EI28-ER27)))</f>
        <v>53.809523809523803</v>
      </c>
      <c r="EK28" s="17">
        <f>EJ28*VLOOKUP('Données projet'!$B$15,Paramètres!$A$1:$I$89,3,0)*VLOOKUP('Données projet'!$B$15,Paramètres!$A$1:$I$89,5,0)</f>
        <v>52.04457142857143</v>
      </c>
      <c r="EL28" s="13">
        <f t="shared" si="45"/>
        <v>15.140541245831477</v>
      </c>
      <c r="EM28" s="20">
        <f t="shared" si="19"/>
        <v>117.01407124125171</v>
      </c>
      <c r="EN28" s="57">
        <f t="shared" si="20"/>
        <v>345.05184520758382</v>
      </c>
      <c r="EO28" s="57">
        <f ca="1">AVERAGE(OFFSET($EN$3,0,0,'Données projet'!$E$15+1,1))-AVERAGE(OFFSET($H$3,0,0,'Données projet'!$E$15+1,1))</f>
        <v>328.31200866623891</v>
      </c>
      <c r="EP28" s="57">
        <f t="shared" si="46"/>
        <v>195.52650232917446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>
        <f>FE28*VLOOKUP('Données projet'!$B$16,Paramètres!$A$1:$I$89,3,0)*VLOOKUP('Données projet'!$B$16,Paramètres!$A$1:$I$89,5,0)</f>
        <v>0</v>
      </c>
      <c r="FG28" s="13" t="e">
        <f t="shared" si="47"/>
        <v>#NUM!</v>
      </c>
      <c r="FH28" s="20" t="e">
        <f t="shared" si="22"/>
        <v>#NUM!</v>
      </c>
      <c r="FI28" s="57" t="e">
        <f t="shared" si="23"/>
        <v>#NUM!</v>
      </c>
      <c r="FJ28" s="57">
        <f ca="1">AVERAGE(OFFSET($FI$3,0,0,'Données projet'!$E$16+1,1))-AVERAGE(OFFSET($H$3,0,0,'Données projet'!$E$16+1,1))</f>
        <v>142.88219003619457</v>
      </c>
      <c r="FK28" s="57">
        <f t="shared" si="48"/>
        <v>288.69704547625088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54.205591417645564</v>
      </c>
      <c r="FR28" s="21">
        <f>EXP(-LN(2)/25)*FR27+(1-EXP(-LN(2)/25))/(LN(2)/25)*Calculateur!FM28*Calculateur!FO28*VLOOKUP('Données projet'!$B$16,Paramètres!$A$1:$I$89,3,0)*0.475*44/12</f>
        <v>14.265859004821953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68.471450422467512</v>
      </c>
      <c r="FU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7" t="e">
        <f t="shared" si="26"/>
        <v>#N/A</v>
      </c>
      <c r="GE28" s="57" t="e">
        <f ca="1">AVERAGE(OFFSET($GD$3,0,0,'Données projet'!$E$17+1,1))-AVERAGE(OFFSET($H$3,0,0,'Données projet'!$E$17+1,1))</f>
        <v>#N/A</v>
      </c>
      <c r="GF28" s="57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7" t="e">
        <f t="shared" si="29"/>
        <v>#N/A</v>
      </c>
      <c r="GZ28" s="57" t="e">
        <f ca="1">AVERAGE(OFFSET($GY$3,0,0,'Données projet'!$E$18+1,1))-AVERAGE(OFFSET($H$3,0,0,'Données projet'!$E$18+1,1))</f>
        <v>#N/A</v>
      </c>
      <c r="HA28" s="57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1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5">
        <f t="shared" si="1"/>
        <v>183.33333333333334</v>
      </c>
      <c r="I29" s="6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76.184160000000006</v>
      </c>
      <c r="P29" s="13">
        <f t="shared" si="33"/>
        <v>21.201554232857223</v>
      </c>
      <c r="Q29" s="20">
        <f t="shared" si="2"/>
        <v>169.613452288893</v>
      </c>
      <c r="R29" s="57">
        <f t="shared" si="0"/>
        <v>399.90016633808318</v>
      </c>
      <c r="S29" s="57">
        <f ca="1">AVERAGE(OFFSET($R$3,0,0,'Données projet'!$E$9+1,1))-AVERAGE(OFFSET($H$3,0,0,'Données projet'!$E$9+1,1))</f>
        <v>539.63700256763173</v>
      </c>
      <c r="T29" s="57">
        <f t="shared" si="34"/>
        <v>297.32483725004136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70.930080000000018</v>
      </c>
      <c r="AK29" s="13">
        <f t="shared" si="35"/>
        <v>19.904251483253464</v>
      </c>
      <c r="AL29" s="20">
        <f t="shared" si="4"/>
        <v>158.20312733333313</v>
      </c>
      <c r="AM29" s="57">
        <f t="shared" si="5"/>
        <v>388.48984138252331</v>
      </c>
      <c r="AN29" s="57">
        <f ca="1">AVERAGE(OFFSET($AM$3,0,0,'Données projet'!$E$10+1,1))-AVERAGE(OFFSET($H$3,0,0,'Données projet'!$E$10+1,1))</f>
        <v>508.21188526136734</v>
      </c>
      <c r="AO29" s="57">
        <f t="shared" si="36"/>
        <v>281.06176764290592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9.16</v>
      </c>
      <c r="BD29" s="12">
        <f>IF('Données projet'!$A$88&gt;35,BD28+BC29-BL28,IF(A29&lt;'Données projet'!$A$88,$BA$205^A29,IF(A29='Données projet'!$A$88,'Données projet'!$B$88,BD28+BC29-BL28)))</f>
        <v>181.35999999999999</v>
      </c>
      <c r="BE29" s="13">
        <f>BD29*VLOOKUP('Données projet'!$B$11,Paramètres!$A$1:$I$89,3,0)*VLOOKUP('Données projet'!$B$11,Paramètres!$A$1:$I$89,5,0)</f>
        <v>84.876480000000001</v>
      </c>
      <c r="BF29" s="13">
        <f t="shared" si="37"/>
        <v>23.325371871304792</v>
      </c>
      <c r="BG29" s="20">
        <f t="shared" si="7"/>
        <v>188.45155867585586</v>
      </c>
      <c r="BH29" s="57">
        <f t="shared" si="8"/>
        <v>418.73827272504604</v>
      </c>
      <c r="BI29" s="57">
        <f ca="1">AVERAGE(OFFSET($BH$3,0,0,'Données projet'!$E$11+1,1))-AVERAGE(OFFSET($H$3,0,0,'Données projet'!$E$11+1,1))</f>
        <v>449.50723280509311</v>
      </c>
      <c r="BJ29" s="57">
        <f t="shared" si="38"/>
        <v>281.26353650058275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5.0962585318121274</v>
      </c>
      <c r="BR29" s="21">
        <f>EXP(-LN(2)/2)*BR28+(1-EXP(-LN(2)/2))/(LN(2)/2)*BL29*BO29*VLOOKUP('Données projet'!$B$11,Paramètres!$A$1:$I$89,3,0)*0.475*44/12</f>
        <v>0.92093963509126742</v>
      </c>
      <c r="BS29" s="22">
        <f t="shared" si="9"/>
        <v>6.0171981669033947</v>
      </c>
      <c r="BT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</v>
      </c>
      <c r="BY29" s="12">
        <f>IF('Données projet'!$A$114&gt;35,BY28+BX29-CG28,IF(A29&lt;'Données projet'!$A$114,$BV$205^A29,IF(A29='Données projet'!$A$114,'Données projet'!$B$114,BY28+BX29-CG28)))</f>
        <v>69</v>
      </c>
      <c r="BZ29" s="13">
        <f>BY29*VLOOKUP('Données projet'!$B$12,Paramètres!$A$1:$I$89,3,0)*VLOOKUP('Données projet'!$B$12,Paramètres!$A$1:$I$89,5,0)</f>
        <v>65.660399999999996</v>
      </c>
      <c r="CA29" s="13">
        <f t="shared" si="39"/>
        <v>18.591800852927584</v>
      </c>
      <c r="CB29" s="20">
        <f t="shared" si="10"/>
        <v>146.73924981884886</v>
      </c>
      <c r="CC29" s="57">
        <f t="shared" si="11"/>
        <v>377.02596386803907</v>
      </c>
      <c r="CD29" s="57">
        <f ca="1">AVERAGE(OFFSET($CC$3,0,0,'Données projet'!$E$12+1,1))-AVERAGE(OFFSET($H$3,0,0,'Données projet'!$E$12+1,1))</f>
        <v>479.4551766174892</v>
      </c>
      <c r="CE29" s="57">
        <f t="shared" si="40"/>
        <v>260.29028006191834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28</v>
      </c>
      <c r="CT29" s="12">
        <f>IF('Données projet'!$A$140&gt;35,CT28+CS29-DB28,IF(A29&lt;'Données projet'!$A$140,$CQ$205^A29,IF(A29='Données projet'!$A$140,'Données projet'!$B$140,CT28+CS29-DB28)))</f>
        <v>309</v>
      </c>
      <c r="CU29" s="17">
        <f>CT29*VLOOKUP('Données projet'!$B$13,Paramètres!$A$1:$I$89,3,0)*VLOOKUP('Données projet'!$B$13,Paramètres!$A$1:$I$89,5,0)</f>
        <v>172.73100000000002</v>
      </c>
      <c r="CV29" s="13">
        <f t="shared" si="41"/>
        <v>43.701108252019125</v>
      </c>
      <c r="CW29" s="20">
        <f t="shared" si="13"/>
        <v>376.9525885389333</v>
      </c>
      <c r="CX29" s="57">
        <f t="shared" si="14"/>
        <v>607.23930258812345</v>
      </c>
      <c r="CY29" s="57">
        <f ca="1">AVERAGE(OFFSET($CX$3,0,0,'Données projet'!$E$13+1,1))-AVERAGE(OFFSET($H$3,0,0,'Données projet'!$E$13+1,1))</f>
        <v>459.83870442974046</v>
      </c>
      <c r="CZ29" s="57">
        <f t="shared" si="42"/>
        <v>565.68976940602215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11.948959322548307</v>
      </c>
      <c r="DH29" s="21">
        <f>EXP(-LN(2)/2)*DH28+(1-EXP(-LN(2)/2))/(LN(2)/2)*DB29*DE29*VLOOKUP('Données projet'!$B$13,Paramètres!$A$1:$I$89,3,0)*0.475*44/12</f>
        <v>10.633562439709927</v>
      </c>
      <c r="DI29" s="22">
        <f t="shared" si="15"/>
        <v>22.582521762258231</v>
      </c>
      <c r="DJ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11.934720000000004</v>
      </c>
      <c r="DO29" s="12">
        <f>IF('Données projet'!$A$166&gt;35,DO28+DN29-DW28,IF(A29&lt;'Données projet'!$A$166,$DL$205^A29,IF(A29='Données projet'!$A$166,'Données projet'!$B$166,DO28+DN29-DW28)))</f>
        <v>157.17321999999993</v>
      </c>
      <c r="DP29" s="17">
        <f>DO29*VLOOKUP('Données projet'!$B$14,Paramètres!$A$1:$I$89,3,0)*VLOOKUP('Données projet'!$B$14,Paramètres!$A$1:$I$89,5,0)</f>
        <v>102.97989374399995</v>
      </c>
      <c r="DQ29" s="13">
        <f t="shared" si="43"/>
        <v>27.67069837238774</v>
      </c>
      <c r="DR29" s="20">
        <f t="shared" si="16"/>
        <v>227.54978126937522</v>
      </c>
      <c r="DS29" s="57">
        <f t="shared" si="17"/>
        <v>457.83649531856543</v>
      </c>
      <c r="DT29" s="57">
        <f ca="1">AVERAGE(OFFSET($DS$3,0,0,'Données projet'!$E$14+1,1))-AVERAGE(OFFSET($H$3,0,0,'Données projet'!$E$14+1,1))</f>
        <v>315.23504986325418</v>
      </c>
      <c r="DU29" s="57">
        <f t="shared" si="44"/>
        <v>350.52837099886688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6.2086673017280951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6.2086673017280951</v>
      </c>
      <c r="EE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2.1523809523809527</v>
      </c>
      <c r="EJ29" s="12">
        <f>IF('Données projet'!$A$192&gt;35,EJ28+EI29-ER28,IF(A29&lt;'Données projet'!$A$192,$EG$205^A29,IF(A29='Données projet'!$A$192,'Données projet'!$B$192,EJ28+EI29-ER28)))</f>
        <v>55.961904761904755</v>
      </c>
      <c r="EK29" s="17">
        <f>EJ29*VLOOKUP('Données projet'!$B$15,Paramètres!$A$1:$I$89,3,0)*VLOOKUP('Données projet'!$B$15,Paramètres!$A$1:$I$89,5,0)</f>
        <v>54.126354285714285</v>
      </c>
      <c r="EL29" s="13">
        <f t="shared" si="45"/>
        <v>15.674440920152167</v>
      </c>
      <c r="EM29" s="20">
        <f t="shared" si="19"/>
        <v>121.56971831688406</v>
      </c>
      <c r="EN29" s="57">
        <f t="shared" si="20"/>
        <v>351.85643236607427</v>
      </c>
      <c r="EO29" s="57">
        <f ca="1">AVERAGE(OFFSET($EN$3,0,0,'Données projet'!$E$15+1,1))-AVERAGE(OFFSET($H$3,0,0,'Données projet'!$E$15+1,1))</f>
        <v>328.31200866623891</v>
      </c>
      <c r="EP29" s="57">
        <f t="shared" si="46"/>
        <v>195.52650232917446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>
        <f>FE29*VLOOKUP('Données projet'!$B$16,Paramètres!$A$1:$I$89,3,0)*VLOOKUP('Données projet'!$B$16,Paramètres!$A$1:$I$89,5,0)</f>
        <v>0</v>
      </c>
      <c r="FG29" s="13" t="e">
        <f t="shared" si="47"/>
        <v>#NUM!</v>
      </c>
      <c r="FH29" s="20" t="e">
        <f t="shared" si="22"/>
        <v>#NUM!</v>
      </c>
      <c r="FI29" s="57" t="e">
        <f t="shared" si="23"/>
        <v>#NUM!</v>
      </c>
      <c r="FJ29" s="57">
        <f ca="1">AVERAGE(OFFSET($FI$3,0,0,'Données projet'!$E$16+1,1))-AVERAGE(OFFSET($H$3,0,0,'Données projet'!$E$16+1,1))</f>
        <v>142.88219003619457</v>
      </c>
      <c r="FK29" s="57">
        <f t="shared" si="48"/>
        <v>288.69704547625088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53.142652832091684</v>
      </c>
      <c r="FR29" s="21">
        <f>EXP(-LN(2)/25)*FR28+(1-EXP(-LN(2)/25))/(LN(2)/25)*Calculateur!FM29*Calculateur!FO29*VLOOKUP('Données projet'!$B$16,Paramètres!$A$1:$I$89,3,0)*0.475*44/12</f>
        <v>13.875758340126177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67.018411172217867</v>
      </c>
      <c r="FU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7" t="e">
        <f t="shared" si="26"/>
        <v>#N/A</v>
      </c>
      <c r="GE29" s="57" t="e">
        <f ca="1">AVERAGE(OFFSET($GD$3,0,0,'Données projet'!$E$17+1,1))-AVERAGE(OFFSET($H$3,0,0,'Données projet'!$E$17+1,1))</f>
        <v>#N/A</v>
      </c>
      <c r="GF29" s="57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7" t="e">
        <f t="shared" si="29"/>
        <v>#N/A</v>
      </c>
      <c r="GZ29" s="57" t="e">
        <f ca="1">AVERAGE(OFFSET($GY$3,0,0,'Données projet'!$E$18+1,1))-AVERAGE(OFFSET($H$3,0,0,'Données projet'!$E$18+1,1))</f>
        <v>#N/A</v>
      </c>
      <c r="HA29" s="57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1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5">
        <f t="shared" si="1"/>
        <v>183.33333333333334</v>
      </c>
      <c r="I30" s="6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84.508320000000026</v>
      </c>
      <c r="P30" s="13">
        <f t="shared" si="33"/>
        <v>23.235950088324714</v>
      </c>
      <c r="Q30" s="20">
        <f t="shared" si="2"/>
        <v>187.65460373716556</v>
      </c>
      <c r="R30" s="57">
        <f t="shared" si="0"/>
        <v>420.17244660972904</v>
      </c>
      <c r="S30" s="57">
        <f ca="1">AVERAGE(OFFSET($R$3,0,0,'Données projet'!$E$9+1,1))-AVERAGE(OFFSET($H$3,0,0,'Données projet'!$E$9+1,1))</f>
        <v>539.63700256763173</v>
      </c>
      <c r="T30" s="57">
        <f t="shared" si="34"/>
        <v>297.32483725004136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78.680160000000029</v>
      </c>
      <c r="AK30" s="13">
        <f t="shared" si="35"/>
        <v>21.814164609384523</v>
      </c>
      <c r="AL30" s="20">
        <f t="shared" si="4"/>
        <v>175.02761536134474</v>
      </c>
      <c r="AM30" s="57">
        <f t="shared" si="5"/>
        <v>407.54545823390822</v>
      </c>
      <c r="AN30" s="57">
        <f ca="1">AVERAGE(OFFSET($AM$3,0,0,'Données projet'!$E$10+1,1))-AVERAGE(OFFSET($H$3,0,0,'Données projet'!$E$10+1,1))</f>
        <v>508.21188526136734</v>
      </c>
      <c r="AO30" s="57">
        <f t="shared" si="36"/>
        <v>281.06176764290592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9.16</v>
      </c>
      <c r="BD30" s="12">
        <f>IF('Données projet'!$A$88&gt;35,BD29+BC30-BL29,IF(A30&lt;'Données projet'!$A$88,$BA$205^A30,IF(A30='Données projet'!$A$88,'Données projet'!$B$88,BD29+BC30-BL29)))</f>
        <v>190.51999999999998</v>
      </c>
      <c r="BE30" s="13">
        <f>BD30*VLOOKUP('Données projet'!$B$11,Paramètres!$A$1:$I$89,3,0)*VLOOKUP('Données projet'!$B$11,Paramètres!$A$1:$I$89,5,0)</f>
        <v>89.163359999999997</v>
      </c>
      <c r="BF30" s="13">
        <f t="shared" si="37"/>
        <v>24.36333802556863</v>
      </c>
      <c r="BG30" s="20">
        <f t="shared" si="7"/>
        <v>197.72566572786536</v>
      </c>
      <c r="BH30" s="57">
        <f t="shared" si="8"/>
        <v>430.24350860042887</v>
      </c>
      <c r="BI30" s="57">
        <f ca="1">AVERAGE(OFFSET($BH$3,0,0,'Données projet'!$E$11+1,1))-AVERAGE(OFFSET($H$3,0,0,'Données projet'!$E$11+1,1))</f>
        <v>449.50723280509311</v>
      </c>
      <c r="BJ30" s="57">
        <f t="shared" si="38"/>
        <v>281.26353650058275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4.956901074259136</v>
      </c>
      <c r="BR30" s="21">
        <f>EXP(-LN(2)/2)*BR29+(1-EXP(-LN(2)/2))/(LN(2)/2)*BL30*BO30*VLOOKUP('Données projet'!$B$11,Paramètres!$A$1:$I$89,3,0)*0.475*44/12</f>
        <v>0.65120266103649982</v>
      </c>
      <c r="BS30" s="22">
        <f t="shared" si="9"/>
        <v>5.6081037352956358</v>
      </c>
      <c r="BT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</v>
      </c>
      <c r="BY30" s="12">
        <f>IF('Données projet'!$A$114&gt;35,BY29+BX30-CG29,IF(A30&lt;'Données projet'!$A$114,$BV$205^A30,IF(A30='Données projet'!$A$114,'Données projet'!$B$114,BY29+BX30-CG29)))</f>
        <v>76</v>
      </c>
      <c r="BZ30" s="13">
        <f>BY30*VLOOKUP('Données projet'!$B$12,Paramètres!$A$1:$I$89,3,0)*VLOOKUP('Données projet'!$B$12,Paramètres!$A$1:$I$89,5,0)</f>
        <v>72.321600000000004</v>
      </c>
      <c r="CA30" s="13">
        <f t="shared" si="39"/>
        <v>20.248893319861061</v>
      </c>
      <c r="CB30" s="20">
        <f t="shared" si="10"/>
        <v>161.22694253209136</v>
      </c>
      <c r="CC30" s="57">
        <f t="shared" si="11"/>
        <v>393.74478540465486</v>
      </c>
      <c r="CD30" s="57">
        <f ca="1">AVERAGE(OFFSET($CC$3,0,0,'Données projet'!$E$12+1,1))-AVERAGE(OFFSET($H$3,0,0,'Données projet'!$E$12+1,1))</f>
        <v>479.4551766174892</v>
      </c>
      <c r="CE30" s="57">
        <f t="shared" si="40"/>
        <v>260.29028006191834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28</v>
      </c>
      <c r="CT30" s="12">
        <f>IF('Données projet'!$A$140&gt;35,CT29+CS30-DB29,IF(A30&lt;'Données projet'!$A$140,$CQ$205^A30,IF(A30='Données projet'!$A$140,'Données projet'!$B$140,CT29+CS30-DB29)))</f>
        <v>337</v>
      </c>
      <c r="CU30" s="17">
        <f>CT30*VLOOKUP('Données projet'!$B$13,Paramètres!$A$1:$I$89,3,0)*VLOOKUP('Données projet'!$B$13,Paramètres!$A$1:$I$89,5,0)</f>
        <v>188.38300000000001</v>
      </c>
      <c r="CV30" s="13">
        <f t="shared" si="41"/>
        <v>47.182279474248382</v>
      </c>
      <c r="CW30" s="20">
        <f t="shared" si="13"/>
        <v>410.27619508431599</v>
      </c>
      <c r="CX30" s="57">
        <f t="shared" si="14"/>
        <v>642.79403795687949</v>
      </c>
      <c r="CY30" s="57">
        <f ca="1">AVERAGE(OFFSET($CX$3,0,0,'Données projet'!$E$13+1,1))-AVERAGE(OFFSET($H$3,0,0,'Données projet'!$E$13+1,1))</f>
        <v>459.83870442974046</v>
      </c>
      <c r="CZ30" s="57">
        <f t="shared" si="42"/>
        <v>565.68976940602215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11.622214401504761</v>
      </c>
      <c r="DH30" s="21">
        <f>EXP(-LN(2)/2)*DH29+(1-EXP(-LN(2)/2))/(LN(2)/2)*DB30*DE30*VLOOKUP('Données projet'!$B$13,Paramètres!$A$1:$I$89,3,0)*0.475*44/12</f>
        <v>7.5190641092894577</v>
      </c>
      <c r="DI30" s="22">
        <f t="shared" si="15"/>
        <v>19.141278510794219</v>
      </c>
      <c r="DJ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11.934720000000004</v>
      </c>
      <c r="DO30" s="12">
        <f>IF('Données projet'!$A$166&gt;35,DO29+DN30-DW29,IF(A30&lt;'Données projet'!$A$166,$DL$205^A30,IF(A30='Données projet'!$A$166,'Données projet'!$B$166,DO29+DN30-DW29)))</f>
        <v>169.10793999999993</v>
      </c>
      <c r="DP30" s="17">
        <f>DO30*VLOOKUP('Données projet'!$B$14,Paramètres!$A$1:$I$89,3,0)*VLOOKUP('Données projet'!$B$14,Paramètres!$A$1:$I$89,5,0)</f>
        <v>110.79952228799995</v>
      </c>
      <c r="DQ30" s="13">
        <f t="shared" si="43"/>
        <v>29.519278788532834</v>
      </c>
      <c r="DR30" s="20">
        <f t="shared" si="16"/>
        <v>244.38857854162791</v>
      </c>
      <c r="DS30" s="57">
        <f t="shared" si="17"/>
        <v>476.90642141419141</v>
      </c>
      <c r="DT30" s="57">
        <f ca="1">AVERAGE(OFFSET($DS$3,0,0,'Données projet'!$E$14+1,1))-AVERAGE(OFFSET($H$3,0,0,'Données projet'!$E$14+1,1))</f>
        <v>315.23504986325418</v>
      </c>
      <c r="DU30" s="57">
        <f t="shared" si="44"/>
        <v>350.52837099886688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6.0869191228543347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6.0869191228543347</v>
      </c>
      <c r="EE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2.1523809523809527</v>
      </c>
      <c r="EJ30" s="12">
        <f>IF('Données projet'!$A$192&gt;35,EJ29+EI30-ER29,IF(A30&lt;'Données projet'!$A$192,$EG$205^A30,IF(A30='Données projet'!$A$192,'Données projet'!$B$192,EJ29+EI30-ER29)))</f>
        <v>58.114285714285707</v>
      </c>
      <c r="EK30" s="17">
        <f>EJ30*VLOOKUP('Données projet'!$B$15,Paramètres!$A$1:$I$89,3,0)*VLOOKUP('Données projet'!$B$15,Paramètres!$A$1:$I$89,5,0)</f>
        <v>56.208137142857133</v>
      </c>
      <c r="EL30" s="13">
        <f t="shared" si="45"/>
        <v>16.205955087954287</v>
      </c>
      <c r="EM30" s="20">
        <f t="shared" si="19"/>
        <v>126.12121063532989</v>
      </c>
      <c r="EN30" s="57">
        <f t="shared" si="20"/>
        <v>358.63905350789338</v>
      </c>
      <c r="EO30" s="57">
        <f ca="1">AVERAGE(OFFSET($EN$3,0,0,'Données projet'!$E$15+1,1))-AVERAGE(OFFSET($H$3,0,0,'Données projet'!$E$15+1,1))</f>
        <v>328.31200866623891</v>
      </c>
      <c r="EP30" s="57">
        <f t="shared" si="46"/>
        <v>195.52650232917446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>
        <f>FE30*VLOOKUP('Données projet'!$B$16,Paramètres!$A$1:$I$89,3,0)*VLOOKUP('Données projet'!$B$16,Paramètres!$A$1:$I$89,5,0)</f>
        <v>0</v>
      </c>
      <c r="FG30" s="13" t="e">
        <f t="shared" si="47"/>
        <v>#NUM!</v>
      </c>
      <c r="FH30" s="20" t="e">
        <f t="shared" si="22"/>
        <v>#NUM!</v>
      </c>
      <c r="FI30" s="57" t="e">
        <f t="shared" si="23"/>
        <v>#NUM!</v>
      </c>
      <c r="FJ30" s="57">
        <f ca="1">AVERAGE(OFFSET($FI$3,0,0,'Données projet'!$E$16+1,1))-AVERAGE(OFFSET($H$3,0,0,'Données projet'!$E$16+1,1))</f>
        <v>142.88219003619457</v>
      </c>
      <c r="FK30" s="57">
        <f t="shared" si="48"/>
        <v>288.69704547625088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52.100557823871995</v>
      </c>
      <c r="FR30" s="21">
        <f>EXP(-LN(2)/25)*FR29+(1-EXP(-LN(2)/25))/(LN(2)/25)*Calculateur!FM30*Calculateur!FO30*VLOOKUP('Données projet'!$B$16,Paramètres!$A$1:$I$89,3,0)*0.475*44/12</f>
        <v>13.496324998621009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65.596882822493001</v>
      </c>
      <c r="FU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7" t="e">
        <f t="shared" si="26"/>
        <v>#N/A</v>
      </c>
      <c r="GE30" s="57" t="e">
        <f ca="1">AVERAGE(OFFSET($GD$3,0,0,'Données projet'!$E$17+1,1))-AVERAGE(OFFSET($H$3,0,0,'Données projet'!$E$17+1,1))</f>
        <v>#N/A</v>
      </c>
      <c r="GF30" s="57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7" t="e">
        <f t="shared" si="29"/>
        <v>#N/A</v>
      </c>
      <c r="GZ30" s="57" t="e">
        <f ca="1">AVERAGE(OFFSET($GY$3,0,0,'Données projet'!$E$18+1,1))-AVERAGE(OFFSET($H$3,0,0,'Données projet'!$E$18+1,1))</f>
        <v>#N/A</v>
      </c>
      <c r="HA30" s="57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1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5">
        <f t="shared" si="1"/>
        <v>183.33333333333334</v>
      </c>
      <c r="I31" s="6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92.832480000000018</v>
      </c>
      <c r="P31" s="13">
        <f t="shared" si="33"/>
        <v>25.247114117480137</v>
      </c>
      <c r="Q31" s="20">
        <f t="shared" si="2"/>
        <v>205.65529308794461</v>
      </c>
      <c r="R31" s="57">
        <f t="shared" si="0"/>
        <v>440.3867625099287</v>
      </c>
      <c r="S31" s="57">
        <f ca="1">AVERAGE(OFFSET($R$3,0,0,'Données projet'!$E$9+1,1))-AVERAGE(OFFSET($H$3,0,0,'Données projet'!$E$9+1,1))</f>
        <v>539.63700256763173</v>
      </c>
      <c r="T31" s="57">
        <f t="shared" si="34"/>
        <v>297.32483725004136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86.430240000000026</v>
      </c>
      <c r="AK31" s="13">
        <f t="shared" si="35"/>
        <v>23.702267442352529</v>
      </c>
      <c r="AL31" s="20">
        <f t="shared" si="4"/>
        <v>191.81411712876402</v>
      </c>
      <c r="AM31" s="57">
        <f t="shared" si="5"/>
        <v>426.54558655074811</v>
      </c>
      <c r="AN31" s="57">
        <f ca="1">AVERAGE(OFFSET($AM$3,0,0,'Données projet'!$E$10+1,1))-AVERAGE(OFFSET($H$3,0,0,'Données projet'!$E$10+1,1))</f>
        <v>508.21188526136734</v>
      </c>
      <c r="AO31" s="57">
        <f t="shared" si="36"/>
        <v>281.06176764290592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9.16</v>
      </c>
      <c r="BD31" s="12">
        <f>IF('Données projet'!$A$88&gt;35,BD30+BC31-BL30,IF(A31&lt;'Données projet'!$A$88,$BA$205^A31,IF(A31='Données projet'!$A$88,'Données projet'!$B$88,BD30+BC31-BL30)))</f>
        <v>199.67999999999998</v>
      </c>
      <c r="BE31" s="13">
        <f>BD31*VLOOKUP('Données projet'!$B$11,Paramètres!$A$1:$I$89,3,0)*VLOOKUP('Données projet'!$B$11,Paramètres!$A$1:$I$89,5,0)</f>
        <v>93.45023999999998</v>
      </c>
      <c r="BF31" s="13">
        <f t="shared" si="37"/>
        <v>25.395509184428445</v>
      </c>
      <c r="BG31" s="20">
        <f t="shared" si="7"/>
        <v>206.98967982954616</v>
      </c>
      <c r="BH31" s="57">
        <f t="shared" si="8"/>
        <v>441.72114925153028</v>
      </c>
      <c r="BI31" s="57">
        <f ca="1">AVERAGE(OFFSET($BH$3,0,0,'Données projet'!$E$11+1,1))-AVERAGE(OFFSET($H$3,0,0,'Données projet'!$E$11+1,1))</f>
        <v>449.50723280509311</v>
      </c>
      <c r="BJ31" s="57">
        <f t="shared" si="38"/>
        <v>281.26353650058275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4.8213543537114214</v>
      </c>
      <c r="BR31" s="21">
        <f>EXP(-LN(2)/2)*BR30+(1-EXP(-LN(2)/2))/(LN(2)/2)*BL31*BO31*VLOOKUP('Données projet'!$B$11,Paramètres!$A$1:$I$89,3,0)*0.475*44/12</f>
        <v>0.46046981754563376</v>
      </c>
      <c r="BS31" s="22">
        <f t="shared" si="9"/>
        <v>5.2818241712570551</v>
      </c>
      <c r="BT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</v>
      </c>
      <c r="BY31" s="12">
        <f>IF('Données projet'!$A$114&gt;35,BY30+BX31-CG30,IF(A31&lt;'Données projet'!$A$114,$BV$205^A31,IF(A31='Données projet'!$A$114,'Données projet'!$B$114,BY30+BX31-CG30)))</f>
        <v>83</v>
      </c>
      <c r="BZ31" s="13">
        <f>BY31*VLOOKUP('Données projet'!$B$12,Paramètres!$A$1:$I$89,3,0)*VLOOKUP('Données projet'!$B$12,Paramètres!$A$1:$I$89,5,0)</f>
        <v>78.982799999999997</v>
      </c>
      <c r="CA31" s="13">
        <f t="shared" si="39"/>
        <v>21.888288514633821</v>
      </c>
      <c r="CB31" s="20">
        <f t="shared" si="10"/>
        <v>175.68381249632054</v>
      </c>
      <c r="CC31" s="57">
        <f t="shared" si="11"/>
        <v>410.41528191830463</v>
      </c>
      <c r="CD31" s="57">
        <f ca="1">AVERAGE(OFFSET($CC$3,0,0,'Données projet'!$E$12+1,1))-AVERAGE(OFFSET($H$3,0,0,'Données projet'!$E$12+1,1))</f>
        <v>479.4551766174892</v>
      </c>
      <c r="CE31" s="57">
        <f t="shared" si="40"/>
        <v>260.29028006191834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28</v>
      </c>
      <c r="CT31" s="12">
        <f>IF('Données projet'!$A$140&gt;35,CT30+CS31-DB30,IF(A31&lt;'Données projet'!$A$140,$CQ$205^A31,IF(A31='Données projet'!$A$140,'Données projet'!$B$140,CT30+CS31-DB30)))</f>
        <v>365</v>
      </c>
      <c r="CU31" s="17">
        <f>CT31*VLOOKUP('Données projet'!$B$13,Paramètres!$A$1:$I$89,3,0)*VLOOKUP('Données projet'!$B$13,Paramètres!$A$1:$I$89,5,0)</f>
        <v>204.035</v>
      </c>
      <c r="CV31" s="13">
        <f t="shared" si="41"/>
        <v>50.629905099971396</v>
      </c>
      <c r="CW31" s="20">
        <f t="shared" si="13"/>
        <v>443.54137638245015</v>
      </c>
      <c r="CX31" s="57">
        <f t="shared" si="14"/>
        <v>678.27284580443427</v>
      </c>
      <c r="CY31" s="57">
        <f ca="1">AVERAGE(OFFSET($CX$3,0,0,'Données projet'!$E$13+1,1))-AVERAGE(OFFSET($H$3,0,0,'Données projet'!$E$13+1,1))</f>
        <v>459.83870442974046</v>
      </c>
      <c r="CZ31" s="57">
        <f t="shared" si="42"/>
        <v>565.68976940602215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11.304404337509922</v>
      </c>
      <c r="DH31" s="21">
        <f>EXP(-LN(2)/2)*DH30+(1-EXP(-LN(2)/2))/(LN(2)/2)*DB31*DE31*VLOOKUP('Données projet'!$B$13,Paramètres!$A$1:$I$89,3,0)*0.475*44/12</f>
        <v>5.3167812198549642</v>
      </c>
      <c r="DI31" s="22">
        <f t="shared" si="15"/>
        <v>16.621185557364885</v>
      </c>
      <c r="DJ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11.934720000000004</v>
      </c>
      <c r="DO31" s="12">
        <f>IF('Données projet'!$A$166&gt;35,DO30+DN31-DW30,IF(A31&lt;'Données projet'!$A$166,$DL$205^A31,IF(A31='Données projet'!$A$166,'Données projet'!$B$166,DO30+DN31-DW30)))</f>
        <v>181.04265999999993</v>
      </c>
      <c r="DP31" s="17">
        <f>DO31*VLOOKUP('Données projet'!$B$14,Paramètres!$A$1:$I$89,3,0)*VLOOKUP('Données projet'!$B$14,Paramètres!$A$1:$I$89,5,0)</f>
        <v>118.61915083199995</v>
      </c>
      <c r="DQ31" s="13">
        <f t="shared" si="43"/>
        <v>31.352722284870161</v>
      </c>
      <c r="DR31" s="20">
        <f t="shared" si="16"/>
        <v>261.20101234521547</v>
      </c>
      <c r="DS31" s="57">
        <f t="shared" si="17"/>
        <v>495.93248176719953</v>
      </c>
      <c r="DT31" s="57">
        <f ca="1">AVERAGE(OFFSET($DS$3,0,0,'Données projet'!$E$14+1,1))-AVERAGE(OFFSET($H$3,0,0,'Données projet'!$E$14+1,1))</f>
        <v>315.23504986325418</v>
      </c>
      <c r="DU31" s="57">
        <f t="shared" si="44"/>
        <v>350.52837099886688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5.9675583515092319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5.9675583515092319</v>
      </c>
      <c r="EE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2.1523809523809527</v>
      </c>
      <c r="EJ31" s="12">
        <f>IF('Données projet'!$A$192&gt;35,EJ30+EI31-ER30,IF(A31&lt;'Données projet'!$A$192,$EG$205^A31,IF(A31='Données projet'!$A$192,'Données projet'!$B$192,EJ30+EI31-ER30)))</f>
        <v>60.266666666666659</v>
      </c>
      <c r="EK31" s="17">
        <f>EJ31*VLOOKUP('Données projet'!$B$15,Paramètres!$A$1:$I$89,3,0)*VLOOKUP('Données projet'!$B$15,Paramètres!$A$1:$I$89,5,0)</f>
        <v>58.289919999999988</v>
      </c>
      <c r="EL31" s="13">
        <f t="shared" si="45"/>
        <v>16.735182219013723</v>
      </c>
      <c r="EM31" s="20">
        <f t="shared" si="19"/>
        <v>130.66871969811555</v>
      </c>
      <c r="EN31" s="57">
        <f t="shared" si="20"/>
        <v>365.40018912009964</v>
      </c>
      <c r="EO31" s="57">
        <f ca="1">AVERAGE(OFFSET($EN$3,0,0,'Données projet'!$E$15+1,1))-AVERAGE(OFFSET($H$3,0,0,'Données projet'!$E$15+1,1))</f>
        <v>328.31200866623891</v>
      </c>
      <c r="EP31" s="57">
        <f t="shared" si="46"/>
        <v>195.52650232917446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>
        <f>FE31*VLOOKUP('Données projet'!$B$16,Paramètres!$A$1:$I$89,3,0)*VLOOKUP('Données projet'!$B$16,Paramètres!$A$1:$I$89,5,0)</f>
        <v>0</v>
      </c>
      <c r="FG31" s="13" t="e">
        <f t="shared" si="47"/>
        <v>#NUM!</v>
      </c>
      <c r="FH31" s="20" t="e">
        <f t="shared" si="22"/>
        <v>#NUM!</v>
      </c>
      <c r="FI31" s="57" t="e">
        <f t="shared" si="23"/>
        <v>#NUM!</v>
      </c>
      <c r="FJ31" s="57">
        <f ca="1">AVERAGE(OFFSET($FI$3,0,0,'Données projet'!$E$16+1,1))-AVERAGE(OFFSET($H$3,0,0,'Données projet'!$E$16+1,1))</f>
        <v>142.88219003619457</v>
      </c>
      <c r="FK31" s="57">
        <f t="shared" si="48"/>
        <v>288.69704547625088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51.078897663148304</v>
      </c>
      <c r="FR31" s="21">
        <f>EXP(-LN(2)/25)*FR30+(1-EXP(-LN(2)/25))/(LN(2)/25)*Calculateur!FM31*Calculateur!FO31*VLOOKUP('Données projet'!$B$16,Paramètres!$A$1:$I$89,3,0)*0.475*44/12</f>
        <v>13.127267281792832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64.206164944941136</v>
      </c>
      <c r="FU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7" t="e">
        <f t="shared" si="26"/>
        <v>#N/A</v>
      </c>
      <c r="GE31" s="57" t="e">
        <f ca="1">AVERAGE(OFFSET($GD$3,0,0,'Données projet'!$E$17+1,1))-AVERAGE(OFFSET($H$3,0,0,'Données projet'!$E$17+1,1))</f>
        <v>#N/A</v>
      </c>
      <c r="GF31" s="57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7" t="e">
        <f t="shared" si="29"/>
        <v>#N/A</v>
      </c>
      <c r="GZ31" s="57" t="e">
        <f ca="1">AVERAGE(OFFSET($GY$3,0,0,'Données projet'!$E$18+1,1))-AVERAGE(OFFSET($H$3,0,0,'Données projet'!$E$18+1,1))</f>
        <v>#N/A</v>
      </c>
      <c r="HA31" s="57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1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5">
        <f t="shared" si="1"/>
        <v>183.33333333333334</v>
      </c>
      <c r="I32" s="6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101.15664000000001</v>
      </c>
      <c r="P32" s="13">
        <f t="shared" si="33"/>
        <v>27.237366379381644</v>
      </c>
      <c r="Q32" s="20">
        <f t="shared" si="2"/>
        <v>223.61956111075639</v>
      </c>
      <c r="R32" s="57">
        <f t="shared" si="0"/>
        <v>460.54745843353226</v>
      </c>
      <c r="S32" s="57">
        <f ca="1">AVERAGE(OFFSET($R$3,0,0,'Données projet'!$E$9+1,1))-AVERAGE(OFFSET($H$3,0,0,'Données projet'!$E$9+1,1))</f>
        <v>539.63700256763173</v>
      </c>
      <c r="T32" s="57">
        <f t="shared" si="34"/>
        <v>297.32483725004136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94.180320000000037</v>
      </c>
      <c r="AK32" s="13">
        <f t="shared" si="35"/>
        <v>25.570738079029208</v>
      </c>
      <c r="AL32" s="20">
        <f t="shared" si="4"/>
        <v>208.56642615430928</v>
      </c>
      <c r="AM32" s="57">
        <f t="shared" si="5"/>
        <v>445.49432347708512</v>
      </c>
      <c r="AN32" s="57">
        <f ca="1">AVERAGE(OFFSET($AM$3,0,0,'Données projet'!$E$10+1,1))-AVERAGE(OFFSET($H$3,0,0,'Données projet'!$E$10+1,1))</f>
        <v>508.21188526136734</v>
      </c>
      <c r="AO32" s="57">
        <f t="shared" si="36"/>
        <v>281.06176764290592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9.16</v>
      </c>
      <c r="BD32" s="12">
        <f>IF('Données projet'!$A$88&gt;35,BD31+BC32-BL31,IF(A32&lt;'Données projet'!$A$88,$BA$205^A32,IF(A32='Données projet'!$A$88,'Données projet'!$B$88,BD31+BC32-BL31)))</f>
        <v>208.83999999999997</v>
      </c>
      <c r="BE32" s="13">
        <f>BD32*VLOOKUP('Données projet'!$B$11,Paramètres!$A$1:$I$89,3,0)*VLOOKUP('Données projet'!$B$11,Paramètres!$A$1:$I$89,5,0)</f>
        <v>97.73711999999999</v>
      </c>
      <c r="BF32" s="13">
        <f t="shared" si="37"/>
        <v>26.422181548724229</v>
      </c>
      <c r="BG32" s="20">
        <f t="shared" si="7"/>
        <v>216.244116864028</v>
      </c>
      <c r="BH32" s="57">
        <f t="shared" si="8"/>
        <v>453.17201418680384</v>
      </c>
      <c r="BI32" s="57">
        <f ca="1">AVERAGE(OFFSET($BH$3,0,0,'Données projet'!$E$11+1,1))-AVERAGE(OFFSET($H$3,0,0,'Données projet'!$E$11+1,1))</f>
        <v>449.50723280509311</v>
      </c>
      <c r="BJ32" s="57">
        <f t="shared" si="38"/>
        <v>281.26353650058275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4.6895141653651766</v>
      </c>
      <c r="BR32" s="21">
        <f>EXP(-LN(2)/2)*BR31+(1-EXP(-LN(2)/2))/(LN(2)/2)*BL32*BO32*VLOOKUP('Données projet'!$B$11,Paramètres!$A$1:$I$89,3,0)*0.475*44/12</f>
        <v>0.32560133051824997</v>
      </c>
      <c r="BS32" s="22">
        <f t="shared" si="9"/>
        <v>5.0151154958834265</v>
      </c>
      <c r="BT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</v>
      </c>
      <c r="BY32" s="12">
        <f>IF('Données projet'!$A$114&gt;35,BY31+BX32-CG31,IF(A32&lt;'Données projet'!$A$114,$BV$205^A32,IF(A32='Données projet'!$A$114,'Données projet'!$B$114,BY31+BX32-CG31)))</f>
        <v>90</v>
      </c>
      <c r="BZ32" s="13">
        <f>BY32*VLOOKUP('Données projet'!$B$12,Paramètres!$A$1:$I$89,3,0)*VLOOKUP('Données projet'!$B$12,Paramètres!$A$1:$I$89,5,0)</f>
        <v>85.644000000000005</v>
      </c>
      <c r="CA32" s="13">
        <f t="shared" si="39"/>
        <v>23.511648669822069</v>
      </c>
      <c r="CB32" s="20">
        <f t="shared" si="10"/>
        <v>190.1127547666068</v>
      </c>
      <c r="CC32" s="57">
        <f t="shared" si="11"/>
        <v>427.04065208938266</v>
      </c>
      <c r="CD32" s="57">
        <f ca="1">AVERAGE(OFFSET($CC$3,0,0,'Données projet'!$E$12+1,1))-AVERAGE(OFFSET($H$3,0,0,'Données projet'!$E$12+1,1))</f>
        <v>479.4551766174892</v>
      </c>
      <c r="CE32" s="57">
        <f t="shared" si="40"/>
        <v>260.29028006191834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28</v>
      </c>
      <c r="CT32" s="12">
        <f>IF('Données projet'!$A$140&gt;35,CT31+CS32-DB31,IF(A32&lt;'Données projet'!$A$140,$CQ$205^A32,IF(A32='Données projet'!$A$140,'Données projet'!$B$140,CT31+CS32-DB31)))</f>
        <v>393</v>
      </c>
      <c r="CU32" s="17">
        <f>CT32*VLOOKUP('Données projet'!$B$13,Paramètres!$A$1:$I$89,3,0)*VLOOKUP('Données projet'!$B$13,Paramètres!$A$1:$I$89,5,0)</f>
        <v>219.68700000000001</v>
      </c>
      <c r="CV32" s="13">
        <f t="shared" si="41"/>
        <v>54.046851081096591</v>
      </c>
      <c r="CW32" s="20">
        <f t="shared" si="13"/>
        <v>476.75312396624321</v>
      </c>
      <c r="CX32" s="57">
        <f t="shared" si="14"/>
        <v>713.6810212890191</v>
      </c>
      <c r="CY32" s="57">
        <f ca="1">AVERAGE(OFFSET($CX$3,0,0,'Données projet'!$E$13+1,1))-AVERAGE(OFFSET($H$3,0,0,'Données projet'!$E$13+1,1))</f>
        <v>459.83870442974046</v>
      </c>
      <c r="CZ32" s="57">
        <f t="shared" si="42"/>
        <v>565.68976940602215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10.995284806427925</v>
      </c>
      <c r="DH32" s="21">
        <f>EXP(-LN(2)/2)*DH31+(1-EXP(-LN(2)/2))/(LN(2)/2)*DB32*DE32*VLOOKUP('Données projet'!$B$13,Paramètres!$A$1:$I$89,3,0)*0.475*44/12</f>
        <v>3.7595320546447297</v>
      </c>
      <c r="DI32" s="22">
        <f t="shared" si="15"/>
        <v>14.754816861072655</v>
      </c>
      <c r="DJ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11.934720000000004</v>
      </c>
      <c r="DO32" s="12">
        <f>IF('Données projet'!$A$166&gt;35,DO31+DN32-DW31,IF(A32&lt;'Données projet'!$A$166,$DL$205^A32,IF(A32='Données projet'!$A$166,'Données projet'!$B$166,DO31+DN32-DW31)))</f>
        <v>192.97737999999993</v>
      </c>
      <c r="DP32" s="17">
        <f>DO32*VLOOKUP('Données projet'!$B$14,Paramètres!$A$1:$I$89,3,0)*VLOOKUP('Données projet'!$B$14,Paramètres!$A$1:$I$89,5,0)</f>
        <v>126.43877937599996</v>
      </c>
      <c r="DQ32" s="13">
        <f t="shared" si="43"/>
        <v>33.172140269745263</v>
      </c>
      <c r="DR32" s="20">
        <f t="shared" si="16"/>
        <v>277.98901838300623</v>
      </c>
      <c r="DS32" s="57">
        <f t="shared" si="17"/>
        <v>514.916915705782</v>
      </c>
      <c r="DT32" s="57">
        <f ca="1">AVERAGE(OFFSET($DS$3,0,0,'Données projet'!$E$14+1,1))-AVERAGE(OFFSET($H$3,0,0,'Données projet'!$E$14+1,1))</f>
        <v>315.23504986325418</v>
      </c>
      <c r="DU32" s="57">
        <f t="shared" si="44"/>
        <v>350.52837099886688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5.8505381720873251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5.8505381720873251</v>
      </c>
      <c r="EE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2.1523809523809527</v>
      </c>
      <c r="EJ32" s="12">
        <f>IF('Données projet'!$A$192&gt;35,EJ31+EI32-ER31,IF(A32&lt;'Données projet'!$A$192,$EG$205^A32,IF(A32='Données projet'!$A$192,'Données projet'!$B$192,EJ31+EI32-ER31)))</f>
        <v>62.41904761904761</v>
      </c>
      <c r="EK32" s="17">
        <f>EJ32*VLOOKUP('Données projet'!$B$15,Paramètres!$A$1:$I$89,3,0)*VLOOKUP('Données projet'!$B$15,Paramètres!$A$1:$I$89,5,0)</f>
        <v>60.371702857142857</v>
      </c>
      <c r="EL32" s="13">
        <f t="shared" si="45"/>
        <v>17.26221335083078</v>
      </c>
      <c r="EM32" s="20">
        <f t="shared" si="19"/>
        <v>135.21240406222077</v>
      </c>
      <c r="EN32" s="57">
        <f t="shared" si="20"/>
        <v>372.14030138499663</v>
      </c>
      <c r="EO32" s="57">
        <f ca="1">AVERAGE(OFFSET($EN$3,0,0,'Données projet'!$E$15+1,1))-AVERAGE(OFFSET($H$3,0,0,'Données projet'!$E$15+1,1))</f>
        <v>328.31200866623891</v>
      </c>
      <c r="EP32" s="57">
        <f t="shared" si="46"/>
        <v>195.52650232917446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>
        <f>FE32*VLOOKUP('Données projet'!$B$16,Paramètres!$A$1:$I$89,3,0)*VLOOKUP('Données projet'!$B$16,Paramètres!$A$1:$I$89,5,0)</f>
        <v>0</v>
      </c>
      <c r="FG32" s="13" t="e">
        <f t="shared" si="47"/>
        <v>#NUM!</v>
      </c>
      <c r="FH32" s="20" t="e">
        <f t="shared" si="22"/>
        <v>#NUM!</v>
      </c>
      <c r="FI32" s="57" t="e">
        <f t="shared" si="23"/>
        <v>#NUM!</v>
      </c>
      <c r="FJ32" s="57">
        <f ca="1">AVERAGE(OFFSET($FI$3,0,0,'Données projet'!$E$16+1,1))-AVERAGE(OFFSET($H$3,0,0,'Données projet'!$E$16+1,1))</f>
        <v>142.88219003619457</v>
      </c>
      <c r="FK32" s="57">
        <f t="shared" si="48"/>
        <v>288.69704547625088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50.077271635025234</v>
      </c>
      <c r="FR32" s="21">
        <f>EXP(-LN(2)/25)*FR31+(1-EXP(-LN(2)/25))/(LN(2)/25)*Calculateur!FM32*Calculateur!FO32*VLOOKUP('Données projet'!$B$16,Paramètres!$A$1:$I$89,3,0)*0.475*44/12</f>
        <v>12.768301467639224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62.84557310266446</v>
      </c>
      <c r="FU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7" t="e">
        <f t="shared" si="26"/>
        <v>#N/A</v>
      </c>
      <c r="GE32" s="57" t="e">
        <f ca="1">AVERAGE(OFFSET($GD$3,0,0,'Données projet'!$E$17+1,1))-AVERAGE(OFFSET($H$3,0,0,'Données projet'!$E$17+1,1))</f>
        <v>#N/A</v>
      </c>
      <c r="GF32" s="57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7" t="e">
        <f t="shared" si="29"/>
        <v>#N/A</v>
      </c>
      <c r="GZ32" s="57" t="e">
        <f ca="1">AVERAGE(OFFSET($GY$3,0,0,'Données projet'!$E$18+1,1))-AVERAGE(OFFSET($H$3,0,0,'Données projet'!$E$18+1,1))</f>
        <v>#N/A</v>
      </c>
      <c r="HA32" s="57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1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5">
        <f t="shared" si="1"/>
        <v>183.33333333333334</v>
      </c>
      <c r="I33" s="6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109.48080000000002</v>
      </c>
      <c r="P33" s="13">
        <f t="shared" si="33"/>
        <v>29.208623339903898</v>
      </c>
      <c r="Q33" s="20">
        <f t="shared" si="2"/>
        <v>241.55074565033269</v>
      </c>
      <c r="R33" s="57">
        <f t="shared" si="0"/>
        <v>480.65817058337467</v>
      </c>
      <c r="S33" s="57">
        <f ca="1">AVERAGE(OFFSET($R$3,0,0,'Données projet'!$E$9+1,1))-AVERAGE(OFFSET($H$3,0,0,'Données projet'!$E$9+1,1))</f>
        <v>539.63700256763173</v>
      </c>
      <c r="T33" s="57">
        <f t="shared" si="34"/>
        <v>297.32483725004136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101.93040000000003</v>
      </c>
      <c r="AK33" s="13">
        <f t="shared" si="35"/>
        <v>27.421375718582158</v>
      </c>
      <c r="AL33" s="20">
        <f t="shared" si="4"/>
        <v>225.28767604319731</v>
      </c>
      <c r="AM33" s="57">
        <f t="shared" si="5"/>
        <v>464.39510097623929</v>
      </c>
      <c r="AN33" s="57">
        <f ca="1">AVERAGE(OFFSET($AM$3,0,0,'Données projet'!$E$10+1,1))-AVERAGE(OFFSET($H$3,0,0,'Données projet'!$E$10+1,1))</f>
        <v>508.21188526136734</v>
      </c>
      <c r="AO33" s="57">
        <f t="shared" si="36"/>
        <v>281.06176764290592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218</v>
      </c>
      <c r="BB33" s="12">
        <f>VLOOKUP(A33,'Données projet'!$A$87:$I$107,9,0)</f>
        <v>9.16</v>
      </c>
      <c r="BC33" s="12">
        <f t="array" ref="BC33">INDEX(BB:BB,MIN(IF(ISNUMBER(BB33:BB229),ROW(BB33:BB229),"")))</f>
        <v>9.16</v>
      </c>
      <c r="BD33" s="12">
        <f>IF('Données projet'!$A$88&gt;35,BD32+BC33-BL32,IF(A33&lt;'Données projet'!$A$88,$BA$205^A33,IF(A33='Données projet'!$A$88,'Données projet'!$B$88,BD32+BC33-BL32)))</f>
        <v>217.99999999999997</v>
      </c>
      <c r="BE33" s="13">
        <f>BD33*VLOOKUP('Données projet'!$B$11,Paramètres!$A$1:$I$89,3,0)*VLOOKUP('Données projet'!$B$11,Paramètres!$A$1:$I$89,5,0)</f>
        <v>102.02399999999999</v>
      </c>
      <c r="BF33" s="13">
        <f t="shared" si="37"/>
        <v>27.443623866530572</v>
      </c>
      <c r="BG33" s="20">
        <f t="shared" si="7"/>
        <v>225.48944490087408</v>
      </c>
      <c r="BH33" s="57">
        <f t="shared" si="8"/>
        <v>464.59686983391606</v>
      </c>
      <c r="BI33" s="57">
        <f ca="1">AVERAGE(OFFSET($BH$3,0,0,'Données projet'!$E$11+1,1))-AVERAGE(OFFSET($H$3,0,0,'Données projet'!$E$11+1,1))</f>
        <v>449.50723280509311</v>
      </c>
      <c r="BJ33" s="57">
        <f t="shared" si="38"/>
        <v>281.26353650058275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36.4</v>
      </c>
      <c r="BM33" s="16">
        <f>IF(ISNA(VLOOKUP(A33,'Données projet'!$A$87:$I$107,5,0)),0%,VLOOKUP(A33,'Données projet'!$A$87:$I$107,5,0)*VLOOKUP('Données projet'!$B$11,Paramètres!$A$1:$I$89,7,0))</f>
        <v>0.38500000000000001</v>
      </c>
      <c r="BN33" s="16">
        <f>IF(ISNA(VLOOKUP(A33,'Données projet'!$A$87:$I$107,6,0)),0%,VLOOKUP(A33,'Données projet'!$A$87:$I$107,6,0)*VLOOKUP('Données projet'!$B$11,Paramètres!$A$1:$I$89,7,0))</f>
        <v>9.240000000000001E-2</v>
      </c>
      <c r="BO33" s="16">
        <f>IF(ISNA(VLOOKUP(A33,'Données projet'!$A$87:$I$107,7,0)),0%,VLOOKUP(A33,'Données projet'!$A$87:$I$107,7,0))</f>
        <v>0.13200000000000001</v>
      </c>
      <c r="BP33" s="21">
        <f>EXP(-LN(2)/35)*BP32+(1-EXP(-LN(2)/35))/(LN(2)/35)*BL33*BM33*VLOOKUP('Données projet'!$B$11,Paramètres!$A$1:$I$89,3,0)*0.475*44/12</f>
        <v>8.7003419623519065</v>
      </c>
      <c r="BQ33" s="21">
        <f>EXP(-LN(2)/25)*BQ32+(1-EXP(-LN(2)/25))/(LN(2)/25)*Calculateur!BL33*Calculateur!BN33*VLOOKUP('Données projet'!$B$11,Paramètres!$A$1:$I$89,3,0)*0.475*44/12</f>
        <v>6.6411396501318603</v>
      </c>
      <c r="BR33" s="21">
        <f>EXP(-LN(2)/2)*BR32+(1-EXP(-LN(2)/2))/(LN(2)/2)*BL33*BO33*VLOOKUP('Données projet'!$B$11,Paramètres!$A$1:$I$89,3,0)*0.475*44/12</f>
        <v>2.776224988569433</v>
      </c>
      <c r="BS33" s="22">
        <f t="shared" si="9"/>
        <v>18.1177066010532</v>
      </c>
      <c r="BT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97</v>
      </c>
      <c r="BW33" s="12">
        <f>VLOOKUP(A33,'Données projet'!$A$113:$I$133,9,0)</f>
        <v>7</v>
      </c>
      <c r="BX33" s="12">
        <f t="array" ref="BX33">INDEX(BW:BW,MIN(IF(ISNUMBER(BW33:BW229),ROW(BW33:BW229),"")))</f>
        <v>7</v>
      </c>
      <c r="BY33" s="12">
        <f>IF('Données projet'!$A$114&gt;35,BY32+BX33-CG32,IF(A33&lt;'Données projet'!$A$114,$BV$205^A33,IF(A33='Données projet'!$A$114,'Données projet'!$B$114,BY32+BX33-CG32)))</f>
        <v>97</v>
      </c>
      <c r="BZ33" s="13">
        <f>BY33*VLOOKUP('Données projet'!$B$12,Paramètres!$A$1:$I$89,3,0)*VLOOKUP('Données projet'!$B$12,Paramètres!$A$1:$I$89,5,0)</f>
        <v>92.305199999999999</v>
      </c>
      <c r="CA33" s="13">
        <f t="shared" si="39"/>
        <v>25.12036275342183</v>
      </c>
      <c r="CB33" s="20">
        <f t="shared" si="10"/>
        <v>204.51618846220967</v>
      </c>
      <c r="CC33" s="57">
        <f t="shared" si="11"/>
        <v>443.62361339525165</v>
      </c>
      <c r="CD33" s="57">
        <f ca="1">AVERAGE(OFFSET($CC$3,0,0,'Données projet'!$E$12+1,1))-AVERAGE(OFFSET($H$3,0,0,'Données projet'!$E$12+1,1))</f>
        <v>479.4551766174892</v>
      </c>
      <c r="CE33" s="57">
        <f t="shared" si="40"/>
        <v>260.29028006191834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421</v>
      </c>
      <c r="CR33" s="12">
        <f>VLOOKUP(A33,'Données projet'!$A$139:$I$159,9,0)</f>
        <v>28</v>
      </c>
      <c r="CS33" s="12">
        <f t="array" ref="CS33">INDEX(CR:CR,MIN(IF(ISNUMBER(CR33:CR229),ROW(CR33:CR229),"")))</f>
        <v>28</v>
      </c>
      <c r="CT33" s="12">
        <f>IF('Données projet'!$A$140&gt;35,CT32+CS33-DB32,IF(A33&lt;'Données projet'!$A$140,$CQ$205^A33,IF(A33='Données projet'!$A$140,'Données projet'!$B$140,CT32+CS33-DB32)))</f>
        <v>421</v>
      </c>
      <c r="CU33" s="17">
        <f>CT33*VLOOKUP('Données projet'!$B$13,Paramètres!$A$1:$I$89,3,0)*VLOOKUP('Données projet'!$B$13,Paramètres!$A$1:$I$89,5,0)</f>
        <v>235.339</v>
      </c>
      <c r="CV33" s="13">
        <f t="shared" si="41"/>
        <v>57.43555185051494</v>
      </c>
      <c r="CW33" s="20">
        <f t="shared" si="13"/>
        <v>509.91567780631357</v>
      </c>
      <c r="CX33" s="57">
        <f t="shared" si="14"/>
        <v>749.02310273935552</v>
      </c>
      <c r="CY33" s="57">
        <f ca="1">AVERAGE(OFFSET($CX$3,0,0,'Données projet'!$E$13+1,1))-AVERAGE(OFFSET($H$3,0,0,'Données projet'!$E$13+1,1))</f>
        <v>459.83870442974046</v>
      </c>
      <c r="CZ33" s="57">
        <f t="shared" si="42"/>
        <v>565.68976940602215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54</v>
      </c>
      <c r="DC33" s="16">
        <f>IF(ISNA(VLOOKUP(A33,'Données projet'!$A$139:$I$159,5,0)),0%,VLOOKUP(A33,'Données projet'!$A$139:$I$159,5,0)*VLOOKUP('Données projet'!$B$13,Paramètres!$A$1:$I$89,7,0))</f>
        <v>0.38500000000000001</v>
      </c>
      <c r="DD33" s="16">
        <f>IF(ISNA(VLOOKUP(A33,'Données projet'!$A$139:$I$159,6,0)),0%,VLOOKUP(A33,'Données projet'!$A$139:$I$159,6,0)*VLOOKUP('Données projet'!$B$13,Paramètres!$A$1:$I$89,7,0))</f>
        <v>9.240000000000001E-2</v>
      </c>
      <c r="DE33" s="16">
        <f>IF(ISNA(VLOOKUP(A33,'Données projet'!$A$139:$I$159,7,0)),0%,VLOOKUP(A33,'Données projet'!$A$139:$I$159,7,0))</f>
        <v>0.13200000000000001</v>
      </c>
      <c r="DF33" s="21">
        <f>EXP(-LN(2)/35)*DF32+(1-EXP(-LN(2)/35))/(LN(2)/35)*DB33*DC33*VLOOKUP('Données projet'!$B$13,Paramètres!$A$1:$I$89,3,0)*0.475*44/12</f>
        <v>15.416814740980714</v>
      </c>
      <c r="DG33" s="21">
        <f>EXP(-LN(2)/25)*DG32+(1-EXP(-LN(2)/25))/(LN(2)/25)*Calculateur!DB33*Calculateur!DD33*VLOOKUP('Données projet'!$B$13,Paramètres!$A$1:$I$89,3,0)*0.475*44/12</f>
        <v>14.380085253278102</v>
      </c>
      <c r="DH33" s="21">
        <f>EXP(-LN(2)/2)*DH32+(1-EXP(-LN(2)/2))/(LN(2)/2)*DB33*DE33*VLOOKUP('Données projet'!$B$13,Paramètres!$A$1:$I$89,3,0)*0.475*44/12</f>
        <v>7.1698290755011582</v>
      </c>
      <c r="DI33" s="22">
        <f t="shared" si="15"/>
        <v>36.966729069759971</v>
      </c>
      <c r="DJ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11.934720000000004</v>
      </c>
      <c r="DO33" s="12">
        <f>IF('Données projet'!$A$166&gt;35,DO32+DN33-DW32,IF(A33&lt;'Données projet'!$A$166,$DL$205^A33,IF(A33='Données projet'!$A$166,'Données projet'!$B$166,DO32+DN33-DW32)))</f>
        <v>204.91209999999992</v>
      </c>
      <c r="DP33" s="17">
        <f>DO33*VLOOKUP('Données projet'!$B$14,Paramètres!$A$1:$I$89,3,0)*VLOOKUP('Données projet'!$B$14,Paramètres!$A$1:$I$89,5,0)</f>
        <v>134.25840791999994</v>
      </c>
      <c r="DQ33" s="13">
        <f t="shared" si="43"/>
        <v>34.978498912052672</v>
      </c>
      <c r="DR33" s="20">
        <f t="shared" si="16"/>
        <v>294.75427939915829</v>
      </c>
      <c r="DS33" s="57">
        <f t="shared" si="17"/>
        <v>533.86170433220025</v>
      </c>
      <c r="DT33" s="57">
        <f ca="1">AVERAGE(OFFSET($DS$3,0,0,'Données projet'!$E$14+1,1))-AVERAGE(OFFSET($H$3,0,0,'Données projet'!$E$14+1,1))</f>
        <v>315.23504986325418</v>
      </c>
      <c r="DU33" s="57">
        <f t="shared" si="44"/>
        <v>350.52837099886688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5.7358126870086199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5.7358126870086199</v>
      </c>
      <c r="EE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2.1523809523809527</v>
      </c>
      <c r="EJ33" s="12">
        <f>IF('Données projet'!$A$192&gt;35,EJ32+EI33-ER32,IF(A33&lt;'Données projet'!$A$192,$EG$205^A33,IF(A33='Données projet'!$A$192,'Données projet'!$B$192,EJ32+EI33-ER32)))</f>
        <v>64.571428571428569</v>
      </c>
      <c r="EK33" s="17">
        <f>EJ33*VLOOKUP('Données projet'!$B$15,Paramètres!$A$1:$I$89,3,0)*VLOOKUP('Données projet'!$B$15,Paramètres!$A$1:$I$89,5,0)</f>
        <v>62.453485714285719</v>
      </c>
      <c r="EL33" s="13">
        <f t="shared" si="45"/>
        <v>17.787132886364507</v>
      </c>
      <c r="EM33" s="20">
        <f t="shared" si="19"/>
        <v>139.75241072946582</v>
      </c>
      <c r="EN33" s="57">
        <f t="shared" si="20"/>
        <v>378.85983566250781</v>
      </c>
      <c r="EO33" s="57">
        <f ca="1">AVERAGE(OFFSET($EN$3,0,0,'Données projet'!$E$15+1,1))-AVERAGE(OFFSET($H$3,0,0,'Données projet'!$E$15+1,1))</f>
        <v>328.31200866623891</v>
      </c>
      <c r="EP33" s="57">
        <f t="shared" si="46"/>
        <v>195.52650232917446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>
        <f>FE33*VLOOKUP('Données projet'!$B$16,Paramètres!$A$1:$I$89,3,0)*VLOOKUP('Données projet'!$B$16,Paramètres!$A$1:$I$89,5,0)</f>
        <v>0</v>
      </c>
      <c r="FG33" s="13" t="e">
        <f t="shared" si="47"/>
        <v>#NUM!</v>
      </c>
      <c r="FH33" s="20" t="e">
        <f t="shared" si="22"/>
        <v>#NUM!</v>
      </c>
      <c r="FI33" s="57" t="e">
        <f t="shared" si="23"/>
        <v>#NUM!</v>
      </c>
      <c r="FJ33" s="57">
        <f ca="1">AVERAGE(OFFSET($FI$3,0,0,'Données projet'!$E$16+1,1))-AVERAGE(OFFSET($H$3,0,0,'Données projet'!$E$16+1,1))</f>
        <v>142.88219003619457</v>
      </c>
      <c r="FK33" s="57">
        <f t="shared" si="48"/>
        <v>288.69704547625088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49.095286882382105</v>
      </c>
      <c r="FR33" s="21">
        <f>EXP(-LN(2)/25)*FR32+(1-EXP(-LN(2)/25))/(LN(2)/25)*Calculateur!FM33*Calculateur!FO33*VLOOKUP('Données projet'!$B$16,Paramètres!$A$1:$I$89,3,0)*0.475*44/12</f>
        <v>12.419151592550838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61.514438474932945</v>
      </c>
      <c r="FU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7" t="e">
        <f t="shared" si="26"/>
        <v>#N/A</v>
      </c>
      <c r="GE33" s="57" t="e">
        <f ca="1">AVERAGE(OFFSET($GD$3,0,0,'Données projet'!$E$17+1,1))-AVERAGE(OFFSET($H$3,0,0,'Données projet'!$E$17+1,1))</f>
        <v>#N/A</v>
      </c>
      <c r="GF33" s="57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7" t="e">
        <f t="shared" si="29"/>
        <v>#N/A</v>
      </c>
      <c r="GZ33" s="57" t="e">
        <f ca="1">AVERAGE(OFFSET($GY$3,0,0,'Données projet'!$E$18+1,1))-AVERAGE(OFFSET($H$3,0,0,'Données projet'!$E$18+1,1))</f>
        <v>#N/A</v>
      </c>
      <c r="HA33" s="57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1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5">
        <f t="shared" si="1"/>
        <v>183.33333333333334</v>
      </c>
      <c r="I34" s="6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93.91824000000004</v>
      </c>
      <c r="P34" s="13">
        <f t="shared" si="33"/>
        <v>25.507853654186022</v>
      </c>
      <c r="Q34" s="20">
        <f t="shared" si="2"/>
        <v>208.00044644770739</v>
      </c>
      <c r="R34" s="57">
        <f t="shared" si="0"/>
        <v>448.04856966052495</v>
      </c>
      <c r="S34" s="57">
        <f ca="1">AVERAGE(OFFSET($R$3,0,0,'Données projet'!$E$9+1,1))-AVERAGE(OFFSET($H$3,0,0,'Données projet'!$E$9+1,1))</f>
        <v>539.63700256763173</v>
      </c>
      <c r="T34" s="57">
        <f t="shared" si="34"/>
        <v>297.32483725004136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87.441120000000041</v>
      </c>
      <c r="AK34" s="13">
        <f t="shared" si="35"/>
        <v>23.947052577122424</v>
      </c>
      <c r="AL34" s="20">
        <f t="shared" si="4"/>
        <v>194.0010672384883</v>
      </c>
      <c r="AM34" s="57">
        <f t="shared" si="5"/>
        <v>434.04919045130589</v>
      </c>
      <c r="AN34" s="57">
        <f ca="1">AVERAGE(OFFSET($AM$3,0,0,'Données projet'!$E$10+1,1))-AVERAGE(OFFSET($H$3,0,0,'Données projet'!$E$10+1,1))</f>
        <v>508.21188526136734</v>
      </c>
      <c r="AO34" s="57">
        <f t="shared" si="36"/>
        <v>281.06176764290592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12.84</v>
      </c>
      <c r="BD34" s="12">
        <f>IF('Données projet'!$A$88&gt;35,BD33+BC34-BL33,IF(A34&lt;'Données projet'!$A$88,$BA$205^A34,IF(A34='Données projet'!$A$88,'Données projet'!$B$88,BD33+BC34-BL33)))</f>
        <v>194.43999999999997</v>
      </c>
      <c r="BE34" s="13">
        <f>BD34*VLOOKUP('Données projet'!$B$11,Paramètres!$A$1:$I$89,3,0)*VLOOKUP('Données projet'!$B$11,Paramètres!$A$1:$I$89,5,0)</f>
        <v>90.997919999999993</v>
      </c>
      <c r="BF34" s="13">
        <f t="shared" si="37"/>
        <v>24.805744592857391</v>
      </c>
      <c r="BG34" s="20">
        <f t="shared" si="7"/>
        <v>201.69138249922662</v>
      </c>
      <c r="BH34" s="57">
        <f t="shared" si="8"/>
        <v>441.73950571204421</v>
      </c>
      <c r="BI34" s="57">
        <f ca="1">AVERAGE(OFFSET($BH$3,0,0,'Données projet'!$E$11+1,1))-AVERAGE(OFFSET($H$3,0,0,'Données projet'!$E$11+1,1))</f>
        <v>449.50723280509311</v>
      </c>
      <c r="BJ34" s="57">
        <f t="shared" si="38"/>
        <v>281.26353650058275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8.5297335631547906</v>
      </c>
      <c r="BQ34" s="21">
        <f>EXP(-LN(2)/25)*BQ33+(1-EXP(-LN(2)/25))/(LN(2)/25)*Calculateur!BL34*Calculateur!BN34*VLOOKUP('Données projet'!$B$11,Paramètres!$A$1:$I$89,3,0)*0.475*44/12</f>
        <v>6.4595373371566485</v>
      </c>
      <c r="BR34" s="21">
        <f>EXP(-LN(2)/2)*BR33+(1-EXP(-LN(2)/2))/(LN(2)/2)*BL34*BO34*VLOOKUP('Données projet'!$B$11,Paramètres!$A$1:$I$89,3,0)*0.475*44/12</f>
        <v>1.9630875155169916</v>
      </c>
      <c r="BS34" s="22">
        <f t="shared" si="9"/>
        <v>16.952358415828432</v>
      </c>
      <c r="BT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</v>
      </c>
      <c r="BY34" s="12">
        <f>IF('Données projet'!$A$114&gt;35,BY33+BX34-CG33,IF(A34&lt;'Données projet'!$A$114,$BV$205^A34,IF(A34='Données projet'!$A$114,'Données projet'!$B$114,BY33+BX34-CG33)))</f>
        <v>84</v>
      </c>
      <c r="BZ34" s="13">
        <f>BY34*VLOOKUP('Données projet'!$B$12,Paramètres!$A$1:$I$89,3,0)*VLOOKUP('Données projet'!$B$12,Paramètres!$A$1:$I$89,5,0)</f>
        <v>79.934400000000011</v>
      </c>
      <c r="CA34" s="13">
        <f t="shared" si="39"/>
        <v>22.121143821921812</v>
      </c>
      <c r="CB34" s="20">
        <f t="shared" si="10"/>
        <v>177.74673882318049</v>
      </c>
      <c r="CC34" s="57">
        <f t="shared" si="11"/>
        <v>417.79486203599805</v>
      </c>
      <c r="CD34" s="57">
        <f ca="1">AVERAGE(OFFSET($CC$3,0,0,'Données projet'!$E$12+1,1))-AVERAGE(OFFSET($H$3,0,0,'Données projet'!$E$12+1,1))</f>
        <v>479.4551766174892</v>
      </c>
      <c r="CE34" s="57">
        <f t="shared" si="40"/>
        <v>260.29028006191834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27.6</v>
      </c>
      <c r="CT34" s="12">
        <f>IF('Données projet'!$A$140&gt;35,CT33+CS34-DB33,IF(A34&lt;'Données projet'!$A$140,$CQ$205^A34,IF(A34='Données projet'!$A$140,'Données projet'!$B$140,CT33+CS34-DB33)))</f>
        <v>394.6</v>
      </c>
      <c r="CU34" s="17">
        <f>CT34*VLOOKUP('Données projet'!$B$13,Paramètres!$A$1:$I$89,3,0)*VLOOKUP('Données projet'!$B$13,Paramètres!$A$1:$I$89,5,0)</f>
        <v>220.5814</v>
      </c>
      <c r="CV34" s="13">
        <f t="shared" si="41"/>
        <v>54.241230721401301</v>
      </c>
      <c r="CW34" s="20">
        <f t="shared" si="13"/>
        <v>478.64941517310723</v>
      </c>
      <c r="CX34" s="57">
        <f t="shared" si="14"/>
        <v>718.69753838592476</v>
      </c>
      <c r="CY34" s="57">
        <f ca="1">AVERAGE(OFFSET($CX$3,0,0,'Données projet'!$E$13+1,1))-AVERAGE(OFFSET($H$3,0,0,'Données projet'!$E$13+1,1))</f>
        <v>459.83870442974046</v>
      </c>
      <c r="CZ34" s="57">
        <f t="shared" si="42"/>
        <v>565.68976940602215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15.114500407238573</v>
      </c>
      <c r="DG34" s="21">
        <f>EXP(-LN(2)/25)*DG33+(1-EXP(-LN(2)/25))/(LN(2)/25)*Calculateur!DB34*Calculateur!DD34*VLOOKUP('Données projet'!$B$13,Paramètres!$A$1:$I$89,3,0)*0.475*44/12</f>
        <v>13.986861065811395</v>
      </c>
      <c r="DH34" s="21">
        <f>EXP(-LN(2)/2)*DH33+(1-EXP(-LN(2)/2))/(LN(2)/2)*DB34*DE34*VLOOKUP('Données projet'!$B$13,Paramètres!$A$1:$I$89,3,0)*0.475*44/12</f>
        <v>5.0698347592353441</v>
      </c>
      <c r="DI34" s="22">
        <f t="shared" si="15"/>
        <v>34.171196232285311</v>
      </c>
      <c r="DJ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11.934720000000004</v>
      </c>
      <c r="DO34" s="12">
        <f>IF('Données projet'!$A$166&gt;35,DO33+DN34-DW33,IF(A34&lt;'Données projet'!$A$166,$DL$205^A34,IF(A34='Données projet'!$A$166,'Données projet'!$B$166,DO33+DN34-DW33)))</f>
        <v>216.84681999999992</v>
      </c>
      <c r="DP34" s="17">
        <f>DO34*VLOOKUP('Données projet'!$B$14,Paramètres!$A$1:$I$89,3,0)*VLOOKUP('Données projet'!$B$14,Paramètres!$A$1:$I$89,5,0)</f>
        <v>142.07803646399995</v>
      </c>
      <c r="DQ34" s="13">
        <f t="shared" si="43"/>
        <v>36.772645477881142</v>
      </c>
      <c r="DR34" s="20">
        <f t="shared" si="16"/>
        <v>311.49827104877619</v>
      </c>
      <c r="DS34" s="57">
        <f t="shared" si="17"/>
        <v>551.54639426159372</v>
      </c>
      <c r="DT34" s="57">
        <f ca="1">AVERAGE(OFFSET($DS$3,0,0,'Données projet'!$E$14+1,1))-AVERAGE(OFFSET($H$3,0,0,'Données projet'!$E$14+1,1))</f>
        <v>315.23504986325418</v>
      </c>
      <c r="DU34" s="57">
        <f t="shared" si="44"/>
        <v>350.52837099886688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5.6233368987166719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5.6233368987166719</v>
      </c>
      <c r="EE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2.1523809523809527</v>
      </c>
      <c r="EJ34" s="12">
        <f>IF('Données projet'!$A$192&gt;35,EJ33+EI34-ER33,IF(A34&lt;'Données projet'!$A$192,$EG$205^A34,IF(A34='Données projet'!$A$192,'Données projet'!$B$192,EJ33+EI34-ER33)))</f>
        <v>66.723809523809521</v>
      </c>
      <c r="EK34" s="17">
        <f>EJ34*VLOOKUP('Données projet'!$B$15,Paramètres!$A$1:$I$89,3,0)*VLOOKUP('Données projet'!$B$15,Paramètres!$A$1:$I$89,5,0)</f>
        <v>64.535268571428574</v>
      </c>
      <c r="EL34" s="13">
        <f t="shared" si="45"/>
        <v>18.310019282414686</v>
      </c>
      <c r="EM34" s="20">
        <f t="shared" si="19"/>
        <v>144.28887634544367</v>
      </c>
      <c r="EN34" s="57">
        <f t="shared" si="20"/>
        <v>384.33699955826125</v>
      </c>
      <c r="EO34" s="57">
        <f ca="1">AVERAGE(OFFSET($EN$3,0,0,'Données projet'!$E$15+1,1))-AVERAGE(OFFSET($H$3,0,0,'Données projet'!$E$15+1,1))</f>
        <v>328.31200866623891</v>
      </c>
      <c r="EP34" s="57">
        <f t="shared" si="46"/>
        <v>195.52650232917446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>
        <f>FE34*VLOOKUP('Données projet'!$B$16,Paramètres!$A$1:$I$89,3,0)*VLOOKUP('Données projet'!$B$16,Paramètres!$A$1:$I$89,5,0)</f>
        <v>0</v>
      </c>
      <c r="FG34" s="13" t="e">
        <f t="shared" si="47"/>
        <v>#NUM!</v>
      </c>
      <c r="FH34" s="20" t="e">
        <f t="shared" si="22"/>
        <v>#NUM!</v>
      </c>
      <c r="FI34" s="57" t="e">
        <f t="shared" si="23"/>
        <v>#NUM!</v>
      </c>
      <c r="FJ34" s="57">
        <f ca="1">AVERAGE(OFFSET($FI$3,0,0,'Données projet'!$E$16+1,1))-AVERAGE(OFFSET($H$3,0,0,'Données projet'!$E$16+1,1))</f>
        <v>142.88219003619457</v>
      </c>
      <c r="FK34" s="57">
        <f t="shared" si="48"/>
        <v>288.69704547625088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48.132558251786747</v>
      </c>
      <c r="FR34" s="21">
        <f>EXP(-LN(2)/25)*FR33+(1-EXP(-LN(2)/25))/(LN(2)/25)*Calculateur!FM34*Calculateur!FO34*VLOOKUP('Données projet'!$B$16,Paramètres!$A$1:$I$89,3,0)*0.475*44/12</f>
        <v>12.079549239157737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60.212107490944483</v>
      </c>
      <c r="FU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7" t="e">
        <f t="shared" si="26"/>
        <v>#N/A</v>
      </c>
      <c r="GE34" s="57" t="e">
        <f ca="1">AVERAGE(OFFSET($GD$3,0,0,'Données projet'!$E$17+1,1))-AVERAGE(OFFSET($H$3,0,0,'Données projet'!$E$17+1,1))</f>
        <v>#N/A</v>
      </c>
      <c r="GF34" s="57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7" t="e">
        <f t="shared" si="29"/>
        <v>#N/A</v>
      </c>
      <c r="GZ34" s="57" t="e">
        <f ca="1">AVERAGE(OFFSET($GY$3,0,0,'Données projet'!$E$18+1,1))-AVERAGE(OFFSET($H$3,0,0,'Données projet'!$E$18+1,1))</f>
        <v>#N/A</v>
      </c>
      <c r="HA34" s="57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1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5">
        <f t="shared" si="1"/>
        <v>183.33333333333334</v>
      </c>
      <c r="I35" s="6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103.69008000000004</v>
      </c>
      <c r="P35" s="13">
        <f t="shared" si="33"/>
        <v>27.83924565319537</v>
      </c>
      <c r="Q35" s="20">
        <f t="shared" ref="Q35:Q66" si="53">(O35+P35)*0.475*44/12</f>
        <v>229.08024217931529</v>
      </c>
      <c r="R35" s="57">
        <f t="shared" si="0"/>
        <v>470.05274465984064</v>
      </c>
      <c r="S35" s="57">
        <f ca="1">AVERAGE(OFFSET($R$3,0,0,'Données projet'!$E$9+1,1))-AVERAGE(OFFSET($H$3,0,0,'Données projet'!$E$9+1,1))</f>
        <v>539.63700256763173</v>
      </c>
      <c r="T35" s="57">
        <f t="shared" si="34"/>
        <v>297.32483725004136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96.539040000000043</v>
      </c>
      <c r="AK35" s="13">
        <f t="shared" si="35"/>
        <v>26.135788937894091</v>
      </c>
      <c r="AL35" s="20">
        <f t="shared" si="4"/>
        <v>213.65866040016559</v>
      </c>
      <c r="AM35" s="57">
        <f t="shared" si="5"/>
        <v>454.63116288069091</v>
      </c>
      <c r="AN35" s="57">
        <f ca="1">AVERAGE(OFFSET($AM$3,0,0,'Données projet'!$E$10+1,1))-AVERAGE(OFFSET($H$3,0,0,'Données projet'!$E$10+1,1))</f>
        <v>508.21188526136734</v>
      </c>
      <c r="AO35" s="57">
        <f t="shared" si="36"/>
        <v>281.06176764290592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12.84</v>
      </c>
      <c r="BD35" s="12">
        <f>IF('Données projet'!$A$88&gt;35,BD34+BC35-BL34,IF(A35&lt;'Données projet'!$A$88,$BA$205^A35,IF(A35='Données projet'!$A$88,'Données projet'!$B$88,BD34+BC35-BL34)))</f>
        <v>207.27999999999997</v>
      </c>
      <c r="BE35" s="13">
        <f>BD35*VLOOKUP('Données projet'!$B$11,Paramètres!$A$1:$I$89,3,0)*VLOOKUP('Données projet'!$B$11,Paramètres!$A$1:$I$89,5,0)</f>
        <v>97.007039999999989</v>
      </c>
      <c r="BF35" s="13">
        <f t="shared" si="37"/>
        <v>26.247710012105202</v>
      </c>
      <c r="BG35" s="20">
        <f t="shared" si="7"/>
        <v>214.66868960441653</v>
      </c>
      <c r="BH35" s="57">
        <f t="shared" si="8"/>
        <v>455.64119208494185</v>
      </c>
      <c r="BI35" s="57">
        <f ca="1">AVERAGE(OFFSET($BH$3,0,0,'Données projet'!$E$11+1,1))-AVERAGE(OFFSET($H$3,0,0,'Données projet'!$E$11+1,1))</f>
        <v>449.50723280509311</v>
      </c>
      <c r="BJ35" s="57">
        <f t="shared" si="38"/>
        <v>281.26353650058275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8.3624706906050825</v>
      </c>
      <c r="BQ35" s="21">
        <f>EXP(-LN(2)/25)*BQ34+(1-EXP(-LN(2)/25))/(LN(2)/25)*Calculateur!BL35*Calculateur!BN35*VLOOKUP('Données projet'!$B$11,Paramètres!$A$1:$I$89,3,0)*0.475*44/12</f>
        <v>6.2829009489797949</v>
      </c>
      <c r="BR35" s="21">
        <f>EXP(-LN(2)/2)*BR34+(1-EXP(-LN(2)/2))/(LN(2)/2)*BL35*BO35*VLOOKUP('Données projet'!$B$11,Paramètres!$A$1:$I$89,3,0)*0.475*44/12</f>
        <v>1.3881124942847167</v>
      </c>
      <c r="BS35" s="22">
        <f t="shared" si="9"/>
        <v>16.033484133869592</v>
      </c>
      <c r="BT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</v>
      </c>
      <c r="BY35" s="12">
        <f>IF('Données projet'!$A$114&gt;35,BY34+BX35-CG34,IF(A35&lt;'Données projet'!$A$114,$BV$205^A35,IF(A35='Données projet'!$A$114,'Données projet'!$B$114,BY34+BX35-CG34)))</f>
        <v>92</v>
      </c>
      <c r="BZ35" s="13">
        <f>BY35*VLOOKUP('Données projet'!$B$12,Paramètres!$A$1:$I$89,3,0)*VLOOKUP('Données projet'!$B$12,Paramètres!$A$1:$I$89,5,0)</f>
        <v>87.547200000000004</v>
      </c>
      <c r="CA35" s="13">
        <f t="shared" si="39"/>
        <v>23.972720748088616</v>
      </c>
      <c r="CB35" s="20">
        <f t="shared" si="10"/>
        <v>194.23052863625435</v>
      </c>
      <c r="CC35" s="57">
        <f t="shared" si="11"/>
        <v>435.2030311167797</v>
      </c>
      <c r="CD35" s="57">
        <f ca="1">AVERAGE(OFFSET($CC$3,0,0,'Données projet'!$E$12+1,1))-AVERAGE(OFFSET($H$3,0,0,'Données projet'!$E$12+1,1))</f>
        <v>479.4551766174892</v>
      </c>
      <c r="CE35" s="57">
        <f t="shared" si="40"/>
        <v>260.29028006191834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27.6</v>
      </c>
      <c r="CT35" s="12">
        <f>IF('Données projet'!$A$140&gt;35,CT34+CS35-DB34,IF(A35&lt;'Données projet'!$A$140,$CQ$205^A35,IF(A35='Données projet'!$A$140,'Données projet'!$B$140,CT34+CS35-DB34)))</f>
        <v>422.20000000000005</v>
      </c>
      <c r="CU35" s="17">
        <f>CT35*VLOOKUP('Données projet'!$B$13,Paramètres!$A$1:$I$89,3,0)*VLOOKUP('Données projet'!$B$13,Paramètres!$A$1:$I$89,5,0)</f>
        <v>236.00980000000004</v>
      </c>
      <c r="CV35" s="13">
        <f t="shared" si="41"/>
        <v>57.580183613654185</v>
      </c>
      <c r="CW35" s="20">
        <f t="shared" si="13"/>
        <v>511.3358881271144</v>
      </c>
      <c r="CX35" s="57">
        <f t="shared" si="14"/>
        <v>752.30839060763969</v>
      </c>
      <c r="CY35" s="57">
        <f ca="1">AVERAGE(OFFSET($CX$3,0,0,'Données projet'!$E$13+1,1))-AVERAGE(OFFSET($H$3,0,0,'Données projet'!$E$13+1,1))</f>
        <v>459.83870442974046</v>
      </c>
      <c r="CZ35" s="57">
        <f t="shared" si="42"/>
        <v>565.68976940602215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14.818114273187579</v>
      </c>
      <c r="DG35" s="21">
        <f>EXP(-LN(2)/25)*DG34+(1-EXP(-LN(2)/25))/(LN(2)/25)*Calculateur!DB35*Calculateur!DD35*VLOOKUP('Données projet'!$B$13,Paramètres!$A$1:$I$89,3,0)*0.475*44/12</f>
        <v>13.604389614429726</v>
      </c>
      <c r="DH35" s="21">
        <f>EXP(-LN(2)/2)*DH34+(1-EXP(-LN(2)/2))/(LN(2)/2)*DB35*DE35*VLOOKUP('Données projet'!$B$13,Paramètres!$A$1:$I$89,3,0)*0.475*44/12</f>
        <v>3.5849145377505796</v>
      </c>
      <c r="DI35" s="22">
        <f t="shared" si="15"/>
        <v>32.007418425367881</v>
      </c>
      <c r="DJ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11.934720000000004</v>
      </c>
      <c r="DO35" s="12">
        <f>IF('Données projet'!$A$166&gt;35,DO34+DN35-DW34,IF(A35&lt;'Données projet'!$A$166,$DL$205^A35,IF(A35='Données projet'!$A$166,'Données projet'!$B$166,DO34+DN35-DW34)))</f>
        <v>228.78153999999992</v>
      </c>
      <c r="DP35" s="17">
        <f>DO35*VLOOKUP('Données projet'!$B$14,Paramètres!$A$1:$I$89,3,0)*VLOOKUP('Données projet'!$B$14,Paramètres!$A$1:$I$89,5,0)</f>
        <v>149.89766500799996</v>
      </c>
      <c r="DQ35" s="13">
        <f t="shared" si="43"/>
        <v>38.555328703069989</v>
      </c>
      <c r="DR35" s="20">
        <f t="shared" si="16"/>
        <v>328.2222973801135</v>
      </c>
      <c r="DS35" s="57">
        <f t="shared" si="17"/>
        <v>569.1947998606388</v>
      </c>
      <c r="DT35" s="57">
        <f ca="1">AVERAGE(OFFSET($DS$3,0,0,'Données projet'!$E$14+1,1))-AVERAGE(OFFSET($H$3,0,0,'Données projet'!$E$14+1,1))</f>
        <v>315.23504986325418</v>
      </c>
      <c r="DU35" s="57">
        <f t="shared" si="44"/>
        <v>350.52837099886688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5.513066692029672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5.513066692029672</v>
      </c>
      <c r="EE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2.1523809523809527</v>
      </c>
      <c r="EJ35" s="12">
        <f>IF('Données projet'!$A$192&gt;35,EJ34+EI35-ER34,IF(A35&lt;'Données projet'!$A$192,$EG$205^A35,IF(A35='Données projet'!$A$192,'Données projet'!$B$192,EJ34+EI35-ER34)))</f>
        <v>68.876190476190473</v>
      </c>
      <c r="EK35" s="17">
        <f>EJ35*VLOOKUP('Données projet'!$B$15,Paramètres!$A$1:$I$89,3,0)*VLOOKUP('Données projet'!$B$15,Paramètres!$A$1:$I$89,5,0)</f>
        <v>66.617051428571429</v>
      </c>
      <c r="EL35" s="13">
        <f t="shared" si="45"/>
        <v>18.830945646685233</v>
      </c>
      <c r="EM35" s="20">
        <f t="shared" si="19"/>
        <v>148.82192823940537</v>
      </c>
      <c r="EN35" s="57">
        <f t="shared" si="20"/>
        <v>389.79443071993069</v>
      </c>
      <c r="EO35" s="57">
        <f ca="1">AVERAGE(OFFSET($EN$3,0,0,'Données projet'!$E$15+1,1))-AVERAGE(OFFSET($H$3,0,0,'Données projet'!$E$15+1,1))</f>
        <v>328.31200866623891</v>
      </c>
      <c r="EP35" s="57">
        <f t="shared" si="46"/>
        <v>195.52650232917446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>
        <f>FE35*VLOOKUP('Données projet'!$B$16,Paramètres!$A$1:$I$89,3,0)*VLOOKUP('Données projet'!$B$16,Paramètres!$A$1:$I$89,5,0)</f>
        <v>0</v>
      </c>
      <c r="FG35" s="13" t="e">
        <f t="shared" si="47"/>
        <v>#NUM!</v>
      </c>
      <c r="FH35" s="20" t="e">
        <f t="shared" si="22"/>
        <v>#NUM!</v>
      </c>
      <c r="FI35" s="57" t="e">
        <f t="shared" si="23"/>
        <v>#NUM!</v>
      </c>
      <c r="FJ35" s="57">
        <f ca="1">AVERAGE(OFFSET($FI$3,0,0,'Données projet'!$E$16+1,1))-AVERAGE(OFFSET($H$3,0,0,'Données projet'!$E$16+1,1))</f>
        <v>142.88219003619457</v>
      </c>
      <c r="FK35" s="57">
        <f t="shared" si="48"/>
        <v>288.69704547625088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47.188708142430883</v>
      </c>
      <c r="FR35" s="21">
        <f>EXP(-LN(2)/25)*FR34+(1-EXP(-LN(2)/25))/(LN(2)/25)*Calculateur!FM35*Calculateur!FO35*VLOOKUP('Données projet'!$B$16,Paramètres!$A$1:$I$89,3,0)*0.475*44/12</f>
        <v>11.749233329977082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58.937941472407964</v>
      </c>
      <c r="FU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7" t="e">
        <f t="shared" si="26"/>
        <v>#N/A</v>
      </c>
      <c r="GE35" s="57" t="e">
        <f ca="1">AVERAGE(OFFSET($GD$3,0,0,'Données projet'!$E$17+1,1))-AVERAGE(OFFSET($H$3,0,0,'Données projet'!$E$17+1,1))</f>
        <v>#N/A</v>
      </c>
      <c r="GF35" s="57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7" t="e">
        <f t="shared" si="29"/>
        <v>#N/A</v>
      </c>
      <c r="GZ35" s="57" t="e">
        <f ca="1">AVERAGE(OFFSET($GY$3,0,0,'Données projet'!$E$18+1,1))-AVERAGE(OFFSET($H$3,0,0,'Données projet'!$E$18+1,1))</f>
        <v>#N/A</v>
      </c>
      <c r="HA35" s="57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1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5">
        <f t="shared" si="1"/>
        <v>183.33333333333334</v>
      </c>
      <c r="I36" s="6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113.46192000000002</v>
      </c>
      <c r="P36" s="13">
        <f t="shared" si="33"/>
        <v>30.145163126535493</v>
      </c>
      <c r="Q36" s="20">
        <f t="shared" si="53"/>
        <v>250.11566977871598</v>
      </c>
      <c r="R36" s="57">
        <f t="shared" si="0"/>
        <v>491.99651561325675</v>
      </c>
      <c r="S36" s="57">
        <f ca="1">AVERAGE(OFFSET($R$3,0,0,'Données projet'!$E$9+1,1))-AVERAGE(OFFSET($H$3,0,0,'Données projet'!$E$9+1,1))</f>
        <v>539.63700256763173</v>
      </c>
      <c r="T36" s="57">
        <f t="shared" si="34"/>
        <v>297.32483725004136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105.63696000000004</v>
      </c>
      <c r="AK36" s="13">
        <f t="shared" si="35"/>
        <v>28.300609534766192</v>
      </c>
      <c r="AL36" s="20">
        <f t="shared" si="4"/>
        <v>233.27460027305116</v>
      </c>
      <c r="AM36" s="57">
        <f t="shared" si="5"/>
        <v>475.1554461075919</v>
      </c>
      <c r="AN36" s="57">
        <f ca="1">AVERAGE(OFFSET($AM$3,0,0,'Données projet'!$E$10+1,1))-AVERAGE(OFFSET($H$3,0,0,'Données projet'!$E$10+1,1))</f>
        <v>508.21188526136734</v>
      </c>
      <c r="AO36" s="57">
        <f t="shared" si="36"/>
        <v>281.06176764290592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12.84</v>
      </c>
      <c r="BD36" s="12">
        <f>IF('Données projet'!$A$88&gt;35,BD35+BC36-BL35,IF(A36&lt;'Données projet'!$A$88,$BA$205^A36,IF(A36='Données projet'!$A$88,'Données projet'!$B$88,BD35+BC36-BL35)))</f>
        <v>220.11999999999998</v>
      </c>
      <c r="BE36" s="13">
        <f>BD36*VLOOKUP('Données projet'!$B$11,Paramètres!$A$1:$I$89,3,0)*VLOOKUP('Données projet'!$B$11,Paramètres!$A$1:$I$89,5,0)</f>
        <v>103.01615999999999</v>
      </c>
      <c r="BF36" s="13">
        <f t="shared" si="37"/>
        <v>27.67930865112012</v>
      </c>
      <c r="BG36" s="20">
        <f t="shared" si="7"/>
        <v>227.62794123403418</v>
      </c>
      <c r="BH36" s="57">
        <f t="shared" si="8"/>
        <v>469.50878706857492</v>
      </c>
      <c r="BI36" s="57">
        <f ca="1">AVERAGE(OFFSET($BH$3,0,0,'Données projet'!$E$11+1,1))-AVERAGE(OFFSET($H$3,0,0,'Données projet'!$E$11+1,1))</f>
        <v>449.50723280509311</v>
      </c>
      <c r="BJ36" s="57">
        <f t="shared" si="38"/>
        <v>281.26353650058275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8.1984877409657955</v>
      </c>
      <c r="BQ36" s="21">
        <f>EXP(-LN(2)/25)*BQ35+(1-EXP(-LN(2)/25))/(LN(2)/25)*Calculateur!BL36*Calculateur!BN36*VLOOKUP('Données projet'!$B$11,Paramètres!$A$1:$I$89,3,0)*0.475*44/12</f>
        <v>6.1110946921265414</v>
      </c>
      <c r="BR36" s="21">
        <f>EXP(-LN(2)/2)*BR35+(1-EXP(-LN(2)/2))/(LN(2)/2)*BL36*BO36*VLOOKUP('Données projet'!$B$11,Paramètres!$A$1:$I$89,3,0)*0.475*44/12</f>
        <v>0.981543757758496</v>
      </c>
      <c r="BS36" s="22">
        <f t="shared" si="9"/>
        <v>15.291126190850834</v>
      </c>
      <c r="BT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</v>
      </c>
      <c r="BY36" s="12">
        <f>IF('Données projet'!$A$114&gt;35,BY35+BX36-CG35,IF(A36&lt;'Données projet'!$A$114,$BV$205^A36,IF(A36='Données projet'!$A$114,'Données projet'!$B$114,BY35+BX36-CG35)))</f>
        <v>100</v>
      </c>
      <c r="BZ36" s="13">
        <f>BY36*VLOOKUP('Données projet'!$B$12,Paramètres!$A$1:$I$89,3,0)*VLOOKUP('Données projet'!$B$12,Paramètres!$A$1:$I$89,5,0)</f>
        <v>95.16</v>
      </c>
      <c r="CA36" s="13">
        <f t="shared" si="39"/>
        <v>25.80562620332617</v>
      </c>
      <c r="CB36" s="20">
        <f t="shared" si="10"/>
        <v>210.68179897079304</v>
      </c>
      <c r="CC36" s="57">
        <f t="shared" si="11"/>
        <v>452.56264480533378</v>
      </c>
      <c r="CD36" s="57">
        <f ca="1">AVERAGE(OFFSET($CC$3,0,0,'Données projet'!$E$12+1,1))-AVERAGE(OFFSET($H$3,0,0,'Données projet'!$E$12+1,1))</f>
        <v>479.4551766174892</v>
      </c>
      <c r="CE36" s="57">
        <f t="shared" si="40"/>
        <v>260.29028006191834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27.6</v>
      </c>
      <c r="CT36" s="12">
        <f>IF('Données projet'!$A$140&gt;35,CT35+CS36-DB35,IF(A36&lt;'Données projet'!$A$140,$CQ$205^A36,IF(A36='Données projet'!$A$140,'Données projet'!$B$140,CT35+CS36-DB35)))</f>
        <v>449.80000000000007</v>
      </c>
      <c r="CU36" s="17">
        <f>CT36*VLOOKUP('Données projet'!$B$13,Paramètres!$A$1:$I$89,3,0)*VLOOKUP('Données projet'!$B$13,Paramètres!$A$1:$I$89,5,0)</f>
        <v>251.43820000000002</v>
      </c>
      <c r="CV36" s="13">
        <f t="shared" si="41"/>
        <v>60.893806844597648</v>
      </c>
      <c r="CW36" s="20">
        <f t="shared" si="13"/>
        <v>543.978245254341</v>
      </c>
      <c r="CX36" s="57">
        <f t="shared" si="14"/>
        <v>785.85909108888177</v>
      </c>
      <c r="CY36" s="57">
        <f ca="1">AVERAGE(OFFSET($CX$3,0,0,'Données projet'!$E$13+1,1))-AVERAGE(OFFSET($H$3,0,0,'Données projet'!$E$13+1,1))</f>
        <v>459.83870442974046</v>
      </c>
      <c r="CZ36" s="57">
        <f t="shared" si="42"/>
        <v>565.68976940602215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14.527540090447634</v>
      </c>
      <c r="DG36" s="21">
        <f>EXP(-LN(2)/25)*DG35+(1-EXP(-LN(2)/25))/(LN(2)/25)*Calculateur!DB36*Calculateur!DD36*VLOOKUP('Données projet'!$B$13,Paramètres!$A$1:$I$89,3,0)*0.475*44/12</f>
        <v>13.232376864999388</v>
      </c>
      <c r="DH36" s="21">
        <f>EXP(-LN(2)/2)*DH35+(1-EXP(-LN(2)/2))/(LN(2)/2)*DB36*DE36*VLOOKUP('Données projet'!$B$13,Paramètres!$A$1:$I$89,3,0)*0.475*44/12</f>
        <v>2.5349173796176725</v>
      </c>
      <c r="DI36" s="22">
        <f t="shared" si="15"/>
        <v>30.294834335064692</v>
      </c>
      <c r="DJ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11.934720000000004</v>
      </c>
      <c r="DO36" s="12">
        <f>IF('Données projet'!$A$166&gt;35,DO35+DN36-DW35,IF(A36&lt;'Données projet'!$A$166,$DL$205^A36,IF(A36='Données projet'!$A$166,'Données projet'!$B$166,DO35+DN36-DW35)))</f>
        <v>240.71625999999992</v>
      </c>
      <c r="DP36" s="17">
        <f>DO36*VLOOKUP('Données projet'!$B$14,Paramètres!$A$1:$I$89,3,0)*VLOOKUP('Données projet'!$B$14,Paramètres!$A$1:$I$89,5,0)</f>
        <v>157.71729355199994</v>
      </c>
      <c r="DQ36" s="13">
        <f t="shared" si="43"/>
        <v>40.327214793524426</v>
      </c>
      <c r="DR36" s="20">
        <f t="shared" si="16"/>
        <v>344.9275187017883</v>
      </c>
      <c r="DS36" s="57">
        <f t="shared" si="17"/>
        <v>586.80836453632901</v>
      </c>
      <c r="DT36" s="57">
        <f ca="1">AVERAGE(OFFSET($DS$3,0,0,'Données projet'!$E$14+1,1))-AVERAGE(OFFSET($H$3,0,0,'Données projet'!$E$14+1,1))</f>
        <v>315.23504986325418</v>
      </c>
      <c r="DU36" s="57">
        <f t="shared" si="44"/>
        <v>350.52837099886688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5.4049588168376195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5.4049588168376195</v>
      </c>
      <c r="EE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2.1523809523809527</v>
      </c>
      <c r="EJ36" s="12">
        <f>IF('Données projet'!$A$192&gt;35,EJ35+EI36-ER35,IF(A36&lt;'Données projet'!$A$192,$EG$205^A36,IF(A36='Données projet'!$A$192,'Données projet'!$B$192,EJ35+EI36-ER35)))</f>
        <v>71.028571428571425</v>
      </c>
      <c r="EK36" s="17">
        <f>EJ36*VLOOKUP('Données projet'!$B$15,Paramètres!$A$1:$I$89,3,0)*VLOOKUP('Données projet'!$B$15,Paramètres!$A$1:$I$89,5,0)</f>
        <v>68.698834285714284</v>
      </c>
      <c r="EL36" s="13">
        <f t="shared" si="45"/>
        <v>19.349980258117899</v>
      </c>
      <c r="EM36" s="20">
        <f t="shared" si="19"/>
        <v>153.35168533050771</v>
      </c>
      <c r="EN36" s="57">
        <f t="shared" si="20"/>
        <v>395.23253116504844</v>
      </c>
      <c r="EO36" s="57">
        <f ca="1">AVERAGE(OFFSET($EN$3,0,0,'Données projet'!$E$15+1,1))-AVERAGE(OFFSET($H$3,0,0,'Données projet'!$E$15+1,1))</f>
        <v>328.31200866623891</v>
      </c>
      <c r="EP36" s="57">
        <f t="shared" si="46"/>
        <v>195.52650232917446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>
        <f>FE36*VLOOKUP('Données projet'!$B$16,Paramètres!$A$1:$I$89,3,0)*VLOOKUP('Données projet'!$B$16,Paramètres!$A$1:$I$89,5,0)</f>
        <v>0</v>
      </c>
      <c r="FG36" s="13" t="e">
        <f t="shared" si="47"/>
        <v>#NUM!</v>
      </c>
      <c r="FH36" s="20" t="e">
        <f t="shared" si="22"/>
        <v>#NUM!</v>
      </c>
      <c r="FI36" s="57" t="e">
        <f t="shared" si="23"/>
        <v>#NUM!</v>
      </c>
      <c r="FJ36" s="57">
        <f ca="1">AVERAGE(OFFSET($FI$3,0,0,'Données projet'!$E$16+1,1))-AVERAGE(OFFSET($H$3,0,0,'Données projet'!$E$16+1,1))</f>
        <v>142.88219003619457</v>
      </c>
      <c r="FK36" s="57">
        <f t="shared" si="48"/>
        <v>288.69704547625088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46.263366358027767</v>
      </c>
      <c r="FR36" s="21">
        <f>EXP(-LN(2)/25)*FR35+(1-EXP(-LN(2)/25))/(LN(2)/25)*Calculateur!FM36*Calculateur!FO36*VLOOKUP('Données projet'!$B$16,Paramètres!$A$1:$I$89,3,0)*0.475*44/12</f>
        <v>11.427949926703532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57.6913162847313</v>
      </c>
      <c r="FU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7" t="e">
        <f t="shared" si="26"/>
        <v>#N/A</v>
      </c>
      <c r="GE36" s="57" t="e">
        <f ca="1">AVERAGE(OFFSET($GD$3,0,0,'Données projet'!$E$17+1,1))-AVERAGE(OFFSET($H$3,0,0,'Données projet'!$E$17+1,1))</f>
        <v>#N/A</v>
      </c>
      <c r="GF36" s="57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7" t="e">
        <f t="shared" si="29"/>
        <v>#N/A</v>
      </c>
      <c r="GZ36" s="57" t="e">
        <f ca="1">AVERAGE(OFFSET($GY$3,0,0,'Données projet'!$E$18+1,1))-AVERAGE(OFFSET($H$3,0,0,'Données projet'!$E$18+1,1))</f>
        <v>#N/A</v>
      </c>
      <c r="HA36" s="57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1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5">
        <f t="shared" si="1"/>
        <v>183.33333333333334</v>
      </c>
      <c r="I37" s="6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123.23376000000005</v>
      </c>
      <c r="P37" s="13">
        <f t="shared" si="33"/>
        <v>32.428049504876491</v>
      </c>
      <c r="Q37" s="20">
        <f t="shared" si="53"/>
        <v>271.11098488765998</v>
      </c>
      <c r="R37" s="57">
        <f t="shared" si="0"/>
        <v>513.88441634977562</v>
      </c>
      <c r="S37" s="57">
        <f ca="1">AVERAGE(OFFSET($R$3,0,0,'Données projet'!$E$9+1,1))-AVERAGE(OFFSET($H$3,0,0,'Données projet'!$E$9+1,1))</f>
        <v>539.63700256763173</v>
      </c>
      <c r="T37" s="57">
        <f t="shared" si="34"/>
        <v>297.32483725004136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114.73488000000005</v>
      </c>
      <c r="AK37" s="13">
        <f t="shared" si="35"/>
        <v>30.443808287231871</v>
      </c>
      <c r="AL37" s="20">
        <f t="shared" si="4"/>
        <v>252.85288210026226</v>
      </c>
      <c r="AM37" s="57">
        <f t="shared" si="5"/>
        <v>495.62631356237785</v>
      </c>
      <c r="AN37" s="57">
        <f ca="1">AVERAGE(OFFSET($AM$3,0,0,'Données projet'!$E$10+1,1))-AVERAGE(OFFSET($H$3,0,0,'Données projet'!$E$10+1,1))</f>
        <v>508.21188526136734</v>
      </c>
      <c r="AO37" s="57">
        <f t="shared" si="36"/>
        <v>281.06176764290592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12.84</v>
      </c>
      <c r="BD37" s="12">
        <f>IF('Données projet'!$A$88&gt;35,BD36+BC37-BL36,IF(A37&lt;'Données projet'!$A$88,$BA$205^A37,IF(A37='Données projet'!$A$88,'Données projet'!$B$88,BD36+BC37-BL36)))</f>
        <v>232.95999999999998</v>
      </c>
      <c r="BE37" s="13">
        <f>BD37*VLOOKUP('Données projet'!$B$11,Paramètres!$A$1:$I$89,3,0)*VLOOKUP('Données projet'!$B$11,Paramètres!$A$1:$I$89,5,0)</f>
        <v>109.02527999999998</v>
      </c>
      <c r="BF37" s="13">
        <f t="shared" si="37"/>
        <v>29.101214110737224</v>
      </c>
      <c r="BG37" s="20">
        <f t="shared" si="7"/>
        <v>240.57031057620065</v>
      </c>
      <c r="BH37" s="57">
        <f t="shared" si="8"/>
        <v>483.34374203831624</v>
      </c>
      <c r="BI37" s="57">
        <f ca="1">AVERAGE(OFFSET($BH$3,0,0,'Données projet'!$E$11+1,1))-AVERAGE(OFFSET($H$3,0,0,'Données projet'!$E$11+1,1))</f>
        <v>449.50723280509311</v>
      </c>
      <c r="BJ37" s="57">
        <f t="shared" si="38"/>
        <v>281.26353650058275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8.0377203969492115</v>
      </c>
      <c r="BQ37" s="21">
        <f>EXP(-LN(2)/25)*BQ36+(1-EXP(-LN(2)/25))/(LN(2)/25)*Calculateur!BL37*Calculateur!BN37*VLOOKUP('Données projet'!$B$11,Paramètres!$A$1:$I$89,3,0)*0.475*44/12</f>
        <v>5.9439864864018386</v>
      </c>
      <c r="BR37" s="21">
        <f>EXP(-LN(2)/2)*BR36+(1-EXP(-LN(2)/2))/(LN(2)/2)*BL37*BO37*VLOOKUP('Données projet'!$B$11,Paramètres!$A$1:$I$89,3,0)*0.475*44/12</f>
        <v>0.69405624714235847</v>
      </c>
      <c r="BS37" s="22">
        <f t="shared" si="9"/>
        <v>14.675763130493408</v>
      </c>
      <c r="BT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</v>
      </c>
      <c r="BY37" s="12">
        <f>IF('Données projet'!$A$114&gt;35,BY36+BX37-CG36,IF(A37&lt;'Données projet'!$A$114,$BV$205^A37,IF(A37='Données projet'!$A$114,'Données projet'!$B$114,BY36+BX37-CG36)))</f>
        <v>108</v>
      </c>
      <c r="BZ37" s="13">
        <f>BY37*VLOOKUP('Données projet'!$B$12,Paramètres!$A$1:$I$89,3,0)*VLOOKUP('Données projet'!$B$12,Paramètres!$A$1:$I$89,5,0)</f>
        <v>102.77279999999999</v>
      </c>
      <c r="CA37" s="13">
        <f t="shared" si="39"/>
        <v>27.621523727415045</v>
      </c>
      <c r="CB37" s="20">
        <f t="shared" si="10"/>
        <v>227.10344715858119</v>
      </c>
      <c r="CC37" s="57">
        <f t="shared" si="11"/>
        <v>469.87687862069674</v>
      </c>
      <c r="CD37" s="57">
        <f ca="1">AVERAGE(OFFSET($CC$3,0,0,'Données projet'!$E$12+1,1))-AVERAGE(OFFSET($H$3,0,0,'Données projet'!$E$12+1,1))</f>
        <v>479.4551766174892</v>
      </c>
      <c r="CE37" s="57">
        <f t="shared" si="40"/>
        <v>260.29028006191834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27.6</v>
      </c>
      <c r="CT37" s="12">
        <f>IF('Données projet'!$A$140&gt;35,CT36+CS37-DB36,IF(A37&lt;'Données projet'!$A$140,$CQ$205^A37,IF(A37='Données projet'!$A$140,'Données projet'!$B$140,CT36+CS37-DB36)))</f>
        <v>477.40000000000009</v>
      </c>
      <c r="CU37" s="17">
        <f>CT37*VLOOKUP('Données projet'!$B$13,Paramètres!$A$1:$I$89,3,0)*VLOOKUP('Données projet'!$B$13,Paramètres!$A$1:$I$89,5,0)</f>
        <v>266.86660000000006</v>
      </c>
      <c r="CV37" s="13">
        <f t="shared" si="41"/>
        <v>64.183831628008477</v>
      </c>
      <c r="CW37" s="20">
        <f t="shared" si="13"/>
        <v>576.57950175211477</v>
      </c>
      <c r="CX37" s="57">
        <f t="shared" si="14"/>
        <v>819.35293321423035</v>
      </c>
      <c r="CY37" s="57">
        <f ca="1">AVERAGE(OFFSET($CX$3,0,0,'Données projet'!$E$13+1,1))-AVERAGE(OFFSET($H$3,0,0,'Données projet'!$E$13+1,1))</f>
        <v>459.83870442974046</v>
      </c>
      <c r="CZ37" s="57">
        <f t="shared" si="42"/>
        <v>565.68976940602215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14.242663890198466</v>
      </c>
      <c r="DG37" s="21">
        <f>EXP(-LN(2)/25)*DG36+(1-EXP(-LN(2)/25))/(LN(2)/25)*Calculateur!DB37*Calculateur!DD37*VLOOKUP('Données projet'!$B$13,Paramètres!$A$1:$I$89,3,0)*0.475*44/12</f>
        <v>12.870536823765523</v>
      </c>
      <c r="DH37" s="21">
        <f>EXP(-LN(2)/2)*DH36+(1-EXP(-LN(2)/2))/(LN(2)/2)*DB37*DE37*VLOOKUP('Données projet'!$B$13,Paramètres!$A$1:$I$89,3,0)*0.475*44/12</f>
        <v>1.79245726887529</v>
      </c>
      <c r="DI37" s="22">
        <f t="shared" si="15"/>
        <v>28.90565798283928</v>
      </c>
      <c r="DJ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11.934720000000004</v>
      </c>
      <c r="DO37" s="12">
        <f>IF('Données projet'!$A$166&gt;35,DO36+DN37-DW36,IF(A37&lt;'Données projet'!$A$166,$DL$205^A37,IF(A37='Données projet'!$A$166,'Données projet'!$B$166,DO36+DN37-DW36)))</f>
        <v>252.65097999999992</v>
      </c>
      <c r="DP37" s="17">
        <f>DO37*VLOOKUP('Données projet'!$B$14,Paramètres!$A$1:$I$89,3,0)*VLOOKUP('Données projet'!$B$14,Paramètres!$A$1:$I$89,5,0)</f>
        <v>165.53692209599996</v>
      </c>
      <c r="DQ37" s="13">
        <f t="shared" si="43"/>
        <v>42.08890016222027</v>
      </c>
      <c r="DR37" s="20">
        <f t="shared" si="16"/>
        <v>361.61497376640023</v>
      </c>
      <c r="DS37" s="57">
        <f t="shared" si="17"/>
        <v>604.38840522851581</v>
      </c>
      <c r="DT37" s="57">
        <f ca="1">AVERAGE(OFFSET($DS$3,0,0,'Données projet'!$E$14+1,1))-AVERAGE(OFFSET($H$3,0,0,'Données projet'!$E$14+1,1))</f>
        <v>315.23504986325418</v>
      </c>
      <c r="DU37" s="57">
        <f t="shared" si="44"/>
        <v>350.52837099886688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5.2989708711387902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5.2989708711387902</v>
      </c>
      <c r="EE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2.1523809523809527</v>
      </c>
      <c r="EJ37" s="12">
        <f>IF('Données projet'!$A$192&gt;35,EJ36+EI37-ER36,IF(A37&lt;'Données projet'!$A$192,$EG$205^A37,IF(A37='Données projet'!$A$192,'Données projet'!$B$192,EJ36+EI37-ER36)))</f>
        <v>73.180952380952377</v>
      </c>
      <c r="EK37" s="17">
        <f>EJ37*VLOOKUP('Données projet'!$B$15,Paramètres!$A$1:$I$89,3,0)*VLOOKUP('Données projet'!$B$15,Paramètres!$A$1:$I$89,5,0)</f>
        <v>70.780617142857139</v>
      </c>
      <c r="EL37" s="13">
        <f t="shared" si="45"/>
        <v>19.867187022383302</v>
      </c>
      <c r="EM37" s="20">
        <f t="shared" si="19"/>
        <v>157.8782589211271</v>
      </c>
      <c r="EN37" s="57">
        <f t="shared" si="20"/>
        <v>400.65169038324268</v>
      </c>
      <c r="EO37" s="57">
        <f ca="1">AVERAGE(OFFSET($EN$3,0,0,'Données projet'!$E$15+1,1))-AVERAGE(OFFSET($H$3,0,0,'Données projet'!$E$15+1,1))</f>
        <v>328.31200866623891</v>
      </c>
      <c r="EP37" s="57">
        <f t="shared" si="46"/>
        <v>195.52650232917446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>
        <f>FE37*VLOOKUP('Données projet'!$B$16,Paramètres!$A$1:$I$89,3,0)*VLOOKUP('Données projet'!$B$16,Paramètres!$A$1:$I$89,5,0)</f>
        <v>0</v>
      </c>
      <c r="FG37" s="13" t="e">
        <f t="shared" si="47"/>
        <v>#NUM!</v>
      </c>
      <c r="FH37" s="20" t="e">
        <f t="shared" si="22"/>
        <v>#NUM!</v>
      </c>
      <c r="FI37" s="57" t="e">
        <f t="shared" si="23"/>
        <v>#NUM!</v>
      </c>
      <c r="FJ37" s="57">
        <f ca="1">AVERAGE(OFFSET($FI$3,0,0,'Données projet'!$E$16+1,1))-AVERAGE(OFFSET($H$3,0,0,'Données projet'!$E$16+1,1))</f>
        <v>142.88219003619457</v>
      </c>
      <c r="FK37" s="57">
        <f t="shared" si="48"/>
        <v>288.69704547625088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45.356169961614036</v>
      </c>
      <c r="FR37" s="21">
        <f>EXP(-LN(2)/25)*FR36+(1-EXP(-LN(2)/25))/(LN(2)/25)*Calculateur!FM37*Calculateur!FO37*VLOOKUP('Données projet'!$B$16,Paramètres!$A$1:$I$89,3,0)*0.475*44/12</f>
        <v>11.115452034988056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56.471621996602096</v>
      </c>
      <c r="FU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7" t="e">
        <f t="shared" si="26"/>
        <v>#N/A</v>
      </c>
      <c r="GE37" s="57" t="e">
        <f ca="1">AVERAGE(OFFSET($GD$3,0,0,'Données projet'!$E$17+1,1))-AVERAGE(OFFSET($H$3,0,0,'Données projet'!$E$17+1,1))</f>
        <v>#N/A</v>
      </c>
      <c r="GF37" s="57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7" t="e">
        <f t="shared" si="29"/>
        <v>#N/A</v>
      </c>
      <c r="GZ37" s="57" t="e">
        <f ca="1">AVERAGE(OFFSET($GY$3,0,0,'Données projet'!$E$18+1,1))-AVERAGE(OFFSET($H$3,0,0,'Données projet'!$E$18+1,1))</f>
        <v>#N/A</v>
      </c>
      <c r="HA37" s="57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1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5">
        <f t="shared" si="1"/>
        <v>183.33333333333334</v>
      </c>
      <c r="I38" s="6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133.00560000000004</v>
      </c>
      <c r="P38" s="13">
        <f t="shared" si="33"/>
        <v>34.689938673073549</v>
      </c>
      <c r="Q38" s="20">
        <f t="shared" si="53"/>
        <v>292.06972985560316</v>
      </c>
      <c r="R38" s="57">
        <f t="shared" si="0"/>
        <v>535.72026258017763</v>
      </c>
      <c r="S38" s="57">
        <f ca="1">AVERAGE(OFFSET($R$3,0,0,'Données projet'!$E$9+1,1))-AVERAGE(OFFSET($H$3,0,0,'Données projet'!$E$9+1,1))</f>
        <v>539.63700256763173</v>
      </c>
      <c r="T38" s="57">
        <f t="shared" si="34"/>
        <v>297.32483725004136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123.83280000000006</v>
      </c>
      <c r="AK38" s="13">
        <f t="shared" si="35"/>
        <v>32.567294628684579</v>
      </c>
      <c r="AL38" s="20">
        <f t="shared" si="4"/>
        <v>272.39683147829243</v>
      </c>
      <c r="AM38" s="57">
        <f t="shared" si="5"/>
        <v>516.0473642028669</v>
      </c>
      <c r="AN38" s="57">
        <f ca="1">AVERAGE(OFFSET($AM$3,0,0,'Données projet'!$E$10+1,1))-AVERAGE(OFFSET($H$3,0,0,'Données projet'!$E$10+1,1))</f>
        <v>508.21188526136734</v>
      </c>
      <c r="AO38" s="57">
        <f t="shared" si="36"/>
        <v>281.06176764290592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12.84</v>
      </c>
      <c r="BD38" s="12">
        <f>IF('Données projet'!$A$88&gt;35,BD37+BC38-BL37,IF(A38&lt;'Données projet'!$A$88,$BA$205^A38,IF(A38='Données projet'!$A$88,'Données projet'!$B$88,BD37+BC38-BL37)))</f>
        <v>245.79999999999998</v>
      </c>
      <c r="BE38" s="13">
        <f>BD38*VLOOKUP('Données projet'!$B$11,Paramètres!$A$1:$I$89,3,0)*VLOOKUP('Données projet'!$B$11,Paramètres!$A$1:$I$89,5,0)</f>
        <v>115.03439999999999</v>
      </c>
      <c r="BF38" s="13">
        <f t="shared" si="37"/>
        <v>30.514021544691438</v>
      </c>
      <c r="BG38" s="20">
        <f t="shared" si="7"/>
        <v>253.49683419033752</v>
      </c>
      <c r="BH38" s="57">
        <f t="shared" si="8"/>
        <v>497.14736691491203</v>
      </c>
      <c r="BI38" s="57">
        <f ca="1">AVERAGE(OFFSET($BH$3,0,0,'Données projet'!$E$11+1,1))-AVERAGE(OFFSET($H$3,0,0,'Données projet'!$E$11+1,1))</f>
        <v>449.50723280509311</v>
      </c>
      <c r="BJ38" s="57">
        <f t="shared" si="38"/>
        <v>281.26353650058275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7.8801056024903957</v>
      </c>
      <c r="BQ38" s="21">
        <f>EXP(-LN(2)/25)*BQ37+(1-EXP(-LN(2)/25))/(LN(2)/25)*Calculateur!BL38*Calculateur!BN38*VLOOKUP('Données projet'!$B$11,Paramètres!$A$1:$I$89,3,0)*0.475*44/12</f>
        <v>5.7814478633505164</v>
      </c>
      <c r="BR38" s="21">
        <f>EXP(-LN(2)/2)*BR37+(1-EXP(-LN(2)/2))/(LN(2)/2)*BL38*BO38*VLOOKUP('Données projet'!$B$11,Paramètres!$A$1:$I$89,3,0)*0.475*44/12</f>
        <v>0.49077187887924806</v>
      </c>
      <c r="BS38" s="22">
        <f t="shared" si="9"/>
        <v>14.152325344720159</v>
      </c>
      <c r="BT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116</v>
      </c>
      <c r="BW38" s="12">
        <f>VLOOKUP(A38,'Données projet'!$A$113:$I$133,9,0)</f>
        <v>8</v>
      </c>
      <c r="BX38" s="12">
        <f t="array" ref="BX38">INDEX(BW:BW,MIN(IF(ISNUMBER(BW38:BW234),ROW(BW38:BW234),"")))</f>
        <v>8</v>
      </c>
      <c r="BY38" s="12">
        <f>IF('Données projet'!$A$114&gt;35,BY37+BX38-CG37,IF(A38&lt;'Données projet'!$A$114,$BV$205^A38,IF(A38='Données projet'!$A$114,'Données projet'!$B$114,BY37+BX38-CG37)))</f>
        <v>116</v>
      </c>
      <c r="BZ38" s="13">
        <f>BY38*VLOOKUP('Données projet'!$B$12,Paramètres!$A$1:$I$89,3,0)*VLOOKUP('Données projet'!$B$12,Paramètres!$A$1:$I$89,5,0)</f>
        <v>110.38560000000001</v>
      </c>
      <c r="CA38" s="13">
        <f t="shared" si="39"/>
        <v>29.421816429201407</v>
      </c>
      <c r="CB38" s="20">
        <f t="shared" si="10"/>
        <v>243.49791694752579</v>
      </c>
      <c r="CC38" s="57">
        <f t="shared" si="11"/>
        <v>487.1484496721003</v>
      </c>
      <c r="CD38" s="57">
        <f ca="1">AVERAGE(OFFSET($CC$3,0,0,'Données projet'!$E$12+1,1))-AVERAGE(OFFSET($H$3,0,0,'Données projet'!$E$12+1,1))</f>
        <v>479.4551766174892</v>
      </c>
      <c r="CE38" s="57">
        <f t="shared" si="40"/>
        <v>260.29028006191834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505</v>
      </c>
      <c r="CR38" s="12">
        <f>VLOOKUP(A38,'Données projet'!$A$139:$I$159,9,0)</f>
        <v>27.6</v>
      </c>
      <c r="CS38" s="12">
        <f t="array" ref="CS38">INDEX(CR:CR,MIN(IF(ISNUMBER(CR38:CR234),ROW(CR38:CR234),"")))</f>
        <v>27.6</v>
      </c>
      <c r="CT38" s="12">
        <f>IF('Données projet'!$A$140&gt;35,CT37+CS38-DB37,IF(A38&lt;'Données projet'!$A$140,$CQ$205^A38,IF(A38='Données projet'!$A$140,'Données projet'!$B$140,CT37+CS38-DB37)))</f>
        <v>505.00000000000011</v>
      </c>
      <c r="CU38" s="17">
        <f>CT38*VLOOKUP('Données projet'!$B$13,Paramètres!$A$1:$I$89,3,0)*VLOOKUP('Données projet'!$B$13,Paramètres!$A$1:$I$89,5,0)</f>
        <v>282.29500000000007</v>
      </c>
      <c r="CV38" s="13">
        <f t="shared" si="41"/>
        <v>67.451777696853824</v>
      </c>
      <c r="CW38" s="20">
        <f t="shared" si="13"/>
        <v>609.14230448868716</v>
      </c>
      <c r="CX38" s="57">
        <f t="shared" si="14"/>
        <v>852.79283721326169</v>
      </c>
      <c r="CY38" s="57">
        <f ca="1">AVERAGE(OFFSET($CX$3,0,0,'Données projet'!$E$13+1,1))-AVERAGE(OFFSET($H$3,0,0,'Données projet'!$E$13+1,1))</f>
        <v>459.83870442974046</v>
      </c>
      <c r="CZ38" s="57">
        <f t="shared" si="42"/>
        <v>565.68976940602215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69</v>
      </c>
      <c r="DC38" s="16">
        <f>IF(ISNA(VLOOKUP(A38,'Données projet'!$A$139:$I$159,5,0)),0%,VLOOKUP(A38,'Données projet'!$A$139:$I$159,5,0)*VLOOKUP('Données projet'!$B$13,Paramètres!$A$1:$I$89,7,0))</f>
        <v>0.38500000000000001</v>
      </c>
      <c r="DD38" s="16">
        <f>IF(ISNA(VLOOKUP(A38,'Données projet'!$A$139:$I$159,6,0)),0%,VLOOKUP(A38,'Données projet'!$A$139:$I$159,6,0)*VLOOKUP('Données projet'!$B$13,Paramètres!$A$1:$I$89,7,0))</f>
        <v>9.240000000000001E-2</v>
      </c>
      <c r="DE38" s="16">
        <f>IF(ISNA(VLOOKUP(A38,'Données projet'!$A$139:$I$159,7,0)),0%,VLOOKUP(A38,'Données projet'!$A$139:$I$159,7,0))</f>
        <v>0.13200000000000001</v>
      </c>
      <c r="DF38" s="21">
        <f>EXP(-LN(2)/35)*DF37+(1-EXP(-LN(2)/35))/(LN(2)/35)*DB38*DC38*VLOOKUP('Données projet'!$B$13,Paramètres!$A$1:$I$89,3,0)*0.475*44/12</f>
        <v>33.662637218620887</v>
      </c>
      <c r="DG38" s="21">
        <f>EXP(-LN(2)/25)*DG37+(1-EXP(-LN(2)/25))/(LN(2)/25)*Calculateur!DB38*Calculateur!DD38*VLOOKUP('Données projet'!$B$13,Paramètres!$A$1:$I$89,3,0)*0.475*44/12</f>
        <v>17.227799263391621</v>
      </c>
      <c r="DH38" s="21">
        <f>EXP(-LN(2)/2)*DH37+(1-EXP(-LN(2)/2))/(LN(2)/2)*DB38*DE38*VLOOKUP('Données projet'!$B$13,Paramètres!$A$1:$I$89,3,0)*0.475*44/12</f>
        <v>7.0320745069307531</v>
      </c>
      <c r="DI38" s="22">
        <f t="shared" si="15"/>
        <v>57.922510988943259</v>
      </c>
      <c r="DJ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264.58570000000003</v>
      </c>
      <c r="DM38" s="12">
        <f>VLOOKUP(A38,'Données projet'!$A$165:$I$185,9,0)</f>
        <v>11.934720000000004</v>
      </c>
      <c r="DN38" s="12">
        <f t="array" ref="DN38">INDEX(DM:DM,MIN(IF(ISNUMBER(DM38:DM234),ROW(DM38:DM234),"")))</f>
        <v>11.934720000000004</v>
      </c>
      <c r="DO38" s="12">
        <f>IF('Données projet'!$A$166&gt;35,DO37+DN38-DW37,IF(A38&lt;'Données projet'!$A$166,$DL$205^A38,IF(A38='Données projet'!$A$166,'Données projet'!$B$166,DO37+DN38-DW37)))</f>
        <v>264.58569999999992</v>
      </c>
      <c r="DP38" s="17">
        <f>DO38*VLOOKUP('Données projet'!$B$14,Paramètres!$A$1:$I$89,3,0)*VLOOKUP('Données projet'!$B$14,Paramètres!$A$1:$I$89,5,0)</f>
        <v>173.35655063999994</v>
      </c>
      <c r="DQ38" s="13">
        <f t="shared" si="43"/>
        <v>43.84092169136764</v>
      </c>
      <c r="DR38" s="20">
        <f t="shared" si="16"/>
        <v>378.28559764379855</v>
      </c>
      <c r="DS38" s="57">
        <f t="shared" si="17"/>
        <v>621.93613036837303</v>
      </c>
      <c r="DT38" s="57">
        <f ca="1">AVERAGE(OFFSET($DS$3,0,0,'Données projet'!$E$14+1,1))-AVERAGE(OFFSET($H$3,0,0,'Données projet'!$E$14+1,1))</f>
        <v>315.23504986325418</v>
      </c>
      <c r="DU38" s="57">
        <f t="shared" si="44"/>
        <v>350.52837099886688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44.097616666666674</v>
      </c>
      <c r="DX38" s="16">
        <f>IF(ISNA(VLOOKUP(A38,'Données projet'!$A$165:$I$185,5,0)),0%,VLOOKUP(A38,'Données projet'!$A$165:$I$185,5,0)*VLOOKUP('Données projet'!$B$14,Paramètres!$A$1:$I$89,7,0))</f>
        <v>0.30099999999999999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14.809027964573469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14.809027964573469</v>
      </c>
      <c r="EE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2.1523809523809527</v>
      </c>
      <c r="EJ38" s="12">
        <f>IF('Données projet'!$A$192&gt;35,EJ37+EI38-ER37,IF(A38&lt;'Données projet'!$A$192,$EG$205^A38,IF(A38='Données projet'!$A$192,'Données projet'!$B$192,EJ37+EI38-ER37)))</f>
        <v>75.333333333333329</v>
      </c>
      <c r="EK38" s="17">
        <f>EJ38*VLOOKUP('Données projet'!$B$15,Paramètres!$A$1:$I$89,3,0)*VLOOKUP('Données projet'!$B$15,Paramètres!$A$1:$I$89,5,0)</f>
        <v>72.862399999999994</v>
      </c>
      <c r="EL38" s="13">
        <f t="shared" si="45"/>
        <v>20.382625872278943</v>
      </c>
      <c r="EM38" s="20">
        <f t="shared" si="19"/>
        <v>162.40175339421916</v>
      </c>
      <c r="EN38" s="57">
        <f t="shared" si="20"/>
        <v>406.05228611879363</v>
      </c>
      <c r="EO38" s="57">
        <f ca="1">AVERAGE(OFFSET($EN$3,0,0,'Données projet'!$E$15+1,1))-AVERAGE(OFFSET($H$3,0,0,'Données projet'!$E$15+1,1))</f>
        <v>328.31200866623891</v>
      </c>
      <c r="EP38" s="57">
        <f t="shared" si="46"/>
        <v>195.52650232917446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>
        <f>FE38*VLOOKUP('Données projet'!$B$16,Paramètres!$A$1:$I$89,3,0)*VLOOKUP('Données projet'!$B$16,Paramètres!$A$1:$I$89,5,0)</f>
        <v>0</v>
      </c>
      <c r="FG38" s="13" t="e">
        <f t="shared" si="47"/>
        <v>#NUM!</v>
      </c>
      <c r="FH38" s="20" t="e">
        <f t="shared" si="22"/>
        <v>#NUM!</v>
      </c>
      <c r="FI38" s="57" t="e">
        <f t="shared" si="23"/>
        <v>#NUM!</v>
      </c>
      <c r="FJ38" s="57">
        <f ca="1">AVERAGE(OFFSET($FI$3,0,0,'Données projet'!$E$16+1,1))-AVERAGE(OFFSET($H$3,0,0,'Données projet'!$E$16+1,1))</f>
        <v>142.88219003619457</v>
      </c>
      <c r="FK38" s="57">
        <f t="shared" si="48"/>
        <v>288.69704547625088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44.466763133198818</v>
      </c>
      <c r="FR38" s="21">
        <f>EXP(-LN(2)/25)*FR37+(1-EXP(-LN(2)/25))/(LN(2)/25)*Calculateur!FM38*Calculateur!FO38*VLOOKUP('Données projet'!$B$16,Paramètres!$A$1:$I$89,3,0)*0.475*44/12</f>
        <v>10.81149941455509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55.278262547753911</v>
      </c>
      <c r="FU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7" t="e">
        <f t="shared" si="26"/>
        <v>#N/A</v>
      </c>
      <c r="GE38" s="57" t="e">
        <f ca="1">AVERAGE(OFFSET($GD$3,0,0,'Données projet'!$E$17+1,1))-AVERAGE(OFFSET($H$3,0,0,'Données projet'!$E$17+1,1))</f>
        <v>#N/A</v>
      </c>
      <c r="GF38" s="57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7" t="e">
        <f t="shared" si="29"/>
        <v>#N/A</v>
      </c>
      <c r="GZ38" s="57" t="e">
        <f ca="1">AVERAGE(OFFSET($GY$3,0,0,'Données projet'!$E$18+1,1))-AVERAGE(OFFSET($H$3,0,0,'Données projet'!$E$18+1,1))</f>
        <v>#N/A</v>
      </c>
      <c r="HA38" s="57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1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5">
        <f t="shared" si="1"/>
        <v>183.33333333333334</v>
      </c>
      <c r="I39" s="6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117.80496000000004</v>
      </c>
      <c r="P39" s="13">
        <f t="shared" si="33"/>
        <v>31.162493487829593</v>
      </c>
      <c r="Q39" s="20">
        <f t="shared" si="53"/>
        <v>259.45164815796994</v>
      </c>
      <c r="R39" s="57">
        <f t="shared" si="0"/>
        <v>503.96406639900437</v>
      </c>
      <c r="S39" s="57">
        <f ca="1">AVERAGE(OFFSET($R$3,0,0,'Données projet'!$E$9+1,1))-AVERAGE(OFFSET($H$3,0,0,'Données projet'!$E$9+1,1))</f>
        <v>539.63700256763173</v>
      </c>
      <c r="T39" s="57">
        <f t="shared" si="34"/>
        <v>297.32483725004136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109.68048000000006</v>
      </c>
      <c r="AK39" s="13">
        <f t="shared" si="35"/>
        <v>29.255690427909659</v>
      </c>
      <c r="AL39" s="20">
        <f t="shared" si="4"/>
        <v>241.9804968286094</v>
      </c>
      <c r="AM39" s="57">
        <f t="shared" si="5"/>
        <v>486.4929150696438</v>
      </c>
      <c r="AN39" s="57">
        <f ca="1">AVERAGE(OFFSET($AM$3,0,0,'Données projet'!$E$10+1,1))-AVERAGE(OFFSET($H$3,0,0,'Données projet'!$E$10+1,1))</f>
        <v>508.21188526136734</v>
      </c>
      <c r="AO39" s="57">
        <f t="shared" si="36"/>
        <v>281.06176764290592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12.84</v>
      </c>
      <c r="BD39" s="12">
        <f>IF('Données projet'!$A$88&gt;35,BD38+BC39-BL38,IF(A39&lt;'Données projet'!$A$88,$BA$205^A39,IF(A39='Données projet'!$A$88,'Données projet'!$B$88,BD38+BC39-BL38)))</f>
        <v>258.64</v>
      </c>
      <c r="BE39" s="13">
        <f>BD39*VLOOKUP('Données projet'!$B$11,Paramètres!$A$1:$I$89,3,0)*VLOOKUP('Données projet'!$B$11,Paramètres!$A$1:$I$89,5,0)</f>
        <v>121.04352</v>
      </c>
      <c r="BF39" s="13">
        <f t="shared" si="37"/>
        <v>31.918260416023109</v>
      </c>
      <c r="BG39" s="20">
        <f t="shared" si="7"/>
        <v>266.40843422457357</v>
      </c>
      <c r="BH39" s="57">
        <f t="shared" si="8"/>
        <v>510.92085246560799</v>
      </c>
      <c r="BI39" s="57">
        <f ca="1">AVERAGE(OFFSET($BH$3,0,0,'Données projet'!$E$11+1,1))-AVERAGE(OFFSET($H$3,0,0,'Données projet'!$E$11+1,1))</f>
        <v>449.50723280509311</v>
      </c>
      <c r="BJ39" s="57">
        <f t="shared" si="38"/>
        <v>281.26353650058275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7.7255815380153852</v>
      </c>
      <c r="BQ39" s="21">
        <f>EXP(-LN(2)/25)*BQ38+(1-EXP(-LN(2)/25))/(LN(2)/25)*Calculateur!BL39*Calculateur!BN39*VLOOKUP('Données projet'!$B$11,Paramètres!$A$1:$I$89,3,0)*0.475*44/12</f>
        <v>5.6233538674940675</v>
      </c>
      <c r="BR39" s="21">
        <f>EXP(-LN(2)/2)*BR38+(1-EXP(-LN(2)/2))/(LN(2)/2)*BL39*BO39*VLOOKUP('Données projet'!$B$11,Paramètres!$A$1:$I$89,3,0)*0.475*44/12</f>
        <v>0.34702812357117929</v>
      </c>
      <c r="BS39" s="22">
        <f t="shared" si="9"/>
        <v>13.695963529080633</v>
      </c>
      <c r="BT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103.4</v>
      </c>
      <c r="BZ39" s="13">
        <f>BY39*VLOOKUP('Données projet'!$B$12,Paramètres!$A$1:$I$89,3,0)*VLOOKUP('Données projet'!$B$12,Paramètres!$A$1:$I$89,5,0)</f>
        <v>98.395440000000008</v>
      </c>
      <c r="CA39" s="13">
        <f t="shared" si="39"/>
        <v>26.57937412584554</v>
      </c>
      <c r="CB39" s="20">
        <f t="shared" si="10"/>
        <v>217.66446793584763</v>
      </c>
      <c r="CC39" s="57">
        <f t="shared" si="11"/>
        <v>462.17688617688202</v>
      </c>
      <c r="CD39" s="57">
        <f ca="1">AVERAGE(OFFSET($CC$3,0,0,'Données projet'!$E$12+1,1))-AVERAGE(OFFSET($H$3,0,0,'Données projet'!$E$12+1,1))</f>
        <v>479.4551766174892</v>
      </c>
      <c r="CE39" s="57">
        <f t="shared" si="40"/>
        <v>260.29028006191834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25.6</v>
      </c>
      <c r="CT39" s="12">
        <f>IF('Données projet'!$A$140&gt;35,CT38+CS39-DB38,IF(A39&lt;'Données projet'!$A$140,$CQ$205^A39,IF(A39='Données projet'!$A$140,'Données projet'!$B$140,CT38+CS39-DB38)))</f>
        <v>461.60000000000014</v>
      </c>
      <c r="CU39" s="17">
        <f>CT39*VLOOKUP('Données projet'!$B$13,Paramètres!$A$1:$I$89,3,0)*VLOOKUP('Données projet'!$B$13,Paramètres!$A$1:$I$89,5,0)</f>
        <v>258.03440000000006</v>
      </c>
      <c r="CV39" s="13">
        <f t="shared" si="41"/>
        <v>62.303206596431174</v>
      </c>
      <c r="CW39" s="20">
        <f t="shared" si="13"/>
        <v>557.9213314887844</v>
      </c>
      <c r="CX39" s="57">
        <f t="shared" si="14"/>
        <v>802.43374972981883</v>
      </c>
      <c r="CY39" s="57">
        <f ca="1">AVERAGE(OFFSET($CX$3,0,0,'Données projet'!$E$13+1,1))-AVERAGE(OFFSET($H$3,0,0,'Données projet'!$E$13+1,1))</f>
        <v>459.83870442974046</v>
      </c>
      <c r="CZ39" s="57">
        <f t="shared" si="42"/>
        <v>565.68976940602215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33.00253343494505</v>
      </c>
      <c r="DG39" s="21">
        <f>EXP(-LN(2)/25)*DG38+(1-EXP(-LN(2)/25))/(LN(2)/25)*Calculateur!DB39*Calculateur!DD39*VLOOKUP('Données projet'!$B$13,Paramètres!$A$1:$I$89,3,0)*0.475*44/12</f>
        <v>16.756704186563589</v>
      </c>
      <c r="DH39" s="21">
        <f>EXP(-LN(2)/2)*DH38+(1-EXP(-LN(2)/2))/(LN(2)/2)*DB39*DE39*VLOOKUP('Données projet'!$B$13,Paramètres!$A$1:$I$89,3,0)*0.475*44/12</f>
        <v>4.9724275696597831</v>
      </c>
      <c r="DI39" s="22">
        <f t="shared" si="15"/>
        <v>54.731665191168425</v>
      </c>
      <c r="DJ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14.406720000000007</v>
      </c>
      <c r="DO39" s="12">
        <f>IF('Données projet'!$A$166&gt;35,DO38+DN39-DW38,IF(A39&lt;'Données projet'!$A$166,$DL$205^A39,IF(A39='Données projet'!$A$166,'Données projet'!$B$166,DO38+DN39-DW38)))</f>
        <v>234.89480333333324</v>
      </c>
      <c r="DP39" s="17">
        <f>DO39*VLOOKUP('Données projet'!$B$14,Paramètres!$A$1:$I$89,3,0)*VLOOKUP('Données projet'!$B$14,Paramètres!$A$1:$I$89,5,0)</f>
        <v>153.90307514399996</v>
      </c>
      <c r="DQ39" s="13">
        <f t="shared" si="43"/>
        <v>39.464243035264104</v>
      </c>
      <c r="DR39" s="20">
        <f t="shared" si="16"/>
        <v>336.78141249555159</v>
      </c>
      <c r="DS39" s="57">
        <f t="shared" si="17"/>
        <v>581.29383073658596</v>
      </c>
      <c r="DT39" s="57">
        <f ca="1">AVERAGE(OFFSET($DS$3,0,0,'Données projet'!$E$14+1,1))-AVERAGE(OFFSET($H$3,0,0,'Données projet'!$E$14+1,1))</f>
        <v>315.23504986325418</v>
      </c>
      <c r="DU39" s="57">
        <f t="shared" si="44"/>
        <v>350.52837099886688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14.518631958803345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14.518631958803345</v>
      </c>
      <c r="EE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2.1523809523809527</v>
      </c>
      <c r="EJ39" s="12">
        <f>IF('Données projet'!$A$192&gt;35,EJ38+EI39-ER38,IF(A39&lt;'Données projet'!$A$192,$EG$205^A39,IF(A39='Données projet'!$A$192,'Données projet'!$B$192,EJ38+EI39-ER38)))</f>
        <v>77.48571428571428</v>
      </c>
      <c r="EK39" s="17">
        <f>EJ39*VLOOKUP('Données projet'!$B$15,Paramètres!$A$1:$I$89,3,0)*VLOOKUP('Données projet'!$B$15,Paramètres!$A$1:$I$89,5,0)</f>
        <v>74.944182857142849</v>
      </c>
      <c r="EL39" s="13">
        <f t="shared" si="45"/>
        <v>20.896353121081216</v>
      </c>
      <c r="EM39" s="20">
        <f t="shared" si="19"/>
        <v>166.92226682874025</v>
      </c>
      <c r="EN39" s="57">
        <f t="shared" si="20"/>
        <v>411.43468506977467</v>
      </c>
      <c r="EO39" s="57">
        <f ca="1">AVERAGE(OFFSET($EN$3,0,0,'Données projet'!$E$15+1,1))-AVERAGE(OFFSET($H$3,0,0,'Données projet'!$E$15+1,1))</f>
        <v>328.31200866623891</v>
      </c>
      <c r="EP39" s="57">
        <f t="shared" si="46"/>
        <v>195.52650232917446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>
        <f>FE39*VLOOKUP('Données projet'!$B$16,Paramètres!$A$1:$I$89,3,0)*VLOOKUP('Données projet'!$B$16,Paramètres!$A$1:$I$89,5,0)</f>
        <v>0</v>
      </c>
      <c r="FG39" s="13" t="e">
        <f t="shared" si="47"/>
        <v>#NUM!</v>
      </c>
      <c r="FH39" s="20" t="e">
        <f t="shared" si="22"/>
        <v>#NUM!</v>
      </c>
      <c r="FI39" s="57" t="e">
        <f t="shared" si="23"/>
        <v>#NUM!</v>
      </c>
      <c r="FJ39" s="57">
        <f ca="1">AVERAGE(OFFSET($FI$3,0,0,'Données projet'!$E$16+1,1))-AVERAGE(OFFSET($H$3,0,0,'Données projet'!$E$16+1,1))</f>
        <v>142.88219003619457</v>
      </c>
      <c r="FK39" s="57">
        <f t="shared" si="48"/>
        <v>288.69704547625088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43.594797030204219</v>
      </c>
      <c r="FR39" s="21">
        <f>EXP(-LN(2)/25)*FR38+(1-EXP(-LN(2)/25))/(LN(2)/25)*Calculateur!FM39*Calculateur!FO39*VLOOKUP('Données projet'!$B$16,Paramètres!$A$1:$I$89,3,0)*0.475*44/12</f>
        <v>10.515858394512037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54.110655424716256</v>
      </c>
      <c r="FU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7" t="e">
        <f t="shared" si="26"/>
        <v>#N/A</v>
      </c>
      <c r="GE39" s="57" t="e">
        <f ca="1">AVERAGE(OFFSET($GD$3,0,0,'Données projet'!$E$17+1,1))-AVERAGE(OFFSET($H$3,0,0,'Données projet'!$E$17+1,1))</f>
        <v>#N/A</v>
      </c>
      <c r="GF39" s="57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7" t="e">
        <f t="shared" si="29"/>
        <v>#N/A</v>
      </c>
      <c r="GZ39" s="57" t="e">
        <f ca="1">AVERAGE(OFFSET($GY$3,0,0,'Données projet'!$E$18+1,1))-AVERAGE(OFFSET($H$3,0,0,'Données projet'!$E$18+1,1))</f>
        <v>#N/A</v>
      </c>
      <c r="HA39" s="57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1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5">
        <f t="shared" si="1"/>
        <v>183.33333333333334</v>
      </c>
      <c r="I40" s="6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127.93872000000003</v>
      </c>
      <c r="P40" s="13">
        <f t="shared" si="33"/>
        <v>33.519615889545641</v>
      </c>
      <c r="Q40" s="20">
        <f t="shared" si="53"/>
        <v>281.20660167429202</v>
      </c>
      <c r="R40" s="57">
        <f t="shared" si="0"/>
        <v>526.56595364496309</v>
      </c>
      <c r="S40" s="57">
        <f ca="1">AVERAGE(OFFSET($R$3,0,0,'Données projet'!$E$9+1,1))-AVERAGE(OFFSET($H$3,0,0,'Données projet'!$E$9+1,1))</f>
        <v>539.63700256763173</v>
      </c>
      <c r="T40" s="57">
        <f t="shared" si="34"/>
        <v>297.32483725004136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119.11536000000004</v>
      </c>
      <c r="AK40" s="13">
        <f t="shared" si="35"/>
        <v>31.468582772748093</v>
      </c>
      <c r="AL40" s="20">
        <f t="shared" si="4"/>
        <v>262.26703366253628</v>
      </c>
      <c r="AM40" s="57">
        <f t="shared" si="5"/>
        <v>507.62638563320741</v>
      </c>
      <c r="AN40" s="57">
        <f ca="1">AVERAGE(OFFSET($AM$3,0,0,'Données projet'!$E$10+1,1))-AVERAGE(OFFSET($H$3,0,0,'Données projet'!$E$10+1,1))</f>
        <v>508.21188526136734</v>
      </c>
      <c r="AO40" s="57">
        <f t="shared" si="36"/>
        <v>281.06176764290592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12.84</v>
      </c>
      <c r="BD40" s="12">
        <f>IF('Données projet'!$A$88&gt;35,BD39+BC40-BL39,IF(A40&lt;'Données projet'!$A$88,$BA$205^A40,IF(A40='Données projet'!$A$88,'Données projet'!$B$88,BD39+BC40-BL39)))</f>
        <v>271.47999999999996</v>
      </c>
      <c r="BE40" s="13">
        <f>BD40*VLOOKUP('Données projet'!$B$11,Paramètres!$A$1:$I$89,3,0)*VLOOKUP('Données projet'!$B$11,Paramètres!$A$1:$I$89,5,0)</f>
        <v>127.05263999999998</v>
      </c>
      <c r="BF40" s="13">
        <f t="shared" si="37"/>
        <v>33.314404648399972</v>
      </c>
      <c r="BG40" s="20">
        <f t="shared" si="7"/>
        <v>279.3059360959632</v>
      </c>
      <c r="BH40" s="57">
        <f t="shared" si="8"/>
        <v>524.66528806663428</v>
      </c>
      <c r="BI40" s="57">
        <f ca="1">AVERAGE(OFFSET($BH$3,0,0,'Données projet'!$E$11+1,1))-AVERAGE(OFFSET($H$3,0,0,'Données projet'!$E$11+1,1))</f>
        <v>449.50723280509311</v>
      </c>
      <c r="BJ40" s="57">
        <f t="shared" si="38"/>
        <v>281.26353650058275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7.5740875961943566</v>
      </c>
      <c r="BQ40" s="21">
        <f>EXP(-LN(2)/25)*BQ39+(1-EXP(-LN(2)/25))/(LN(2)/25)*Calculateur!BL40*Calculateur!BN40*VLOOKUP('Données projet'!$B$11,Paramètres!$A$1:$I$89,3,0)*0.475*44/12</f>
        <v>5.4695829602681147</v>
      </c>
      <c r="BR40" s="21">
        <f>EXP(-LN(2)/2)*BR39+(1-EXP(-LN(2)/2))/(LN(2)/2)*BL40*BO40*VLOOKUP('Données projet'!$B$11,Paramètres!$A$1:$I$89,3,0)*0.475*44/12</f>
        <v>0.24538593943962406</v>
      </c>
      <c r="BS40" s="22">
        <f t="shared" si="9"/>
        <v>13.289056495902095</v>
      </c>
      <c r="BT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111.80000000000001</v>
      </c>
      <c r="BZ40" s="13">
        <f>BY40*VLOOKUP('Données projet'!$B$12,Paramètres!$A$1:$I$89,3,0)*VLOOKUP('Données projet'!$B$12,Paramètres!$A$1:$I$89,5,0)</f>
        <v>106.38888000000001</v>
      </c>
      <c r="CA40" s="13">
        <f t="shared" si="39"/>
        <v>28.478530760975403</v>
      </c>
      <c r="CB40" s="20">
        <f t="shared" si="10"/>
        <v>234.89407374203219</v>
      </c>
      <c r="CC40" s="57">
        <f t="shared" si="11"/>
        <v>480.25342571270329</v>
      </c>
      <c r="CD40" s="57">
        <f ca="1">AVERAGE(OFFSET($CC$3,0,0,'Données projet'!$E$12+1,1))-AVERAGE(OFFSET($H$3,0,0,'Données projet'!$E$12+1,1))</f>
        <v>479.4551766174892</v>
      </c>
      <c r="CE40" s="57">
        <f t="shared" si="40"/>
        <v>260.29028006191834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25.6</v>
      </c>
      <c r="CT40" s="12">
        <f>IF('Données projet'!$A$140&gt;35,CT39+CS40-DB39,IF(A40&lt;'Données projet'!$A$140,$CQ$205^A40,IF(A40='Données projet'!$A$140,'Données projet'!$B$140,CT39+CS40-DB39)))</f>
        <v>487.20000000000016</v>
      </c>
      <c r="CU40" s="17">
        <f>CT40*VLOOKUP('Données projet'!$B$13,Paramètres!$A$1:$I$89,3,0)*VLOOKUP('Données projet'!$B$13,Paramètres!$A$1:$I$89,5,0)</f>
        <v>272.34480000000008</v>
      </c>
      <c r="CV40" s="13">
        <f t="shared" si="41"/>
        <v>65.346644318451709</v>
      </c>
      <c r="CW40" s="20">
        <f t="shared" si="13"/>
        <v>588.14593218797006</v>
      </c>
      <c r="CX40" s="57">
        <f t="shared" si="14"/>
        <v>833.50528415864119</v>
      </c>
      <c r="CY40" s="57">
        <f ca="1">AVERAGE(OFFSET($CX$3,0,0,'Données projet'!$E$13+1,1))-AVERAGE(OFFSET($H$3,0,0,'Données projet'!$E$13+1,1))</f>
        <v>459.83870442974046</v>
      </c>
      <c r="CZ40" s="57">
        <f t="shared" si="42"/>
        <v>565.68976940602215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32.355373883843548</v>
      </c>
      <c r="DG40" s="21">
        <f>EXP(-LN(2)/25)*DG39+(1-EXP(-LN(2)/25))/(LN(2)/25)*Calculateur!DB40*Calculateur!DD40*VLOOKUP('Données projet'!$B$13,Paramètres!$A$1:$I$89,3,0)*0.475*44/12</f>
        <v>16.298491229385231</v>
      </c>
      <c r="DH40" s="21">
        <f>EXP(-LN(2)/2)*DH39+(1-EXP(-LN(2)/2))/(LN(2)/2)*DB40*DE40*VLOOKUP('Données projet'!$B$13,Paramètres!$A$1:$I$89,3,0)*0.475*44/12</f>
        <v>3.5160372534653765</v>
      </c>
      <c r="DI40" s="22">
        <f t="shared" si="15"/>
        <v>52.169902366694153</v>
      </c>
      <c r="DJ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14.406720000000007</v>
      </c>
      <c r="DO40" s="12">
        <f>IF('Données projet'!$A$166&gt;35,DO39+DN40-DW39,IF(A40&lt;'Données projet'!$A$166,$DL$205^A40,IF(A40='Données projet'!$A$166,'Données projet'!$B$166,DO39+DN40-DW39)))</f>
        <v>249.30152333333325</v>
      </c>
      <c r="DP40" s="17">
        <f>DO40*VLOOKUP('Données projet'!$B$14,Paramètres!$A$1:$I$89,3,0)*VLOOKUP('Données projet'!$B$14,Paramètres!$A$1:$I$89,5,0)</f>
        <v>163.34235808799994</v>
      </c>
      <c r="DQ40" s="13">
        <f t="shared" si="43"/>
        <v>41.595484098292673</v>
      </c>
      <c r="DR40" s="20">
        <f t="shared" si="16"/>
        <v>356.93340847445961</v>
      </c>
      <c r="DS40" s="57">
        <f t="shared" si="17"/>
        <v>602.29276044513074</v>
      </c>
      <c r="DT40" s="57">
        <f ca="1">AVERAGE(OFFSET($DS$3,0,0,'Données projet'!$E$14+1,1))-AVERAGE(OFFSET($H$3,0,0,'Données projet'!$E$14+1,1))</f>
        <v>315.23504986325418</v>
      </c>
      <c r="DU40" s="57">
        <f t="shared" si="44"/>
        <v>350.52837099886688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14.233930441582299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14.233930441582299</v>
      </c>
      <c r="EE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2.1523809523809527</v>
      </c>
      <c r="EJ40" s="12">
        <f>IF('Données projet'!$A$192&gt;35,EJ39+EI40-ER39,IF(A40&lt;'Données projet'!$A$192,$EG$205^A40,IF(A40='Données projet'!$A$192,'Données projet'!$B$192,EJ39+EI40-ER39)))</f>
        <v>79.638095238095232</v>
      </c>
      <c r="EK40" s="17">
        <f>EJ40*VLOOKUP('Données projet'!$B$15,Paramètres!$A$1:$I$89,3,0)*VLOOKUP('Données projet'!$B$15,Paramètres!$A$1:$I$89,5,0)</f>
        <v>77.025965714285718</v>
      </c>
      <c r="EL40" s="13">
        <f t="shared" si="45"/>
        <v>21.408421775532389</v>
      </c>
      <c r="EM40" s="20">
        <f t="shared" si="19"/>
        <v>171.43989154476654</v>
      </c>
      <c r="EN40" s="57">
        <f t="shared" si="20"/>
        <v>416.79924351543764</v>
      </c>
      <c r="EO40" s="57">
        <f ca="1">AVERAGE(OFFSET($EN$3,0,0,'Données projet'!$E$15+1,1))-AVERAGE(OFFSET($H$3,0,0,'Données projet'!$E$15+1,1))</f>
        <v>328.31200866623891</v>
      </c>
      <c r="EP40" s="57">
        <f t="shared" si="46"/>
        <v>195.52650232917446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>
        <f>FE40*VLOOKUP('Données projet'!$B$16,Paramètres!$A$1:$I$89,3,0)*VLOOKUP('Données projet'!$B$16,Paramètres!$A$1:$I$89,5,0)</f>
        <v>0</v>
      </c>
      <c r="FG40" s="13" t="e">
        <f t="shared" si="47"/>
        <v>#NUM!</v>
      </c>
      <c r="FH40" s="20" t="e">
        <f t="shared" si="22"/>
        <v>#NUM!</v>
      </c>
      <c r="FI40" s="57" t="e">
        <f t="shared" si="23"/>
        <v>#NUM!</v>
      </c>
      <c r="FJ40" s="57">
        <f ca="1">AVERAGE(OFFSET($FI$3,0,0,'Données projet'!$E$16+1,1))-AVERAGE(OFFSET($H$3,0,0,'Données projet'!$E$16+1,1))</f>
        <v>142.88219003619457</v>
      </c>
      <c r="FK40" s="57">
        <f t="shared" si="48"/>
        <v>288.69704547625088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42.739929650642537</v>
      </c>
      <c r="FR40" s="21">
        <f>EXP(-LN(2)/25)*FR39+(1-EXP(-LN(2)/25))/(LN(2)/25)*Calculateur!FM40*Calculateur!FO40*VLOOKUP('Données projet'!$B$16,Paramètres!$A$1:$I$89,3,0)*0.475*44/12</f>
        <v>10.228301693709147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52.968231344351686</v>
      </c>
      <c r="FU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7" t="e">
        <f t="shared" si="26"/>
        <v>#N/A</v>
      </c>
      <c r="GE40" s="57" t="e">
        <f ca="1">AVERAGE(OFFSET($GD$3,0,0,'Données projet'!$E$17+1,1))-AVERAGE(OFFSET($H$3,0,0,'Données projet'!$E$17+1,1))</f>
        <v>#N/A</v>
      </c>
      <c r="GF40" s="57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7" t="e">
        <f t="shared" si="29"/>
        <v>#N/A</v>
      </c>
      <c r="GZ40" s="57" t="e">
        <f ca="1">AVERAGE(OFFSET($GY$3,0,0,'Données projet'!$E$18+1,1))-AVERAGE(OFFSET($H$3,0,0,'Données projet'!$E$18+1,1))</f>
        <v>#N/A</v>
      </c>
      <c r="HA40" s="57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1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5">
        <f t="shared" si="1"/>
        <v>183.33333333333334</v>
      </c>
      <c r="I41" s="6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138.07248000000001</v>
      </c>
      <c r="P41" s="13">
        <f t="shared" si="33"/>
        <v>35.85508207677799</v>
      </c>
      <c r="Q41" s="20">
        <f t="shared" si="53"/>
        <v>302.9238372837217</v>
      </c>
      <c r="R41" s="57">
        <f t="shared" si="0"/>
        <v>549.11543057728045</v>
      </c>
      <c r="S41" s="57">
        <f ca="1">AVERAGE(OFFSET($R$3,0,0,'Données projet'!$E$9+1,1))-AVERAGE(OFFSET($H$3,0,0,'Données projet'!$E$9+1,1))</f>
        <v>539.63700256763173</v>
      </c>
      <c r="T41" s="57">
        <f t="shared" si="34"/>
        <v>297.32483725004136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128.55024000000003</v>
      </c>
      <c r="AK41" s="13">
        <f t="shared" si="35"/>
        <v>33.661144026076663</v>
      </c>
      <c r="AL41" s="20">
        <f t="shared" si="4"/>
        <v>282.51816051208363</v>
      </c>
      <c r="AM41" s="57">
        <f t="shared" si="5"/>
        <v>528.70975380564232</v>
      </c>
      <c r="AN41" s="57">
        <f ca="1">AVERAGE(OFFSET($AM$3,0,0,'Données projet'!$E$10+1,1))-AVERAGE(OFFSET($H$3,0,0,'Données projet'!$E$10+1,1))</f>
        <v>508.21188526136734</v>
      </c>
      <c r="AO41" s="57">
        <f t="shared" si="36"/>
        <v>281.06176764290592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12.84</v>
      </c>
      <c r="BD41" s="12">
        <f>IF('Données projet'!$A$88&gt;35,BD40+BC41-BL40,IF(A41&lt;'Données projet'!$A$88,$BA$205^A41,IF(A41='Données projet'!$A$88,'Données projet'!$B$88,BD40+BC41-BL40)))</f>
        <v>284.31999999999994</v>
      </c>
      <c r="BE41" s="13">
        <f>BD41*VLOOKUP('Données projet'!$B$11,Paramètres!$A$1:$I$89,3,0)*VLOOKUP('Données projet'!$B$11,Paramètres!$A$1:$I$89,5,0)</f>
        <v>133.06175999999996</v>
      </c>
      <c r="BF41" s="13">
        <f t="shared" si="37"/>
        <v>34.702880802565176</v>
      </c>
      <c r="BG41" s="20">
        <f t="shared" si="7"/>
        <v>292.19008273113428</v>
      </c>
      <c r="BH41" s="57">
        <f t="shared" si="8"/>
        <v>538.38167602469298</v>
      </c>
      <c r="BI41" s="57">
        <f ca="1">AVERAGE(OFFSET($BH$3,0,0,'Données projet'!$E$11+1,1))-AVERAGE(OFFSET($H$3,0,0,'Données projet'!$E$11+1,1))</f>
        <v>449.50723280509311</v>
      </c>
      <c r="BJ41" s="57">
        <f t="shared" si="38"/>
        <v>281.26353650058275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7.4255643581702575</v>
      </c>
      <c r="BQ41" s="21">
        <f>EXP(-LN(2)/25)*BQ40+(1-EXP(-LN(2)/25))/(LN(2)/25)*Calculateur!BL41*Calculateur!BN41*VLOOKUP('Données projet'!$B$11,Paramètres!$A$1:$I$89,3,0)*0.475*44/12</f>
        <v>5.3200169265867165</v>
      </c>
      <c r="BR41" s="21">
        <f>EXP(-LN(2)/2)*BR40+(1-EXP(-LN(2)/2))/(LN(2)/2)*BL41*BO41*VLOOKUP('Données projet'!$B$11,Paramètres!$A$1:$I$89,3,0)*0.475*44/12</f>
        <v>0.17351406178558967</v>
      </c>
      <c r="BS41" s="22">
        <f t="shared" si="9"/>
        <v>12.919095346542562</v>
      </c>
      <c r="BT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120.20000000000002</v>
      </c>
      <c r="BZ41" s="13">
        <f>BY41*VLOOKUP('Données projet'!$B$12,Paramètres!$A$1:$I$89,3,0)*VLOOKUP('Données projet'!$B$12,Paramètres!$A$1:$I$89,5,0)</f>
        <v>114.38232000000001</v>
      </c>
      <c r="CA41" s="13">
        <f t="shared" si="39"/>
        <v>30.361134085955022</v>
      </c>
      <c r="CB41" s="20">
        <f t="shared" si="10"/>
        <v>252.09484919970498</v>
      </c>
      <c r="CC41" s="57">
        <f t="shared" si="11"/>
        <v>498.28644249326373</v>
      </c>
      <c r="CD41" s="57">
        <f ca="1">AVERAGE(OFFSET($CC$3,0,0,'Données projet'!$E$12+1,1))-AVERAGE(OFFSET($H$3,0,0,'Données projet'!$E$12+1,1))</f>
        <v>479.4551766174892</v>
      </c>
      <c r="CE41" s="57">
        <f t="shared" si="40"/>
        <v>260.29028006191834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25.6</v>
      </c>
      <c r="CT41" s="12">
        <f>IF('Données projet'!$A$140&gt;35,CT40+CS41-DB40,IF(A41&lt;'Données projet'!$A$140,$CQ$205^A41,IF(A41='Données projet'!$A$140,'Données projet'!$B$140,CT40+CS41-DB40)))</f>
        <v>512.80000000000018</v>
      </c>
      <c r="CU41" s="17">
        <f>CT41*VLOOKUP('Données projet'!$B$13,Paramètres!$A$1:$I$89,3,0)*VLOOKUP('Données projet'!$B$13,Paramètres!$A$1:$I$89,5,0)</f>
        <v>286.65520000000009</v>
      </c>
      <c r="CV41" s="13">
        <f t="shared" si="41"/>
        <v>68.37151538584105</v>
      </c>
      <c r="CW41" s="20">
        <f t="shared" si="13"/>
        <v>618.33819596367323</v>
      </c>
      <c r="CX41" s="57">
        <f t="shared" si="14"/>
        <v>864.52978925723198</v>
      </c>
      <c r="CY41" s="57">
        <f ca="1">AVERAGE(OFFSET($CX$3,0,0,'Données projet'!$E$13+1,1))-AVERAGE(OFFSET($H$3,0,0,'Données projet'!$E$13+1,1))</f>
        <v>459.83870442974046</v>
      </c>
      <c r="CZ41" s="57">
        <f t="shared" si="42"/>
        <v>565.68976940602215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31.720904736810791</v>
      </c>
      <c r="DG41" s="21">
        <f>EXP(-LN(2)/25)*DG40+(1-EXP(-LN(2)/25))/(LN(2)/25)*Calculateur!DB41*Calculateur!DD41*VLOOKUP('Données projet'!$B$13,Paramètres!$A$1:$I$89,3,0)*0.475*44/12</f>
        <v>15.852808129617289</v>
      </c>
      <c r="DH41" s="21">
        <f>EXP(-LN(2)/2)*DH40+(1-EXP(-LN(2)/2))/(LN(2)/2)*DB41*DE41*VLOOKUP('Données projet'!$B$13,Paramètres!$A$1:$I$89,3,0)*0.475*44/12</f>
        <v>2.4862137848298915</v>
      </c>
      <c r="DI41" s="22">
        <f t="shared" si="15"/>
        <v>50.059926651257975</v>
      </c>
      <c r="DJ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14.406720000000007</v>
      </c>
      <c r="DO41" s="12">
        <f>IF('Données projet'!$A$166&gt;35,DO40+DN41-DW40,IF(A41&lt;'Données projet'!$A$166,$DL$205^A41,IF(A41='Données projet'!$A$166,'Données projet'!$B$166,DO40+DN41-DW40)))</f>
        <v>263.70824333333326</v>
      </c>
      <c r="DP41" s="17">
        <f>DO41*VLOOKUP('Données projet'!$B$14,Paramètres!$A$1:$I$89,3,0)*VLOOKUP('Données projet'!$B$14,Paramètres!$A$1:$I$89,5,0)</f>
        <v>172.78164103199995</v>
      </c>
      <c r="DQ41" s="13">
        <f t="shared" si="43"/>
        <v>43.712428944897383</v>
      </c>
      <c r="DR41" s="20">
        <f t="shared" si="16"/>
        <v>377.06050520976282</v>
      </c>
      <c r="DS41" s="57">
        <f t="shared" si="17"/>
        <v>623.25209850332158</v>
      </c>
      <c r="DT41" s="57">
        <f ca="1">AVERAGE(OFFSET($DS$3,0,0,'Données projet'!$E$14+1,1))-AVERAGE(OFFSET($H$3,0,0,'Données projet'!$E$14+1,1))</f>
        <v>315.23504986325418</v>
      </c>
      <c r="DU41" s="57">
        <f t="shared" si="44"/>
        <v>350.52837099886688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13.954811747463179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13.954811747463179</v>
      </c>
      <c r="EE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2.1523809523809527</v>
      </c>
      <c r="EJ41" s="12">
        <f>IF('Données projet'!$A$192&gt;35,EJ40+EI41-ER40,IF(A41&lt;'Données projet'!$A$192,$EG$205^A41,IF(A41='Données projet'!$A$192,'Données projet'!$B$192,EJ40+EI41-ER40)))</f>
        <v>81.790476190476184</v>
      </c>
      <c r="EK41" s="17">
        <f>EJ41*VLOOKUP('Données projet'!$B$15,Paramètres!$A$1:$I$89,3,0)*VLOOKUP('Données projet'!$B$15,Paramètres!$A$1:$I$89,5,0)</f>
        <v>79.107748571428573</v>
      </c>
      <c r="EL41" s="13">
        <f t="shared" si="45"/>
        <v>21.918881814039501</v>
      </c>
      <c r="EM41" s="20">
        <f t="shared" si="19"/>
        <v>175.95471458802356</v>
      </c>
      <c r="EN41" s="57">
        <f t="shared" si="20"/>
        <v>422.14630788158229</v>
      </c>
      <c r="EO41" s="57">
        <f ca="1">AVERAGE(OFFSET($EN$3,0,0,'Données projet'!$E$15+1,1))-AVERAGE(OFFSET($H$3,0,0,'Données projet'!$E$15+1,1))</f>
        <v>328.31200866623891</v>
      </c>
      <c r="EP41" s="57">
        <f t="shared" si="46"/>
        <v>195.52650232917446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>
        <f>FE41*VLOOKUP('Données projet'!$B$16,Paramètres!$A$1:$I$89,3,0)*VLOOKUP('Données projet'!$B$16,Paramètres!$A$1:$I$89,5,0)</f>
        <v>0</v>
      </c>
      <c r="FG41" s="13" t="e">
        <f t="shared" si="47"/>
        <v>#NUM!</v>
      </c>
      <c r="FH41" s="20" t="e">
        <f t="shared" si="22"/>
        <v>#NUM!</v>
      </c>
      <c r="FI41" s="57" t="e">
        <f t="shared" si="23"/>
        <v>#NUM!</v>
      </c>
      <c r="FJ41" s="57">
        <f ca="1">AVERAGE(OFFSET($FI$3,0,0,'Données projet'!$E$16+1,1))-AVERAGE(OFFSET($H$3,0,0,'Données projet'!$E$16+1,1))</f>
        <v>142.88219003619457</v>
      </c>
      <c r="FK41" s="57">
        <f t="shared" si="48"/>
        <v>288.69704547625088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41.901825698976445</v>
      </c>
      <c r="FR41" s="21">
        <f>EXP(-LN(2)/25)*FR40+(1-EXP(-LN(2)/25))/(LN(2)/25)*Calculateur!FM41*Calculateur!FO41*VLOOKUP('Données projet'!$B$16,Paramètres!$A$1:$I$89,3,0)*0.475*44/12</f>
        <v>9.9486082460116609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51.850433944988104</v>
      </c>
      <c r="FU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7" t="e">
        <f t="shared" si="26"/>
        <v>#N/A</v>
      </c>
      <c r="GE41" s="57" t="e">
        <f ca="1">AVERAGE(OFFSET($GD$3,0,0,'Données projet'!$E$17+1,1))-AVERAGE(OFFSET($H$3,0,0,'Données projet'!$E$17+1,1))</f>
        <v>#N/A</v>
      </c>
      <c r="GF41" s="57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7" t="e">
        <f t="shared" si="29"/>
        <v>#N/A</v>
      </c>
      <c r="GZ41" s="57" t="e">
        <f ca="1">AVERAGE(OFFSET($GY$3,0,0,'Données projet'!$E$18+1,1))-AVERAGE(OFFSET($H$3,0,0,'Données projet'!$E$18+1,1))</f>
        <v>#N/A</v>
      </c>
      <c r="HA41" s="57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1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5">
        <f t="shared" si="1"/>
        <v>183.33333333333334</v>
      </c>
      <c r="I42" s="6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148.20624000000001</v>
      </c>
      <c r="P42" s="13">
        <f t="shared" si="33"/>
        <v>38.170662245893794</v>
      </c>
      <c r="Q42" s="20">
        <f t="shared" si="53"/>
        <v>324.60643807826506</v>
      </c>
      <c r="R42" s="57">
        <f t="shared" si="0"/>
        <v>571.6158351683722</v>
      </c>
      <c r="S42" s="57">
        <f ca="1">AVERAGE(OFFSET($R$3,0,0,'Données projet'!$E$9+1,1))-AVERAGE(OFFSET($H$3,0,0,'Données projet'!$E$9+1,1))</f>
        <v>539.63700256763173</v>
      </c>
      <c r="T42" s="57">
        <f t="shared" si="34"/>
        <v>297.32483725004136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137.98512000000002</v>
      </c>
      <c r="AK42" s="13">
        <f t="shared" si="35"/>
        <v>35.835036067646342</v>
      </c>
      <c r="AL42" s="20">
        <f t="shared" si="4"/>
        <v>302.73677181781744</v>
      </c>
      <c r="AM42" s="57">
        <f t="shared" si="5"/>
        <v>549.74616890792458</v>
      </c>
      <c r="AN42" s="57">
        <f ca="1">AVERAGE(OFFSET($AM$3,0,0,'Données projet'!$E$10+1,1))-AVERAGE(OFFSET($H$3,0,0,'Données projet'!$E$10+1,1))</f>
        <v>508.21188526136734</v>
      </c>
      <c r="AO42" s="57">
        <f t="shared" si="36"/>
        <v>281.06176764290592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12.84</v>
      </c>
      <c r="BD42" s="12">
        <f>IF('Données projet'!$A$88&gt;35,BD41+BC42-BL41,IF(A42&lt;'Données projet'!$A$88,$BA$205^A42,IF(A42='Données projet'!$A$88,'Données projet'!$B$88,BD41+BC42-BL41)))</f>
        <v>297.15999999999991</v>
      </c>
      <c r="BE42" s="13">
        <f>BD42*VLOOKUP('Données projet'!$B$11,Paramètres!$A$1:$I$89,3,0)*VLOOKUP('Données projet'!$B$11,Paramètres!$A$1:$I$89,5,0)</f>
        <v>139.07087999999996</v>
      </c>
      <c r="BF42" s="13">
        <f t="shared" si="37"/>
        <v>36.084074734040108</v>
      </c>
      <c r="BG42" s="20">
        <f t="shared" si="7"/>
        <v>305.06154616178645</v>
      </c>
      <c r="BH42" s="57">
        <f t="shared" si="8"/>
        <v>552.0709432518936</v>
      </c>
      <c r="BI42" s="57">
        <f ca="1">AVERAGE(OFFSET($BH$3,0,0,'Données projet'!$E$11+1,1))-AVERAGE(OFFSET($H$3,0,0,'Données projet'!$E$11+1,1))</f>
        <v>449.50723280509311</v>
      </c>
      <c r="BJ42" s="57">
        <f t="shared" si="38"/>
        <v>281.26353650058275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7.2799535702535811</v>
      </c>
      <c r="BQ42" s="21">
        <f>EXP(-LN(2)/25)*BQ41+(1-EXP(-LN(2)/25))/(LN(2)/25)*Calculateur!BL42*Calculateur!BN42*VLOOKUP('Données projet'!$B$11,Paramètres!$A$1:$I$89,3,0)*0.475*44/12</f>
        <v>5.1745407839616719</v>
      </c>
      <c r="BR42" s="21">
        <f>EXP(-LN(2)/2)*BR41+(1-EXP(-LN(2)/2))/(LN(2)/2)*BL42*BO42*VLOOKUP('Données projet'!$B$11,Paramètres!$A$1:$I$89,3,0)*0.475*44/12</f>
        <v>0.12269296971981206</v>
      </c>
      <c r="BS42" s="22">
        <f t="shared" si="9"/>
        <v>12.577187323935066</v>
      </c>
      <c r="BT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128.60000000000002</v>
      </c>
      <c r="BZ42" s="13">
        <f>BY42*VLOOKUP('Données projet'!$B$12,Paramètres!$A$1:$I$89,3,0)*VLOOKUP('Données projet'!$B$12,Paramètres!$A$1:$I$89,5,0)</f>
        <v>122.37576000000003</v>
      </c>
      <c r="CA42" s="13">
        <f t="shared" si="39"/>
        <v>32.22847248868726</v>
      </c>
      <c r="CB42" s="20">
        <f t="shared" si="10"/>
        <v>269.26903825113033</v>
      </c>
      <c r="CC42" s="57">
        <f t="shared" si="11"/>
        <v>516.27843534123747</v>
      </c>
      <c r="CD42" s="57">
        <f ca="1">AVERAGE(OFFSET($CC$3,0,0,'Données projet'!$E$12+1,1))-AVERAGE(OFFSET($H$3,0,0,'Données projet'!$E$12+1,1))</f>
        <v>479.4551766174892</v>
      </c>
      <c r="CE42" s="57">
        <f t="shared" si="40"/>
        <v>260.29028006191834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25.6</v>
      </c>
      <c r="CT42" s="12">
        <f>IF('Données projet'!$A$140&gt;35,CT41+CS42-DB41,IF(A42&lt;'Données projet'!$A$140,$CQ$205^A42,IF(A42='Données projet'!$A$140,'Données projet'!$B$140,CT41+CS42-DB41)))</f>
        <v>538.4000000000002</v>
      </c>
      <c r="CU42" s="17">
        <f>CT42*VLOOKUP('Données projet'!$B$13,Paramètres!$A$1:$I$89,3,0)*VLOOKUP('Données projet'!$B$13,Paramètres!$A$1:$I$89,5,0)</f>
        <v>300.96560000000011</v>
      </c>
      <c r="CV42" s="13">
        <f t="shared" si="41"/>
        <v>71.378852450242803</v>
      </c>
      <c r="CW42" s="20">
        <f t="shared" si="13"/>
        <v>648.49992135083971</v>
      </c>
      <c r="CX42" s="57">
        <f t="shared" si="14"/>
        <v>895.5093184409468</v>
      </c>
      <c r="CY42" s="57">
        <f ca="1">AVERAGE(OFFSET($CX$3,0,0,'Données projet'!$E$13+1,1))-AVERAGE(OFFSET($H$3,0,0,'Données projet'!$E$13+1,1))</f>
        <v>459.83870442974046</v>
      </c>
      <c r="CZ42" s="57">
        <f t="shared" si="42"/>
        <v>565.68976940602215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31.098877142763381</v>
      </c>
      <c r="DG42" s="21">
        <f>EXP(-LN(2)/25)*DG41+(1-EXP(-LN(2)/25))/(LN(2)/25)*Calculateur!DB42*Calculateur!DD42*VLOOKUP('Données projet'!$B$13,Paramètres!$A$1:$I$89,3,0)*0.475*44/12</f>
        <v>15.419312257649956</v>
      </c>
      <c r="DH42" s="21">
        <f>EXP(-LN(2)/2)*DH41+(1-EXP(-LN(2)/2))/(LN(2)/2)*DB42*DE42*VLOOKUP('Données projet'!$B$13,Paramètres!$A$1:$I$89,3,0)*0.475*44/12</f>
        <v>1.7580186267326883</v>
      </c>
      <c r="DI42" s="22">
        <f t="shared" si="15"/>
        <v>48.276208027146019</v>
      </c>
      <c r="DJ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14.406720000000007</v>
      </c>
      <c r="DO42" s="12">
        <f>IF('Données projet'!$A$166&gt;35,DO41+DN42-DW41,IF(A42&lt;'Données projet'!$A$166,$DL$205^A42,IF(A42='Données projet'!$A$166,'Données projet'!$B$166,DO41+DN42-DW41)))</f>
        <v>278.11496333333326</v>
      </c>
      <c r="DP42" s="17">
        <f>DO42*VLOOKUP('Données projet'!$B$14,Paramètres!$A$1:$I$89,3,0)*VLOOKUP('Données projet'!$B$14,Paramètres!$A$1:$I$89,5,0)</f>
        <v>182.22092397599994</v>
      </c>
      <c r="DQ42" s="13">
        <f t="shared" si="43"/>
        <v>45.815947628637211</v>
      </c>
      <c r="DR42" s="20">
        <f t="shared" si="16"/>
        <v>397.16421804474311</v>
      </c>
      <c r="DS42" s="57">
        <f t="shared" si="17"/>
        <v>644.17361513485025</v>
      </c>
      <c r="DT42" s="57">
        <f ca="1">AVERAGE(OFFSET($DS$3,0,0,'Données projet'!$E$14+1,1))-AVERAGE(OFFSET($H$3,0,0,'Données projet'!$E$14+1,1))</f>
        <v>315.23504986325418</v>
      </c>
      <c r="DU42" s="57">
        <f t="shared" si="44"/>
        <v>350.52837099886688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13.681166400690142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13.681166400690142</v>
      </c>
      <c r="EE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2.1523809523809527</v>
      </c>
      <c r="EJ42" s="12">
        <f>IF('Données projet'!$A$192&gt;35,EJ41+EI42-ER41,IF(A42&lt;'Données projet'!$A$192,$EG$205^A42,IF(A42='Données projet'!$A$192,'Données projet'!$B$192,EJ41+EI42-ER41)))</f>
        <v>83.942857142857136</v>
      </c>
      <c r="EK42" s="17">
        <f>EJ42*VLOOKUP('Données projet'!$B$15,Paramètres!$A$1:$I$89,3,0)*VLOOKUP('Données projet'!$B$15,Paramètres!$A$1:$I$89,5,0)</f>
        <v>81.189531428571428</v>
      </c>
      <c r="EL42" s="13">
        <f t="shared" si="45"/>
        <v>22.427780434765545</v>
      </c>
      <c r="EM42" s="20">
        <f t="shared" si="19"/>
        <v>180.46681816197852</v>
      </c>
      <c r="EN42" s="57">
        <f t="shared" si="20"/>
        <v>427.47621525208564</v>
      </c>
      <c r="EO42" s="57">
        <f ca="1">AVERAGE(OFFSET($EN$3,0,0,'Données projet'!$E$15+1,1))-AVERAGE(OFFSET($H$3,0,0,'Données projet'!$E$15+1,1))</f>
        <v>328.31200866623891</v>
      </c>
      <c r="EP42" s="57">
        <f t="shared" si="46"/>
        <v>195.52650232917446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>
        <f>FE42*VLOOKUP('Données projet'!$B$16,Paramètres!$A$1:$I$89,3,0)*VLOOKUP('Données projet'!$B$16,Paramètres!$A$1:$I$89,5,0)</f>
        <v>0</v>
      </c>
      <c r="FG42" s="13" t="e">
        <f t="shared" si="47"/>
        <v>#NUM!</v>
      </c>
      <c r="FH42" s="20" t="e">
        <f t="shared" si="22"/>
        <v>#NUM!</v>
      </c>
      <c r="FI42" s="57" t="e">
        <f t="shared" si="23"/>
        <v>#NUM!</v>
      </c>
      <c r="FJ42" s="57">
        <f ca="1">AVERAGE(OFFSET($FI$3,0,0,'Données projet'!$E$16+1,1))-AVERAGE(OFFSET($H$3,0,0,'Données projet'!$E$16+1,1))</f>
        <v>142.88219003619457</v>
      </c>
      <c r="FK42" s="57">
        <f t="shared" si="48"/>
        <v>288.69704547625088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41.080156454609593</v>
      </c>
      <c r="FR42" s="21">
        <f>EXP(-LN(2)/25)*FR41+(1-EXP(-LN(2)/25))/(LN(2)/25)*Calculateur!FM42*Calculateur!FO42*VLOOKUP('Données projet'!$B$16,Paramètres!$A$1:$I$89,3,0)*0.475*44/12</f>
        <v>9.676563030349902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50.756719484959497</v>
      </c>
      <c r="FU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7" t="e">
        <f t="shared" si="26"/>
        <v>#N/A</v>
      </c>
      <c r="GE42" s="57" t="e">
        <f ca="1">AVERAGE(OFFSET($GD$3,0,0,'Données projet'!$E$17+1,1))-AVERAGE(OFFSET($H$3,0,0,'Données projet'!$E$17+1,1))</f>
        <v>#N/A</v>
      </c>
      <c r="GF42" s="57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7" t="e">
        <f t="shared" si="29"/>
        <v>#N/A</v>
      </c>
      <c r="GZ42" s="57" t="e">
        <f ca="1">AVERAGE(OFFSET($GY$3,0,0,'Données projet'!$E$18+1,1))-AVERAGE(OFFSET($H$3,0,0,'Données projet'!$E$18+1,1))</f>
        <v>#N/A</v>
      </c>
      <c r="HA42" s="57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1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5">
        <f t="shared" si="1"/>
        <v>183.33333333333334</v>
      </c>
      <c r="I43" s="6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158.34</v>
      </c>
      <c r="P43" s="13">
        <f t="shared" si="33"/>
        <v>40.467870812652819</v>
      </c>
      <c r="Q43" s="20">
        <f t="shared" si="53"/>
        <v>346.25704166537031</v>
      </c>
      <c r="R43" s="57">
        <f t="shared" si="0"/>
        <v>594.07005548449115</v>
      </c>
      <c r="S43" s="57">
        <f ca="1">AVERAGE(OFFSET($R$3,0,0,'Données projet'!$E$9+1,1))-AVERAGE(OFFSET($H$3,0,0,'Données projet'!$E$9+1,1))</f>
        <v>539.63700256763173</v>
      </c>
      <c r="T43" s="57">
        <f t="shared" si="34"/>
        <v>297.32483725004136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147.42000000000002</v>
      </c>
      <c r="AK43" s="13">
        <f t="shared" si="35"/>
        <v>37.991680647570291</v>
      </c>
      <c r="AL43" s="20">
        <f t="shared" si="4"/>
        <v>322.92534379451826</v>
      </c>
      <c r="AM43" s="57">
        <f t="shared" si="5"/>
        <v>570.7383576136391</v>
      </c>
      <c r="AN43" s="57">
        <f ca="1">AVERAGE(OFFSET($AM$3,0,0,'Données projet'!$E$10+1,1))-AVERAGE(OFFSET($H$3,0,0,'Données projet'!$E$10+1,1))</f>
        <v>508.21188526136734</v>
      </c>
      <c r="AO43" s="57">
        <f t="shared" si="36"/>
        <v>281.06176764290592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310</v>
      </c>
      <c r="BB43" s="12">
        <f>VLOOKUP(A43,'Données projet'!$A$87:$I$107,9,0)</f>
        <v>12.84</v>
      </c>
      <c r="BC43" s="12">
        <f t="array" ref="BC43">INDEX(BB:BB,MIN(IF(ISNUMBER(BB43:BB239),ROW(BB43:BB239),"")))</f>
        <v>12.84</v>
      </c>
      <c r="BD43" s="12">
        <f>IF('Données projet'!$A$88&gt;35,BD42+BC43-BL42,IF(A43&lt;'Données projet'!$A$88,$BA$205^A43,IF(A43='Données projet'!$A$88,'Données projet'!$B$88,BD42+BC43-BL42)))</f>
        <v>309.99999999999989</v>
      </c>
      <c r="BE43" s="13">
        <f>BD43*VLOOKUP('Données projet'!$B$11,Paramètres!$A$1:$I$89,3,0)*VLOOKUP('Données projet'!$B$11,Paramètres!$A$1:$I$89,5,0)</f>
        <v>145.07999999999996</v>
      </c>
      <c r="BF43" s="13">
        <f t="shared" si="37"/>
        <v>37.458337067672986</v>
      </c>
      <c r="BG43" s="20">
        <f t="shared" si="7"/>
        <v>317.92093705953039</v>
      </c>
      <c r="BH43" s="57">
        <f t="shared" si="8"/>
        <v>565.73395087865117</v>
      </c>
      <c r="BI43" s="57">
        <f ca="1">AVERAGE(OFFSET($BH$3,0,0,'Données projet'!$E$11+1,1))-AVERAGE(OFFSET($H$3,0,0,'Données projet'!$E$11+1,1))</f>
        <v>449.50723280509311</v>
      </c>
      <c r="BJ43" s="57">
        <f t="shared" si="38"/>
        <v>281.26353650058275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52.26666666666668</v>
      </c>
      <c r="BM43" s="16">
        <f>IF(ISNA(VLOOKUP(A43,'Données projet'!$A$87:$I$107,5,0)),0%,VLOOKUP(A43,'Données projet'!$A$87:$I$107,5,0)*VLOOKUP('Données projet'!$B$11,Paramètres!$A$1:$I$89,7,0))</f>
        <v>0.38500000000000001</v>
      </c>
      <c r="BN43" s="16">
        <f>IF(ISNA(VLOOKUP(A43,'Données projet'!$A$87:$I$107,6,0)),0%,VLOOKUP(A43,'Données projet'!$A$87:$I$107,6,0)*VLOOKUP('Données projet'!$B$11,Paramètres!$A$1:$I$89,7,0))</f>
        <v>9.240000000000001E-2</v>
      </c>
      <c r="BO43" s="16">
        <f>IF(ISNA(VLOOKUP(A43,'Données projet'!$A$87:$I$107,7,0)),0%,VLOOKUP(A43,'Données projet'!$A$87:$I$107,7,0))</f>
        <v>0.13200000000000001</v>
      </c>
      <c r="BP43" s="21">
        <f>EXP(-LN(2)/35)*BP42+(1-EXP(-LN(2)/35))/(LN(2)/35)*BL43*BM43*VLOOKUP('Données projet'!$B$11,Paramètres!$A$1:$I$89,3,0)*0.475*44/12</f>
        <v>19.629996836246111</v>
      </c>
      <c r="BQ43" s="21">
        <f>EXP(-LN(2)/25)*BQ42+(1-EXP(-LN(2)/25))/(LN(2)/25)*Calculateur!BL43*Calculateur!BN43*VLOOKUP('Données projet'!$B$11,Paramètres!$A$1:$I$89,3,0)*0.475*44/12</f>
        <v>8.0195090476671691</v>
      </c>
      <c r="BR43" s="21">
        <f>EXP(-LN(2)/2)*BR42+(1-EXP(-LN(2)/2))/(LN(2)/2)*BL43*BO43*VLOOKUP('Données projet'!$B$11,Paramètres!$A$1:$I$89,3,0)*0.475*44/12</f>
        <v>3.7425376582930654</v>
      </c>
      <c r="BS43" s="22">
        <f t="shared" si="9"/>
        <v>31.392043542206345</v>
      </c>
      <c r="BT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137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137.00000000000003</v>
      </c>
      <c r="BZ43" s="13">
        <f>BY43*VLOOKUP('Données projet'!$B$12,Paramètres!$A$1:$I$89,3,0)*VLOOKUP('Données projet'!$B$12,Paramètres!$A$1:$I$89,5,0)</f>
        <v>130.36920000000003</v>
      </c>
      <c r="CA43" s="13">
        <f t="shared" si="39"/>
        <v>34.081656526320486</v>
      </c>
      <c r="CB43" s="20">
        <f t="shared" si="10"/>
        <v>286.4185751166749</v>
      </c>
      <c r="CC43" s="57">
        <f t="shared" si="11"/>
        <v>534.23158893579568</v>
      </c>
      <c r="CD43" s="57">
        <f ca="1">AVERAGE(OFFSET($CC$3,0,0,'Données projet'!$E$12+1,1))-AVERAGE(OFFSET($H$3,0,0,'Données projet'!$E$12+1,1))</f>
        <v>479.4551766174892</v>
      </c>
      <c r="CE43" s="57">
        <f t="shared" si="40"/>
        <v>260.29028006191834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564</v>
      </c>
      <c r="CR43" s="12">
        <f>VLOOKUP(A43,'Données projet'!$A$139:$I$159,9,0)</f>
        <v>25.6</v>
      </c>
      <c r="CS43" s="12">
        <f t="array" ref="CS43">INDEX(CR:CR,MIN(IF(ISNUMBER(CR43:CR239),ROW(CR43:CR239),"")))</f>
        <v>25.6</v>
      </c>
      <c r="CT43" s="12">
        <f>IF('Données projet'!$A$140&gt;35,CT42+CS43-DB42,IF(A43&lt;'Données projet'!$A$140,$CQ$205^A43,IF(A43='Données projet'!$A$140,'Données projet'!$B$140,CT42+CS43-DB42)))</f>
        <v>564.00000000000023</v>
      </c>
      <c r="CU43" s="17">
        <f>CT43*VLOOKUP('Données projet'!$B$13,Paramètres!$A$1:$I$89,3,0)*VLOOKUP('Données projet'!$B$13,Paramètres!$A$1:$I$89,5,0)</f>
        <v>315.27600000000012</v>
      </c>
      <c r="CV43" s="13">
        <f t="shared" si="41"/>
        <v>74.36958441265493</v>
      </c>
      <c r="CW43" s="20">
        <f t="shared" si="13"/>
        <v>678.63272618537417</v>
      </c>
      <c r="CX43" s="57">
        <f t="shared" si="14"/>
        <v>926.44574000449495</v>
      </c>
      <c r="CY43" s="57">
        <f ca="1">AVERAGE(OFFSET($CX$3,0,0,'Données projet'!$E$13+1,1))-AVERAGE(OFFSET($H$3,0,0,'Données projet'!$E$13+1,1))</f>
        <v>459.83870442974046</v>
      </c>
      <c r="CZ43" s="57">
        <f t="shared" si="42"/>
        <v>565.68976940602215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72</v>
      </c>
      <c r="DC43" s="16">
        <f>IF(ISNA(VLOOKUP(A43,'Données projet'!$A$139:$I$159,5,0)),0%,VLOOKUP(A43,'Données projet'!$A$139:$I$159,5,0)*VLOOKUP('Données projet'!$B$13,Paramètres!$A$1:$I$89,7,0))</f>
        <v>0.38500000000000001</v>
      </c>
      <c r="DD43" s="16">
        <f>IF(ISNA(VLOOKUP(A43,'Données projet'!$A$139:$I$159,6,0)),0%,VLOOKUP(A43,'Données projet'!$A$139:$I$159,6,0)*VLOOKUP('Données projet'!$B$13,Paramètres!$A$1:$I$89,7,0))</f>
        <v>9.240000000000001E-2</v>
      </c>
      <c r="DE43" s="16">
        <f>IF(ISNA(VLOOKUP(A43,'Données projet'!$A$139:$I$159,7,0)),0%,VLOOKUP(A43,'Données projet'!$A$139:$I$159,7,0))</f>
        <v>0.13200000000000001</v>
      </c>
      <c r="DF43" s="21">
        <f>EXP(-LN(2)/35)*DF42+(1-EXP(-LN(2)/35))/(LN(2)/35)*DB43*DC43*VLOOKUP('Données projet'!$B$13,Paramètres!$A$1:$I$89,3,0)*0.475*44/12</f>
        <v>51.044800118410159</v>
      </c>
      <c r="DG43" s="21">
        <f>EXP(-LN(2)/25)*DG42+(1-EXP(-LN(2)/25))/(LN(2)/25)*Calculateur!DB43*Calculateur!DD43*VLOOKUP('Données projet'!$B$13,Paramètres!$A$1:$I$89,3,0)*0.475*44/12</f>
        <v>19.911626470563256</v>
      </c>
      <c r="DH43" s="21">
        <f>EXP(-LN(2)/2)*DH42+(1-EXP(-LN(2)/2))/(LN(2)/2)*DB43*DE43*VLOOKUP('Données projet'!$B$13,Paramètres!$A$1:$I$89,3,0)*0.475*44/12</f>
        <v>7.2583581798465104</v>
      </c>
      <c r="DI43" s="22">
        <f t="shared" si="15"/>
        <v>78.214784768819925</v>
      </c>
      <c r="DJ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14.406720000000007</v>
      </c>
      <c r="DO43" s="12">
        <f>IF('Données projet'!$A$166&gt;35,DO42+DN43-DW42,IF(A43&lt;'Données projet'!$A$166,$DL$205^A43,IF(A43='Données projet'!$A$166,'Données projet'!$B$166,DO42+DN43-DW42)))</f>
        <v>292.52168333333327</v>
      </c>
      <c r="DP43" s="17">
        <f>DO43*VLOOKUP('Données projet'!$B$14,Paramètres!$A$1:$I$89,3,0)*VLOOKUP('Données projet'!$B$14,Paramètres!$A$1:$I$89,5,0)</f>
        <v>191.66020691999995</v>
      </c>
      <c r="DQ43" s="13">
        <f t="shared" si="43"/>
        <v>47.906814971970867</v>
      </c>
      <c r="DR43" s="20">
        <f t="shared" si="16"/>
        <v>417.2458964618491</v>
      </c>
      <c r="DS43" s="57">
        <f t="shared" si="17"/>
        <v>665.05891028096994</v>
      </c>
      <c r="DT43" s="57">
        <f ca="1">AVERAGE(OFFSET($DS$3,0,0,'Données projet'!$E$14+1,1))-AVERAGE(OFFSET($H$3,0,0,'Données projet'!$E$14+1,1))</f>
        <v>315.23504986325418</v>
      </c>
      <c r="DU43" s="57">
        <f t="shared" si="44"/>
        <v>350.52837099886688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13.412887072260142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13.412887072260142</v>
      </c>
      <c r="EE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2.1523809523809527</v>
      </c>
      <c r="EJ43" s="12">
        <f>IF('Données projet'!$A$192&gt;35,EJ42+EI43-ER42,IF(A43&lt;'Données projet'!$A$192,$EG$205^A43,IF(A43='Données projet'!$A$192,'Données projet'!$B$192,EJ42+EI43-ER42)))</f>
        <v>86.095238095238088</v>
      </c>
      <c r="EK43" s="17">
        <f>EJ43*VLOOKUP('Données projet'!$B$15,Paramètres!$A$1:$I$89,3,0)*VLOOKUP('Données projet'!$B$15,Paramètres!$A$1:$I$89,5,0)</f>
        <v>83.271314285714283</v>
      </c>
      <c r="EL43" s="13">
        <f t="shared" si="45"/>
        <v>22.935162277559293</v>
      </c>
      <c r="EM43" s="20">
        <f t="shared" si="19"/>
        <v>184.97628001436814</v>
      </c>
      <c r="EN43" s="57">
        <f t="shared" si="20"/>
        <v>432.78929383348895</v>
      </c>
      <c r="EO43" s="57">
        <f ca="1">AVERAGE(OFFSET($EN$3,0,0,'Données projet'!$E$15+1,1))-AVERAGE(OFFSET($H$3,0,0,'Données projet'!$E$15+1,1))</f>
        <v>328.31200866623891</v>
      </c>
      <c r="EP43" s="57">
        <f t="shared" si="46"/>
        <v>195.52650232917446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>
        <f>FE43*VLOOKUP('Données projet'!$B$16,Paramètres!$A$1:$I$89,3,0)*VLOOKUP('Données projet'!$B$16,Paramètres!$A$1:$I$89,5,0)</f>
        <v>0</v>
      </c>
      <c r="FG43" s="13" t="e">
        <f t="shared" si="47"/>
        <v>#NUM!</v>
      </c>
      <c r="FH43" s="20" t="e">
        <f t="shared" si="22"/>
        <v>#NUM!</v>
      </c>
      <c r="FI43" s="57" t="e">
        <f t="shared" si="23"/>
        <v>#NUM!</v>
      </c>
      <c r="FJ43" s="57">
        <f ca="1">AVERAGE(OFFSET($FI$3,0,0,'Données projet'!$E$16+1,1))-AVERAGE(OFFSET($H$3,0,0,'Données projet'!$E$16+1,1))</f>
        <v>142.88219003619457</v>
      </c>
      <c r="FK43" s="57">
        <f t="shared" si="48"/>
        <v>288.69704547625088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40.274599642956019</v>
      </c>
      <c r="FR43" s="21">
        <f>EXP(-LN(2)/25)*FR42+(1-EXP(-LN(2)/25))/(LN(2)/25)*Calculateur!FM43*Calculateur!FO43*VLOOKUP('Données projet'!$B$16,Paramètres!$A$1:$I$89,3,0)*0.475*44/12</f>
        <v>9.4119569054166501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49.686556548372671</v>
      </c>
      <c r="FU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7" t="e">
        <f t="shared" si="26"/>
        <v>#N/A</v>
      </c>
      <c r="GE43" s="57" t="e">
        <f ca="1">AVERAGE(OFFSET($GD$3,0,0,'Données projet'!$E$17+1,1))-AVERAGE(OFFSET($H$3,0,0,'Données projet'!$E$17+1,1))</f>
        <v>#N/A</v>
      </c>
      <c r="GF43" s="57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7" t="e">
        <f t="shared" si="29"/>
        <v>#N/A</v>
      </c>
      <c r="GZ43" s="57" t="e">
        <f ca="1">AVERAGE(OFFSET($GY$3,0,0,'Données projet'!$E$18+1,1))-AVERAGE(OFFSET($H$3,0,0,'Données projet'!$E$18+1,1))</f>
        <v>#N/A</v>
      </c>
      <c r="HA43" s="57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1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5">
        <f t="shared" si="1"/>
        <v>183.33333333333334</v>
      </c>
      <c r="I44" s="6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143.32032000000001</v>
      </c>
      <c r="P44" s="13">
        <f t="shared" si="33"/>
        <v>37.056603420232349</v>
      </c>
      <c r="Q44" s="20">
        <f t="shared" si="53"/>
        <v>314.15647495690467</v>
      </c>
      <c r="R44" s="57">
        <f t="shared" si="0"/>
        <v>562.75916455140862</v>
      </c>
      <c r="S44" s="57">
        <f ca="1">AVERAGE(OFFSET($R$3,0,0,'Données projet'!$E$9+1,1))-AVERAGE(OFFSET($H$3,0,0,'Données projet'!$E$9+1,1))</f>
        <v>539.63700256763173</v>
      </c>
      <c r="T44" s="57">
        <f t="shared" si="34"/>
        <v>297.32483725004136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133.43616000000003</v>
      </c>
      <c r="AK44" s="13">
        <f t="shared" si="35"/>
        <v>34.789145432008958</v>
      </c>
      <c r="AL44" s="20">
        <f t="shared" si="4"/>
        <v>292.99240696074895</v>
      </c>
      <c r="AM44" s="57">
        <f t="shared" si="5"/>
        <v>541.59509655525289</v>
      </c>
      <c r="AN44" s="57">
        <f ca="1">AVERAGE(OFFSET($AM$3,0,0,'Données projet'!$E$10+1,1))-AVERAGE(OFFSET($H$3,0,0,'Données projet'!$E$10+1,1))</f>
        <v>508.21188526136734</v>
      </c>
      <c r="AO44" s="57">
        <f t="shared" si="36"/>
        <v>281.06176764290592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23.826666666666664</v>
      </c>
      <c r="BD44" s="12">
        <f>IF('Données projet'!$A$88&gt;35,BD43+BC44-BL43,IF(A44&lt;'Données projet'!$A$88,$BA$205^A44,IF(A44='Données projet'!$A$88,'Données projet'!$B$88,BD43+BC44-BL43)))</f>
        <v>281.55999999999983</v>
      </c>
      <c r="BE44" s="13">
        <f>BD44*VLOOKUP('Données projet'!$B$11,Paramètres!$A$1:$I$89,3,0)*VLOOKUP('Données projet'!$B$11,Paramètres!$A$1:$I$89,5,0)</f>
        <v>131.77007999999992</v>
      </c>
      <c r="BF44" s="13">
        <f t="shared" si="37"/>
        <v>34.405050356859206</v>
      </c>
      <c r="BG44" s="20">
        <f t="shared" si="7"/>
        <v>289.42168537152969</v>
      </c>
      <c r="BH44" s="57">
        <f t="shared" si="8"/>
        <v>538.02437496603363</v>
      </c>
      <c r="BI44" s="57">
        <f ca="1">AVERAGE(OFFSET($BH$3,0,0,'Données projet'!$E$11+1,1))-AVERAGE(OFFSET($H$3,0,0,'Données projet'!$E$11+1,1))</f>
        <v>449.50723280509311</v>
      </c>
      <c r="BJ44" s="57">
        <f t="shared" si="38"/>
        <v>281.26353650058275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19.245064571403148</v>
      </c>
      <c r="BQ44" s="21">
        <f>EXP(-LN(2)/25)*BQ43+(1-EXP(-LN(2)/25))/(LN(2)/25)*Calculateur!BL44*Calculateur!BN44*VLOOKUP('Données projet'!$B$11,Paramètres!$A$1:$I$89,3,0)*0.475*44/12</f>
        <v>7.8002151510310584</v>
      </c>
      <c r="BR44" s="21">
        <f>EXP(-LN(2)/2)*BR43+(1-EXP(-LN(2)/2))/(LN(2)/2)*BL44*BO44*VLOOKUP('Données projet'!$B$11,Paramètres!$A$1:$I$89,3,0)*0.475*44/12</f>
        <v>2.646373757025049</v>
      </c>
      <c r="BS44" s="22">
        <f t="shared" si="9"/>
        <v>29.691653479459255</v>
      </c>
      <c r="BT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8.4</v>
      </c>
      <c r="BY44" s="12">
        <f>IF('Données projet'!$A$114&gt;35,BY43+BX44-CG43,IF(A44&lt;'Données projet'!$A$114,$BV$205^A44,IF(A44='Données projet'!$A$114,'Données projet'!$B$114,BY43+BX44-CG43)))</f>
        <v>124.40000000000003</v>
      </c>
      <c r="BZ44" s="13">
        <f>BY44*VLOOKUP('Données projet'!$B$12,Paramètres!$A$1:$I$89,3,0)*VLOOKUP('Données projet'!$B$12,Paramètres!$A$1:$I$89,5,0)</f>
        <v>118.37904000000003</v>
      </c>
      <c r="CA44" s="13">
        <f t="shared" si="39"/>
        <v>31.296638268907181</v>
      </c>
      <c r="CB44" s="20">
        <f t="shared" si="10"/>
        <v>260.68513965168</v>
      </c>
      <c r="CC44" s="57">
        <f t="shared" si="11"/>
        <v>509.28782924618395</v>
      </c>
      <c r="CD44" s="57">
        <f ca="1">AVERAGE(OFFSET($CC$3,0,0,'Données projet'!$E$12+1,1))-AVERAGE(OFFSET($H$3,0,0,'Données projet'!$E$12+1,1))</f>
        <v>479.4551766174892</v>
      </c>
      <c r="CE44" s="57">
        <f t="shared" si="40"/>
        <v>260.29028006191834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22.8</v>
      </c>
      <c r="CT44" s="12">
        <f>IF('Données projet'!$A$140&gt;35,CT43+CS44-DB43,IF(A44&lt;'Données projet'!$A$140,$CQ$205^A44,IF(A44='Données projet'!$A$140,'Données projet'!$B$140,CT43+CS44-DB43)))</f>
        <v>514.80000000000018</v>
      </c>
      <c r="CU44" s="17">
        <f>CT44*VLOOKUP('Données projet'!$B$13,Paramètres!$A$1:$I$89,3,0)*VLOOKUP('Données projet'!$B$13,Paramètres!$A$1:$I$89,5,0)</f>
        <v>287.77320000000009</v>
      </c>
      <c r="CV44" s="13">
        <f t="shared" si="41"/>
        <v>68.607082381743922</v>
      </c>
      <c r="CW44" s="20">
        <f t="shared" si="13"/>
        <v>620.69565848153741</v>
      </c>
      <c r="CX44" s="57">
        <f t="shared" si="14"/>
        <v>869.29834807604141</v>
      </c>
      <c r="CY44" s="57">
        <f ca="1">AVERAGE(OFFSET($CX$3,0,0,'Données projet'!$E$13+1,1))-AVERAGE(OFFSET($H$3,0,0,'Données projet'!$E$13+1,1))</f>
        <v>459.83870442974046</v>
      </c>
      <c r="CZ44" s="57">
        <f t="shared" si="42"/>
        <v>565.68976940602215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50.043842722341957</v>
      </c>
      <c r="DG44" s="21">
        <f>EXP(-LN(2)/25)*DG43+(1-EXP(-LN(2)/25))/(LN(2)/25)*Calculateur!DB44*Calculateur!DD44*VLOOKUP('Données projet'!$B$13,Paramètres!$A$1:$I$89,3,0)*0.475*44/12</f>
        <v>19.367141997618777</v>
      </c>
      <c r="DH44" s="21">
        <f>EXP(-LN(2)/2)*DH43+(1-EXP(-LN(2)/2))/(LN(2)/2)*DB44*DE44*VLOOKUP('Données projet'!$B$13,Paramètres!$A$1:$I$89,3,0)*0.475*44/12</f>
        <v>5.1324342892503143</v>
      </c>
      <c r="DI44" s="22">
        <f t="shared" si="15"/>
        <v>74.54341900921105</v>
      </c>
      <c r="DJ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14.406720000000007</v>
      </c>
      <c r="DO44" s="12">
        <f>IF('Données projet'!$A$166&gt;35,DO43+DN44-DW43,IF(A44&lt;'Données projet'!$A$166,$DL$205^A44,IF(A44='Données projet'!$A$166,'Données projet'!$B$166,DO43+DN44-DW43)))</f>
        <v>306.92840333333328</v>
      </c>
      <c r="DP44" s="17">
        <f>DO44*VLOOKUP('Données projet'!$B$14,Paramètres!$A$1:$I$89,3,0)*VLOOKUP('Données projet'!$B$14,Paramètres!$A$1:$I$89,5,0)</f>
        <v>201.09948986399999</v>
      </c>
      <c r="DQ44" s="13">
        <f t="shared" si="43"/>
        <v>49.985725165583418</v>
      </c>
      <c r="DR44" s="20">
        <f t="shared" si="16"/>
        <v>437.30674950985781</v>
      </c>
      <c r="DS44" s="57">
        <f t="shared" si="17"/>
        <v>685.90943910436181</v>
      </c>
      <c r="DT44" s="57">
        <f ca="1">AVERAGE(OFFSET($DS$3,0,0,'Données projet'!$E$14+1,1))-AVERAGE(OFFSET($H$3,0,0,'Données projet'!$E$14+1,1))</f>
        <v>315.23504986325418</v>
      </c>
      <c r="DU44" s="57">
        <f t="shared" si="44"/>
        <v>350.52837099886688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13.149868537826423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13.149868537826423</v>
      </c>
      <c r="EE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2.1523809523809527</v>
      </c>
      <c r="EJ44" s="12">
        <f>IF('Données projet'!$A$192&gt;35,EJ43+EI44-ER43,IF(A44&lt;'Données projet'!$A$192,$EG$205^A44,IF(A44='Données projet'!$A$192,'Données projet'!$B$192,EJ43+EI44-ER43)))</f>
        <v>88.24761904761904</v>
      </c>
      <c r="EK44" s="17">
        <f>EJ44*VLOOKUP('Données projet'!$B$15,Paramètres!$A$1:$I$89,3,0)*VLOOKUP('Données projet'!$B$15,Paramètres!$A$1:$I$89,5,0)</f>
        <v>85.353097142857138</v>
      </c>
      <c r="EL44" s="13">
        <f t="shared" si="45"/>
        <v>23.441069623067431</v>
      </c>
      <c r="EM44" s="20">
        <f t="shared" si="19"/>
        <v>189.48317378398531</v>
      </c>
      <c r="EN44" s="57">
        <f t="shared" si="20"/>
        <v>438.08586337848931</v>
      </c>
      <c r="EO44" s="57">
        <f ca="1">AVERAGE(OFFSET($EN$3,0,0,'Données projet'!$E$15+1,1))-AVERAGE(OFFSET($H$3,0,0,'Données projet'!$E$15+1,1))</f>
        <v>328.31200866623891</v>
      </c>
      <c r="EP44" s="57">
        <f t="shared" si="46"/>
        <v>195.52650232917446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>
        <f>FE44*VLOOKUP('Données projet'!$B$16,Paramètres!$A$1:$I$89,3,0)*VLOOKUP('Données projet'!$B$16,Paramètres!$A$1:$I$89,5,0)</f>
        <v>0</v>
      </c>
      <c r="FG44" s="13" t="e">
        <f t="shared" si="47"/>
        <v>#NUM!</v>
      </c>
      <c r="FH44" s="20" t="e">
        <f t="shared" si="22"/>
        <v>#NUM!</v>
      </c>
      <c r="FI44" s="57" t="e">
        <f t="shared" si="23"/>
        <v>#NUM!</v>
      </c>
      <c r="FJ44" s="57">
        <f ca="1">AVERAGE(OFFSET($FI$3,0,0,'Données projet'!$E$16+1,1))-AVERAGE(OFFSET($H$3,0,0,'Données projet'!$E$16+1,1))</f>
        <v>142.88219003619457</v>
      </c>
      <c r="FK44" s="57">
        <f t="shared" si="48"/>
        <v>288.69704547625088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39.484839309037831</v>
      </c>
      <c r="FR44" s="21">
        <f>EXP(-LN(2)/25)*FR43+(1-EXP(-LN(2)/25))/(LN(2)/25)*Calculateur!FM44*Calculateur!FO44*VLOOKUP('Données projet'!$B$16,Paramètres!$A$1:$I$89,3,0)*0.475*44/12</f>
        <v>9.1545864488847286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48.63942575792256</v>
      </c>
      <c r="FU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7" t="e">
        <f t="shared" si="26"/>
        <v>#N/A</v>
      </c>
      <c r="GE44" s="57" t="e">
        <f ca="1">AVERAGE(OFFSET($GD$3,0,0,'Données projet'!$E$17+1,1))-AVERAGE(OFFSET($H$3,0,0,'Données projet'!$E$17+1,1))</f>
        <v>#N/A</v>
      </c>
      <c r="GF44" s="57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7" t="e">
        <f t="shared" si="29"/>
        <v>#N/A</v>
      </c>
      <c r="GZ44" s="57" t="e">
        <f ca="1">AVERAGE(OFFSET($GY$3,0,0,'Données projet'!$E$18+1,1))-AVERAGE(OFFSET($H$3,0,0,'Données projet'!$E$18+1,1))</f>
        <v>#N/A</v>
      </c>
      <c r="HA44" s="57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1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5">
        <f t="shared" si="1"/>
        <v>183.33333333333334</v>
      </c>
      <c r="I45" s="6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153.63504</v>
      </c>
      <c r="P45" s="13">
        <f t="shared" si="33"/>
        <v>39.403506785222667</v>
      </c>
      <c r="Q45" s="20">
        <f t="shared" si="53"/>
        <v>336.20880231759617</v>
      </c>
      <c r="R45" s="57">
        <f t="shared" si="0"/>
        <v>585.58746857823087</v>
      </c>
      <c r="S45" s="57">
        <f ca="1">AVERAGE(OFFSET($R$3,0,0,'Données projet'!$E$9+1,1))-AVERAGE(OFFSET($H$3,0,0,'Données projet'!$E$9+1,1))</f>
        <v>539.63700256763173</v>
      </c>
      <c r="T45" s="57">
        <f t="shared" si="34"/>
        <v>297.32483725004136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143.03952000000001</v>
      </c>
      <c r="AK45" s="13">
        <f t="shared" si="35"/>
        <v>36.992444033168439</v>
      </c>
      <c r="AL45" s="20">
        <f t="shared" si="4"/>
        <v>313.55567069110168</v>
      </c>
      <c r="AM45" s="57">
        <f t="shared" si="5"/>
        <v>562.93433695173644</v>
      </c>
      <c r="AN45" s="57">
        <f ca="1">AVERAGE(OFFSET($AM$3,0,0,'Données projet'!$E$10+1,1))-AVERAGE(OFFSET($H$3,0,0,'Données projet'!$E$10+1,1))</f>
        <v>508.21188526136734</v>
      </c>
      <c r="AO45" s="57">
        <f t="shared" si="36"/>
        <v>281.06176764290592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23.826666666666664</v>
      </c>
      <c r="BD45" s="12">
        <f>IF('Données projet'!$A$88&gt;35,BD44+BC45-BL44,IF(A45&lt;'Données projet'!$A$88,$BA$205^A45,IF(A45='Données projet'!$A$88,'Données projet'!$B$88,BD44+BC45-BL44)))</f>
        <v>305.38666666666649</v>
      </c>
      <c r="BE45" s="13">
        <f>BD45*VLOOKUP('Données projet'!$B$11,Paramètres!$A$1:$I$89,3,0)*VLOOKUP('Données projet'!$B$11,Paramètres!$A$1:$I$89,5,0)</f>
        <v>142.92095999999992</v>
      </c>
      <c r="BF45" s="13">
        <f t="shared" si="37"/>
        <v>36.965350113713619</v>
      </c>
      <c r="BG45" s="20">
        <f t="shared" si="7"/>
        <v>313.30199011471774</v>
      </c>
      <c r="BH45" s="57">
        <f t="shared" si="8"/>
        <v>562.68065637535244</v>
      </c>
      <c r="BI45" s="57">
        <f ca="1">AVERAGE(OFFSET($BH$3,0,0,'Données projet'!$E$11+1,1))-AVERAGE(OFFSET($H$3,0,0,'Données projet'!$E$11+1,1))</f>
        <v>449.50723280509311</v>
      </c>
      <c r="BJ45" s="57">
        <f t="shared" si="38"/>
        <v>281.26353650058275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18.867680593488256</v>
      </c>
      <c r="BQ45" s="21">
        <f>EXP(-LN(2)/25)*BQ44+(1-EXP(-LN(2)/25))/(LN(2)/25)*Calculateur!BL45*Calculateur!BN45*VLOOKUP('Données projet'!$B$11,Paramètres!$A$1:$I$89,3,0)*0.475*44/12</f>
        <v>7.5869178575306266</v>
      </c>
      <c r="BR45" s="21">
        <f>EXP(-LN(2)/2)*BR44+(1-EXP(-LN(2)/2))/(LN(2)/2)*BL45*BO45*VLOOKUP('Données projet'!$B$11,Paramètres!$A$1:$I$89,3,0)*0.475*44/12</f>
        <v>1.8712688291465331</v>
      </c>
      <c r="BS45" s="22">
        <f t="shared" si="9"/>
        <v>28.325867280165415</v>
      </c>
      <c r="BT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8.4</v>
      </c>
      <c r="BY45" s="12">
        <f>IF('Données projet'!$A$114&gt;35,BY44+BX45-CG44,IF(A45&lt;'Données projet'!$A$114,$BV$205^A45,IF(A45='Données projet'!$A$114,'Données projet'!$B$114,BY44+BX45-CG44)))</f>
        <v>132.80000000000004</v>
      </c>
      <c r="BZ45" s="13">
        <f>BY45*VLOOKUP('Données projet'!$B$12,Paramètres!$A$1:$I$89,3,0)*VLOOKUP('Données projet'!$B$12,Paramètres!$A$1:$I$89,5,0)</f>
        <v>126.37248000000004</v>
      </c>
      <c r="CA45" s="13">
        <f t="shared" si="39"/>
        <v>33.156770349896121</v>
      </c>
      <c r="CB45" s="20">
        <f t="shared" si="10"/>
        <v>277.84677769273577</v>
      </c>
      <c r="CC45" s="57">
        <f t="shared" si="11"/>
        <v>527.22544395337047</v>
      </c>
      <c r="CD45" s="57">
        <f ca="1">AVERAGE(OFFSET($CC$3,0,0,'Données projet'!$E$12+1,1))-AVERAGE(OFFSET($H$3,0,0,'Données projet'!$E$12+1,1))</f>
        <v>479.4551766174892</v>
      </c>
      <c r="CE45" s="57">
        <f t="shared" si="40"/>
        <v>260.29028006191834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22.8</v>
      </c>
      <c r="CT45" s="12">
        <f>IF('Données projet'!$A$140&gt;35,CT44+CS45-DB44,IF(A45&lt;'Données projet'!$A$140,$CQ$205^A45,IF(A45='Données projet'!$A$140,'Données projet'!$B$140,CT44+CS45-DB44)))</f>
        <v>537.60000000000014</v>
      </c>
      <c r="CU45" s="17">
        <f>CT45*VLOOKUP('Données projet'!$B$13,Paramètres!$A$1:$I$89,3,0)*VLOOKUP('Données projet'!$B$13,Paramètres!$A$1:$I$89,5,0)</f>
        <v>300.5184000000001</v>
      </c>
      <c r="CV45" s="13">
        <f t="shared" si="41"/>
        <v>71.285129105116411</v>
      </c>
      <c r="CW45" s="20">
        <f t="shared" si="13"/>
        <v>647.55781319141124</v>
      </c>
      <c r="CX45" s="57">
        <f t="shared" si="14"/>
        <v>896.936479452046</v>
      </c>
      <c r="CY45" s="57">
        <f ca="1">AVERAGE(OFFSET($CX$3,0,0,'Données projet'!$E$13+1,1))-AVERAGE(OFFSET($H$3,0,0,'Données projet'!$E$13+1,1))</f>
        <v>459.83870442974046</v>
      </c>
      <c r="CZ45" s="57">
        <f t="shared" si="42"/>
        <v>565.68976940602215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49.062513490286925</v>
      </c>
      <c r="DG45" s="21">
        <f>EXP(-LN(2)/25)*DG44+(1-EXP(-LN(2)/25))/(LN(2)/25)*Calculateur!DB45*Calculateur!DD45*VLOOKUP('Données projet'!$B$13,Paramètres!$A$1:$I$89,3,0)*0.475*44/12</f>
        <v>18.837546481220159</v>
      </c>
      <c r="DH45" s="21">
        <f>EXP(-LN(2)/2)*DH44+(1-EXP(-LN(2)/2))/(LN(2)/2)*DB45*DE45*VLOOKUP('Données projet'!$B$13,Paramètres!$A$1:$I$89,3,0)*0.475*44/12</f>
        <v>3.6291790899232557</v>
      </c>
      <c r="DI45" s="22">
        <f t="shared" si="15"/>
        <v>71.529239061430346</v>
      </c>
      <c r="DJ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14.406720000000007</v>
      </c>
      <c r="DO45" s="12">
        <f>IF('Données projet'!$A$166&gt;35,DO44+DN45-DW44,IF(A45&lt;'Données projet'!$A$166,$DL$205^A45,IF(A45='Données projet'!$A$166,'Données projet'!$B$166,DO44+DN45-DW44)))</f>
        <v>321.33512333333329</v>
      </c>
      <c r="DP45" s="17">
        <f>DO45*VLOOKUP('Données projet'!$B$14,Paramètres!$A$1:$I$89,3,0)*VLOOKUP('Données projet'!$B$14,Paramètres!$A$1:$I$89,5,0)</f>
        <v>210.53877280799995</v>
      </c>
      <c r="DQ45" s="13">
        <f t="shared" si="43"/>
        <v>52.053303549033814</v>
      </c>
      <c r="DR45" s="20">
        <f t="shared" si="16"/>
        <v>457.34786632183381</v>
      </c>
      <c r="DS45" s="57">
        <f t="shared" si="17"/>
        <v>706.72653258246851</v>
      </c>
      <c r="DT45" s="57">
        <f ca="1">AVERAGE(OFFSET($DS$3,0,0,'Données projet'!$E$14+1,1))-AVERAGE(OFFSET($H$3,0,0,'Données projet'!$E$14+1,1))</f>
        <v>315.23504986325418</v>
      </c>
      <c r="DU45" s="57">
        <f t="shared" si="44"/>
        <v>350.52837099886688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12.892007636427484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12.892007636427484</v>
      </c>
      <c r="EE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90.4</v>
      </c>
      <c r="EH45" s="12">
        <f>VLOOKUP(A45,'Données projet'!$A$191:$I$211,9,0)</f>
        <v>2.1523809523809527</v>
      </c>
      <c r="EI45" s="12">
        <f t="array" ref="EI45">INDEX(EH:EH,MIN(IF(ISNUMBER(EH45:EH241),ROW(EH45:EH241),"")))</f>
        <v>2.1523809523809527</v>
      </c>
      <c r="EJ45" s="12">
        <f>IF('Données projet'!$A$192&gt;35,EJ44+EI45-ER44,IF(A45&lt;'Données projet'!$A$192,$EG$205^A45,IF(A45='Données projet'!$A$192,'Données projet'!$B$192,EJ44+EI45-ER44)))</f>
        <v>90.399999999999991</v>
      </c>
      <c r="EK45" s="17">
        <f>EJ45*VLOOKUP('Données projet'!$B$15,Paramètres!$A$1:$I$89,3,0)*VLOOKUP('Données projet'!$B$15,Paramètres!$A$1:$I$89,5,0)</f>
        <v>87.434879999999993</v>
      </c>
      <c r="EL45" s="13">
        <f t="shared" si="45"/>
        <v>23.945542571874309</v>
      </c>
      <c r="EM45" s="20">
        <f t="shared" si="19"/>
        <v>193.98756931268107</v>
      </c>
      <c r="EN45" s="57">
        <f t="shared" si="20"/>
        <v>443.36623557331581</v>
      </c>
      <c r="EO45" s="57">
        <f ca="1">AVERAGE(OFFSET($EN$3,0,0,'Données projet'!$E$15+1,1))-AVERAGE(OFFSET($H$3,0,0,'Données projet'!$E$15+1,1))</f>
        <v>328.31200866623891</v>
      </c>
      <c r="EP45" s="57">
        <f t="shared" si="46"/>
        <v>195.52650232917446</v>
      </c>
      <c r="EQ45" s="15">
        <f>IF(ISNA(VLOOKUP(A45,'Données projet'!$A$191:$I$211,3,0)),0,VLOOKUP(A45,'Données projet'!$A$191:$I$211,3,0))</f>
        <v>1</v>
      </c>
      <c r="ER45" s="15">
        <f>IF(ISNA(VLOOKUP(A45,'Données projet'!$A$191:$I$211,4,0)),0,VLOOKUP(A45,'Données projet'!$A$191:$I$211,4,0))</f>
        <v>24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>
        <f>FE45*VLOOKUP('Données projet'!$B$16,Paramètres!$A$1:$I$89,3,0)*VLOOKUP('Données projet'!$B$16,Paramètres!$A$1:$I$89,5,0)</f>
        <v>0</v>
      </c>
      <c r="FG45" s="13" t="e">
        <f t="shared" si="47"/>
        <v>#NUM!</v>
      </c>
      <c r="FH45" s="20" t="e">
        <f t="shared" si="22"/>
        <v>#NUM!</v>
      </c>
      <c r="FI45" s="57" t="e">
        <f t="shared" si="23"/>
        <v>#NUM!</v>
      </c>
      <c r="FJ45" s="57">
        <f ca="1">AVERAGE(OFFSET($FI$3,0,0,'Données projet'!$E$16+1,1))-AVERAGE(OFFSET($H$3,0,0,'Données projet'!$E$16+1,1))</f>
        <v>142.88219003619457</v>
      </c>
      <c r="FK45" s="57">
        <f t="shared" si="48"/>
        <v>288.69704547625088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38.710565693561541</v>
      </c>
      <c r="FR45" s="21">
        <f>EXP(-LN(2)/25)*FR44+(1-EXP(-LN(2)/25))/(LN(2)/25)*Calculateur!FM45*Calculateur!FO45*VLOOKUP('Données projet'!$B$16,Paramètres!$A$1:$I$89,3,0)*0.475*44/12</f>
        <v>8.9042538010211967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47.61481949458274</v>
      </c>
      <c r="FU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7" t="e">
        <f t="shared" si="26"/>
        <v>#N/A</v>
      </c>
      <c r="GE45" s="57" t="e">
        <f ca="1">AVERAGE(OFFSET($GD$3,0,0,'Données projet'!$E$17+1,1))-AVERAGE(OFFSET($H$3,0,0,'Données projet'!$E$17+1,1))</f>
        <v>#N/A</v>
      </c>
      <c r="GF45" s="57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7" t="e">
        <f t="shared" si="29"/>
        <v>#N/A</v>
      </c>
      <c r="GZ45" s="57" t="e">
        <f ca="1">AVERAGE(OFFSET($GY$3,0,0,'Données projet'!$E$18+1,1))-AVERAGE(OFFSET($H$3,0,0,'Données projet'!$E$18+1,1))</f>
        <v>#N/A</v>
      </c>
      <c r="HA45" s="57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1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5">
        <f t="shared" si="1"/>
        <v>183.33333333333334</v>
      </c>
      <c r="I46" s="6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7">
        <f t="shared" si="0"/>
        <v>608.37046704726299</v>
      </c>
      <c r="S46" s="57">
        <f ca="1">AVERAGE(OFFSET($R$3,0,0,'Données projet'!$E$9+1,1))-AVERAGE(OFFSET($H$3,0,0,'Données projet'!$E$9+1,1))</f>
        <v>539.63700256763173</v>
      </c>
      <c r="T46" s="57">
        <f t="shared" si="34"/>
        <v>297.32483725004136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152.64288000000002</v>
      </c>
      <c r="AK46" s="13">
        <f t="shared" si="35"/>
        <v>39.178577703588573</v>
      </c>
      <c r="AL46" s="20">
        <f t="shared" si="4"/>
        <v>334.08903883375007</v>
      </c>
      <c r="AM46" s="57">
        <f t="shared" si="5"/>
        <v>584.23022030018205</v>
      </c>
      <c r="AN46" s="57">
        <f ca="1">AVERAGE(OFFSET($AM$3,0,0,'Données projet'!$E$10+1,1))-AVERAGE(OFFSET($H$3,0,0,'Données projet'!$E$10+1,1))</f>
        <v>508.21188526136734</v>
      </c>
      <c r="AO46" s="57">
        <f t="shared" si="36"/>
        <v>281.06176764290592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23.826666666666664</v>
      </c>
      <c r="BD46" s="12">
        <f>IF('Données projet'!$A$88&gt;35,BD45+BC46-BL45,IF(A46&lt;'Données projet'!$A$88,$BA$205^A46,IF(A46='Données projet'!$A$88,'Données projet'!$B$88,BD45+BC46-BL45)))</f>
        <v>329.21333333333314</v>
      </c>
      <c r="BE46" s="13">
        <f>BD46*VLOOKUP('Données projet'!$B$11,Paramètres!$A$1:$I$89,3,0)*VLOOKUP('Données projet'!$B$11,Paramètres!$A$1:$I$89,5,0)</f>
        <v>154.07183999999992</v>
      </c>
      <c r="BF46" s="13">
        <f t="shared" si="37"/>
        <v>39.502478510588951</v>
      </c>
      <c r="BG46" s="20">
        <f t="shared" si="7"/>
        <v>337.14193807260898</v>
      </c>
      <c r="BH46" s="57">
        <f t="shared" si="8"/>
        <v>587.28311953904108</v>
      </c>
      <c r="BI46" s="57">
        <f ca="1">AVERAGE(OFFSET($BH$3,0,0,'Données projet'!$E$11+1,1))-AVERAGE(OFFSET($H$3,0,0,'Données projet'!$E$11+1,1))</f>
        <v>449.50723280509311</v>
      </c>
      <c r="BJ46" s="57">
        <f t="shared" si="38"/>
        <v>281.26353650058275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18.497696885198778</v>
      </c>
      <c r="BQ46" s="21">
        <f>EXP(-LN(2)/25)*BQ45+(1-EXP(-LN(2)/25))/(LN(2)/25)*Calculateur!BL46*Calculateur!BN46*VLOOKUP('Données projet'!$B$11,Paramètres!$A$1:$I$89,3,0)*0.475*44/12</f>
        <v>7.3794531897377817</v>
      </c>
      <c r="BR46" s="21">
        <f>EXP(-LN(2)/2)*BR45+(1-EXP(-LN(2)/2))/(LN(2)/2)*BL46*BO46*VLOOKUP('Données projet'!$B$11,Paramètres!$A$1:$I$89,3,0)*0.475*44/12</f>
        <v>1.3231868785125247</v>
      </c>
      <c r="BS46" s="22">
        <f t="shared" si="9"/>
        <v>27.200336953449082</v>
      </c>
      <c r="BT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8.4</v>
      </c>
      <c r="BY46" s="12">
        <f>IF('Données projet'!$A$114&gt;35,BY45+BX46-CG45,IF(A46&lt;'Données projet'!$A$114,$BV$205^A46,IF(A46='Données projet'!$A$114,'Données projet'!$B$114,BY45+BX46-CG45)))</f>
        <v>141.20000000000005</v>
      </c>
      <c r="BZ46" s="13">
        <f>BY46*VLOOKUP('Données projet'!$B$12,Paramètres!$A$1:$I$89,3,0)*VLOOKUP('Données projet'!$B$12,Paramètres!$A$1:$I$89,5,0)</f>
        <v>134.36592000000005</v>
      </c>
      <c r="CA46" s="13">
        <f t="shared" si="39"/>
        <v>35.003247613199107</v>
      </c>
      <c r="CB46" s="20">
        <f t="shared" si="10"/>
        <v>294.98463359298847</v>
      </c>
      <c r="CC46" s="57">
        <f t="shared" si="11"/>
        <v>545.12581505942057</v>
      </c>
      <c r="CD46" s="57">
        <f ca="1">AVERAGE(OFFSET($CC$3,0,0,'Données projet'!$E$12+1,1))-AVERAGE(OFFSET($H$3,0,0,'Données projet'!$E$12+1,1))</f>
        <v>479.4551766174892</v>
      </c>
      <c r="CE46" s="57">
        <f t="shared" si="40"/>
        <v>260.29028006191834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22.8</v>
      </c>
      <c r="CT46" s="12">
        <f>IF('Données projet'!$A$140&gt;35,CT45+CS46-DB45,IF(A46&lt;'Données projet'!$A$140,$CQ$205^A46,IF(A46='Données projet'!$A$140,'Données projet'!$B$140,CT45+CS46-DB45)))</f>
        <v>560.40000000000009</v>
      </c>
      <c r="CU46" s="17">
        <f>CT46*VLOOKUP('Données projet'!$B$13,Paramètres!$A$1:$I$89,3,0)*VLOOKUP('Données projet'!$B$13,Paramètres!$A$1:$I$89,5,0)</f>
        <v>313.26360000000005</v>
      </c>
      <c r="CV46" s="13">
        <f t="shared" si="41"/>
        <v>73.949983766039026</v>
      </c>
      <c r="CW46" s="20">
        <f t="shared" si="13"/>
        <v>674.39699172585131</v>
      </c>
      <c r="CX46" s="57">
        <f t="shared" si="14"/>
        <v>924.53817319228335</v>
      </c>
      <c r="CY46" s="57">
        <f ca="1">AVERAGE(OFFSET($CX$3,0,0,'Données projet'!$E$13+1,1))-AVERAGE(OFFSET($H$3,0,0,'Données projet'!$E$13+1,1))</f>
        <v>459.83870442974046</v>
      </c>
      <c r="CZ46" s="57">
        <f t="shared" si="42"/>
        <v>565.68976940602215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48.100427525920765</v>
      </c>
      <c r="DG46" s="21">
        <f>EXP(-LN(2)/25)*DG45+(1-EXP(-LN(2)/25))/(LN(2)/25)*Calculateur!DB46*Calculateur!DD46*VLOOKUP('Données projet'!$B$13,Paramètres!$A$1:$I$89,3,0)*0.475*44/12</f>
        <v>18.322432782067679</v>
      </c>
      <c r="DH46" s="21">
        <f>EXP(-LN(2)/2)*DH45+(1-EXP(-LN(2)/2))/(LN(2)/2)*DB46*DE46*VLOOKUP('Données projet'!$B$13,Paramètres!$A$1:$I$89,3,0)*0.475*44/12</f>
        <v>2.5662171446251576</v>
      </c>
      <c r="DI46" s="22">
        <f t="shared" si="15"/>
        <v>68.9890774526136</v>
      </c>
      <c r="DJ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14.406720000000007</v>
      </c>
      <c r="DO46" s="12">
        <f>IF('Données projet'!$A$166&gt;35,DO45+DN46-DW45,IF(A46&lt;'Données projet'!$A$166,$DL$205^A46,IF(A46='Données projet'!$A$166,'Données projet'!$B$166,DO45+DN46-DW45)))</f>
        <v>335.74184333333329</v>
      </c>
      <c r="DP46" s="17">
        <f>DO46*VLOOKUP('Données projet'!$B$14,Paramètres!$A$1:$I$89,3,0)*VLOOKUP('Données projet'!$B$14,Paramètres!$A$1:$I$89,5,0)</f>
        <v>219.97805575199999</v>
      </c>
      <c r="DQ46" s="13">
        <f t="shared" si="43"/>
        <v>54.110116219026473</v>
      </c>
      <c r="DR46" s="20">
        <f t="shared" si="16"/>
        <v>477.37023284953779</v>
      </c>
      <c r="DS46" s="57">
        <f t="shared" si="17"/>
        <v>727.51141431596989</v>
      </c>
      <c r="DT46" s="57">
        <f ca="1">AVERAGE(OFFSET($DS$3,0,0,'Données projet'!$E$14+1,1))-AVERAGE(OFFSET($H$3,0,0,'Données projet'!$E$14+1,1))</f>
        <v>315.23504986325418</v>
      </c>
      <c r="DU46" s="57">
        <f t="shared" si="44"/>
        <v>350.52837099886688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12.639203230025359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12.639203230025359</v>
      </c>
      <c r="EE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4.9333333333333327</v>
      </c>
      <c r="EJ46" s="12">
        <f>IF('Données projet'!$A$192&gt;35,EJ45+EI46-ER45,IF(A46&lt;'Données projet'!$A$192,$EG$205^A46,IF(A46='Données projet'!$A$192,'Données projet'!$B$192,EJ45+EI46-ER45)))</f>
        <v>71.333333333333329</v>
      </c>
      <c r="EK46" s="17">
        <f>EJ46*VLOOKUP('Données projet'!$B$15,Paramètres!$A$1:$I$89,3,0)*VLOOKUP('Données projet'!$B$15,Paramètres!$A$1:$I$89,5,0)</f>
        <v>68.993600000000001</v>
      </c>
      <c r="EL46" s="13">
        <f t="shared" si="45"/>
        <v>19.423322729607765</v>
      </c>
      <c r="EM46" s="20">
        <f t="shared" si="19"/>
        <v>153.99280708740017</v>
      </c>
      <c r="EN46" s="57">
        <f t="shared" si="20"/>
        <v>404.13398855383218</v>
      </c>
      <c r="EO46" s="57">
        <f ca="1">AVERAGE(OFFSET($EN$3,0,0,'Données projet'!$E$15+1,1))-AVERAGE(OFFSET($H$3,0,0,'Données projet'!$E$15+1,1))</f>
        <v>328.31200866623891</v>
      </c>
      <c r="EP46" s="57">
        <f t="shared" si="46"/>
        <v>195.52650232917446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>
        <f>FE46*VLOOKUP('Données projet'!$B$16,Paramètres!$A$1:$I$89,3,0)*VLOOKUP('Données projet'!$B$16,Paramètres!$A$1:$I$89,5,0)</f>
        <v>0</v>
      </c>
      <c r="FG46" s="13" t="e">
        <f t="shared" si="47"/>
        <v>#NUM!</v>
      </c>
      <c r="FH46" s="20" t="e">
        <f t="shared" si="22"/>
        <v>#NUM!</v>
      </c>
      <c r="FI46" s="57" t="e">
        <f t="shared" si="23"/>
        <v>#NUM!</v>
      </c>
      <c r="FJ46" s="57">
        <f ca="1">AVERAGE(OFFSET($FI$3,0,0,'Données projet'!$E$16+1,1))-AVERAGE(OFFSET($H$3,0,0,'Données projet'!$E$16+1,1))</f>
        <v>142.88219003619457</v>
      </c>
      <c r="FK46" s="57">
        <f t="shared" si="48"/>
        <v>288.69704547625088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37.951475111424472</v>
      </c>
      <c r="FR46" s="21">
        <f>EXP(-LN(2)/25)*FR45+(1-EXP(-LN(2)/25))/(LN(2)/25)*Calculateur!FM46*Calculateur!FO46*VLOOKUP('Données projet'!$B$16,Paramètres!$A$1:$I$89,3,0)*0.475*44/12</f>
        <v>8.660766512577915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46.612241624002387</v>
      </c>
      <c r="FU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7" t="e">
        <f t="shared" si="26"/>
        <v>#N/A</v>
      </c>
      <c r="GE46" s="57" t="e">
        <f ca="1">AVERAGE(OFFSET($GD$3,0,0,'Données projet'!$E$17+1,1))-AVERAGE(OFFSET($H$3,0,0,'Données projet'!$E$17+1,1))</f>
        <v>#N/A</v>
      </c>
      <c r="GF46" s="57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7" t="e">
        <f t="shared" si="29"/>
        <v>#N/A</v>
      </c>
      <c r="GZ46" s="57" t="e">
        <f ca="1">AVERAGE(OFFSET($GY$3,0,0,'Données projet'!$E$18+1,1))-AVERAGE(OFFSET($H$3,0,0,'Données projet'!$E$18+1,1))</f>
        <v>#N/A</v>
      </c>
      <c r="HA46" s="57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1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5">
        <f t="shared" si="1"/>
        <v>183.33333333333334</v>
      </c>
      <c r="I47" s="6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7">
        <f t="shared" si="0"/>
        <v>631.11062498731712</v>
      </c>
      <c r="S47" s="57">
        <f ca="1">AVERAGE(OFFSET($R$3,0,0,'Données projet'!$E$9+1,1))-AVERAGE(OFFSET($H$3,0,0,'Données projet'!$E$9+1,1))</f>
        <v>539.63700256763173</v>
      </c>
      <c r="T47" s="57">
        <f t="shared" si="34"/>
        <v>297.32483725004136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162.24624000000003</v>
      </c>
      <c r="AK47" s="13">
        <f t="shared" si="35"/>
        <v>41.348749290582795</v>
      </c>
      <c r="AL47" s="20">
        <f t="shared" si="4"/>
        <v>354.59460634776502</v>
      </c>
      <c r="AM47" s="57">
        <f t="shared" si="5"/>
        <v>605.48507508590251</v>
      </c>
      <c r="AN47" s="57">
        <f ca="1">AVERAGE(OFFSET($AM$3,0,0,'Données projet'!$E$10+1,1))-AVERAGE(OFFSET($H$3,0,0,'Données projet'!$E$10+1,1))</f>
        <v>508.21188526136734</v>
      </c>
      <c r="AO47" s="57">
        <f t="shared" si="36"/>
        <v>281.06176764290592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23.826666666666664</v>
      </c>
      <c r="BD47" s="12">
        <f>IF('Données projet'!$A$88&gt;35,BD46+BC47-BL46,IF(A47&lt;'Données projet'!$A$88,$BA$205^A47,IF(A47='Données projet'!$A$88,'Données projet'!$B$88,BD46+BC47-BL46)))</f>
        <v>353.03999999999979</v>
      </c>
      <c r="BE47" s="13">
        <f>BD47*VLOOKUP('Données projet'!$B$11,Paramètres!$A$1:$I$89,3,0)*VLOOKUP('Données projet'!$B$11,Paramètres!$A$1:$I$89,5,0)</f>
        <v>165.2227199999999</v>
      </c>
      <c r="BF47" s="13">
        <f t="shared" si="37"/>
        <v>42.018303284605764</v>
      </c>
      <c r="BG47" s="20">
        <f t="shared" si="7"/>
        <v>360.94478222068818</v>
      </c>
      <c r="BH47" s="57">
        <f t="shared" si="8"/>
        <v>611.83525095882555</v>
      </c>
      <c r="BI47" s="57">
        <f ca="1">AVERAGE(OFFSET($BH$3,0,0,'Données projet'!$E$11+1,1))-AVERAGE(OFFSET($H$3,0,0,'Données projet'!$E$11+1,1))</f>
        <v>449.50723280509311</v>
      </c>
      <c r="BJ47" s="57">
        <f t="shared" si="38"/>
        <v>281.26353650058275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18.134968331761076</v>
      </c>
      <c r="BQ47" s="21">
        <f>EXP(-LN(2)/25)*BQ46+(1-EXP(-LN(2)/25))/(LN(2)/25)*Calculateur!BL47*Calculateur!BN47*VLOOKUP('Données projet'!$B$11,Paramètres!$A$1:$I$89,3,0)*0.475*44/12</f>
        <v>7.1776616541958251</v>
      </c>
      <c r="BR47" s="21">
        <f>EXP(-LN(2)/2)*BR46+(1-EXP(-LN(2)/2))/(LN(2)/2)*BL47*BO47*VLOOKUP('Données projet'!$B$11,Paramètres!$A$1:$I$89,3,0)*0.475*44/12</f>
        <v>0.93563441457326668</v>
      </c>
      <c r="BS47" s="22">
        <f t="shared" si="9"/>
        <v>26.248264400530168</v>
      </c>
      <c r="BT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8.4</v>
      </c>
      <c r="BY47" s="12">
        <f>IF('Données projet'!$A$114&gt;35,BY46+BX47-CG46,IF(A47&lt;'Données projet'!$A$114,$BV$205^A47,IF(A47='Données projet'!$A$114,'Données projet'!$B$114,BY46+BX47-CG46)))</f>
        <v>149.60000000000005</v>
      </c>
      <c r="BZ47" s="13">
        <f>BY47*VLOOKUP('Données projet'!$B$12,Paramètres!$A$1:$I$89,3,0)*VLOOKUP('Données projet'!$B$12,Paramètres!$A$1:$I$89,5,0)</f>
        <v>142.35936000000004</v>
      </c>
      <c r="CA47" s="13">
        <f t="shared" si="39"/>
        <v>36.836974905762489</v>
      </c>
      <c r="CB47" s="20">
        <f t="shared" si="10"/>
        <v>312.10028329420305</v>
      </c>
      <c r="CC47" s="57">
        <f t="shared" si="11"/>
        <v>562.99075203234042</v>
      </c>
      <c r="CD47" s="57">
        <f ca="1">AVERAGE(OFFSET($CC$3,0,0,'Données projet'!$E$12+1,1))-AVERAGE(OFFSET($H$3,0,0,'Données projet'!$E$12+1,1))</f>
        <v>479.4551766174892</v>
      </c>
      <c r="CE47" s="57">
        <f t="shared" si="40"/>
        <v>260.29028006191834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22.8</v>
      </c>
      <c r="CT47" s="12">
        <f>IF('Données projet'!$A$140&gt;35,CT46+CS47-DB46,IF(A47&lt;'Données projet'!$A$140,$CQ$205^A47,IF(A47='Données projet'!$A$140,'Données projet'!$B$140,CT46+CS47-DB46)))</f>
        <v>583.20000000000005</v>
      </c>
      <c r="CU47" s="17">
        <f>CT47*VLOOKUP('Données projet'!$B$13,Paramètres!$A$1:$I$89,3,0)*VLOOKUP('Données projet'!$B$13,Paramètres!$A$1:$I$89,5,0)</f>
        <v>326.00880000000001</v>
      </c>
      <c r="CV47" s="13">
        <f t="shared" si="41"/>
        <v>76.602244480772981</v>
      </c>
      <c r="CW47" s="20">
        <f t="shared" si="13"/>
        <v>701.2142358040129</v>
      </c>
      <c r="CX47" s="57">
        <f t="shared" si="14"/>
        <v>952.10470454215033</v>
      </c>
      <c r="CY47" s="57">
        <f ca="1">AVERAGE(OFFSET($CX$3,0,0,'Données projet'!$E$13+1,1))-AVERAGE(OFFSET($H$3,0,0,'Données projet'!$E$13+1,1))</f>
        <v>459.83870442974046</v>
      </c>
      <c r="CZ47" s="57">
        <f t="shared" si="42"/>
        <v>565.68976940602215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47.157207480501327</v>
      </c>
      <c r="DG47" s="21">
        <f>EXP(-LN(2)/25)*DG46+(1-EXP(-LN(2)/25))/(LN(2)/25)*Calculateur!DB47*Calculateur!DD47*VLOOKUP('Données projet'!$B$13,Paramètres!$A$1:$I$89,3,0)*0.475*44/12</f>
        <v>17.821404894107175</v>
      </c>
      <c r="DH47" s="21">
        <f>EXP(-LN(2)/2)*DH46+(1-EXP(-LN(2)/2))/(LN(2)/2)*DB47*DE47*VLOOKUP('Données projet'!$B$13,Paramètres!$A$1:$I$89,3,0)*0.475*44/12</f>
        <v>1.8145895449616283</v>
      </c>
      <c r="DI47" s="22">
        <f t="shared" si="15"/>
        <v>66.793201919570137</v>
      </c>
      <c r="DJ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14.406720000000007</v>
      </c>
      <c r="DO47" s="12">
        <f>IF('Données projet'!$A$166&gt;35,DO46+DN47-DW46,IF(A47&lt;'Données projet'!$A$166,$DL$205^A47,IF(A47='Données projet'!$A$166,'Données projet'!$B$166,DO46+DN47-DW46)))</f>
        <v>350.1485633333333</v>
      </c>
      <c r="DP47" s="17">
        <f>DO47*VLOOKUP('Données projet'!$B$14,Paramètres!$A$1:$I$89,3,0)*VLOOKUP('Données projet'!$B$14,Paramètres!$A$1:$I$89,5,0)</f>
        <v>229.41733869599997</v>
      </c>
      <c r="DQ47" s="13">
        <f t="shared" si="43"/>
        <v>56.156677942000911</v>
      </c>
      <c r="DR47" s="20">
        <f t="shared" si="16"/>
        <v>497.37474564451827</v>
      </c>
      <c r="DS47" s="57">
        <f t="shared" si="17"/>
        <v>748.2652143826557</v>
      </c>
      <c r="DT47" s="57">
        <f ca="1">AVERAGE(OFFSET($DS$3,0,0,'Données projet'!$E$14+1,1))-AVERAGE(OFFSET($H$3,0,0,'Données projet'!$E$14+1,1))</f>
        <v>315.23504986325418</v>
      </c>
      <c r="DU47" s="57">
        <f t="shared" si="44"/>
        <v>350.52837099886688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12.391356163837317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12.391356163837317</v>
      </c>
      <c r="EE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4.9333333333333327</v>
      </c>
      <c r="EJ47" s="12">
        <f>IF('Données projet'!$A$192&gt;35,EJ46+EI47-ER46,IF(A47&lt;'Données projet'!$A$192,$EG$205^A47,IF(A47='Données projet'!$A$192,'Données projet'!$B$192,EJ46+EI47-ER46)))</f>
        <v>76.266666666666666</v>
      </c>
      <c r="EK47" s="17">
        <f>EJ47*VLOOKUP('Données projet'!$B$15,Paramètres!$A$1:$I$89,3,0)*VLOOKUP('Données projet'!$B$15,Paramètres!$A$1:$I$89,5,0)</f>
        <v>73.76512000000001</v>
      </c>
      <c r="EL47" s="13">
        <f t="shared" si="45"/>
        <v>20.605599552297164</v>
      </c>
      <c r="EM47" s="20">
        <f t="shared" si="19"/>
        <v>164.36233655358424</v>
      </c>
      <c r="EN47" s="57">
        <f t="shared" si="20"/>
        <v>415.25280529172164</v>
      </c>
      <c r="EO47" s="57">
        <f ca="1">AVERAGE(OFFSET($EN$3,0,0,'Données projet'!$E$15+1,1))-AVERAGE(OFFSET($H$3,0,0,'Données projet'!$E$15+1,1))</f>
        <v>328.31200866623891</v>
      </c>
      <c r="EP47" s="57">
        <f t="shared" si="46"/>
        <v>195.52650232917446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>
        <f>FE47*VLOOKUP('Données projet'!$B$16,Paramètres!$A$1:$I$89,3,0)*VLOOKUP('Données projet'!$B$16,Paramètres!$A$1:$I$89,5,0)</f>
        <v>0</v>
      </c>
      <c r="FG47" s="13" t="e">
        <f t="shared" si="47"/>
        <v>#NUM!</v>
      </c>
      <c r="FH47" s="20" t="e">
        <f t="shared" si="22"/>
        <v>#NUM!</v>
      </c>
      <c r="FI47" s="57" t="e">
        <f t="shared" si="23"/>
        <v>#NUM!</v>
      </c>
      <c r="FJ47" s="57">
        <f ca="1">AVERAGE(OFFSET($FI$3,0,0,'Données projet'!$E$16+1,1))-AVERAGE(OFFSET($H$3,0,0,'Données projet'!$E$16+1,1))</f>
        <v>142.88219003619457</v>
      </c>
      <c r="FK47" s="57">
        <f t="shared" si="48"/>
        <v>288.69704547625088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37.207269832603572</v>
      </c>
      <c r="FR47" s="21">
        <f>EXP(-LN(2)/25)*FR46+(1-EXP(-LN(2)/25))/(LN(2)/25)*Calculateur!FM47*Calculateur!FO47*VLOOKUP('Données projet'!$B$16,Paramètres!$A$1:$I$89,3,0)*0.475*44/12</f>
        <v>8.4239373968415556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45.631207229445124</v>
      </c>
      <c r="FU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7" t="e">
        <f t="shared" si="26"/>
        <v>#N/A</v>
      </c>
      <c r="GE47" s="57" t="e">
        <f ca="1">AVERAGE(OFFSET($GD$3,0,0,'Données projet'!$E$17+1,1))-AVERAGE(OFFSET($H$3,0,0,'Données projet'!$E$17+1,1))</f>
        <v>#N/A</v>
      </c>
      <c r="GF47" s="57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7" t="e">
        <f t="shared" si="29"/>
        <v>#N/A</v>
      </c>
      <c r="GZ47" s="57" t="e">
        <f ca="1">AVERAGE(OFFSET($GY$3,0,0,'Données projet'!$E$18+1,1))-AVERAGE(OFFSET($H$3,0,0,'Données projet'!$E$18+1,1))</f>
        <v>#N/A</v>
      </c>
      <c r="HA47" s="57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1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5">
        <f t="shared" si="1"/>
        <v>183.33333333333334</v>
      </c>
      <c r="I48" s="6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184.57920000000001</v>
      </c>
      <c r="P48" s="13">
        <f t="shared" si="33"/>
        <v>46.339479465836661</v>
      </c>
      <c r="Q48" s="20">
        <f t="shared" si="53"/>
        <v>402.18336673633218</v>
      </c>
      <c r="R48" s="57">
        <f t="shared" si="0"/>
        <v>653.81012428716633</v>
      </c>
      <c r="S48" s="57">
        <f ca="1">AVERAGE(OFFSET($R$3,0,0,'Données projet'!$E$9+1,1))-AVERAGE(OFFSET($H$3,0,0,'Données projet'!$E$9+1,1))</f>
        <v>539.63700256763173</v>
      </c>
      <c r="T48" s="57">
        <f t="shared" si="34"/>
        <v>297.32483725004136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171.84960000000004</v>
      </c>
      <c r="AK48" s="13">
        <f t="shared" si="35"/>
        <v>43.50401120412441</v>
      </c>
      <c r="AL48" s="20">
        <f t="shared" si="4"/>
        <v>375.07420618051674</v>
      </c>
      <c r="AM48" s="57">
        <f t="shared" si="5"/>
        <v>626.70096373135084</v>
      </c>
      <c r="AN48" s="57">
        <f ca="1">AVERAGE(OFFSET($AM$3,0,0,'Données projet'!$E$10+1,1))-AVERAGE(OFFSET($H$3,0,0,'Données projet'!$E$10+1,1))</f>
        <v>508.21188526136734</v>
      </c>
      <c r="AO48" s="57">
        <f t="shared" si="36"/>
        <v>281.06176764290592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23.826666666666664</v>
      </c>
      <c r="BD48" s="12">
        <f>IF('Données projet'!$A$88&gt;35,BD47+BC48-BL47,IF(A48&lt;'Données projet'!$A$88,$BA$205^A48,IF(A48='Données projet'!$A$88,'Données projet'!$B$88,BD47+BC48-BL47)))</f>
        <v>376.86666666666645</v>
      </c>
      <c r="BE48" s="13">
        <f>BD48*VLOOKUP('Données projet'!$B$11,Paramètres!$A$1:$I$89,3,0)*VLOOKUP('Données projet'!$B$11,Paramètres!$A$1:$I$89,5,0)</f>
        <v>176.3735999999999</v>
      </c>
      <c r="BF48" s="13">
        <f t="shared" si="37"/>
        <v>44.514425799508132</v>
      </c>
      <c r="BG48" s="20">
        <f t="shared" si="7"/>
        <v>384.71331160080985</v>
      </c>
      <c r="BH48" s="57">
        <f t="shared" si="8"/>
        <v>636.340069151644</v>
      </c>
      <c r="BI48" s="57">
        <f ca="1">AVERAGE(OFFSET($BH$3,0,0,'Données projet'!$E$11+1,1))-AVERAGE(OFFSET($H$3,0,0,'Données projet'!$E$11+1,1))</f>
        <v>449.50723280509311</v>
      </c>
      <c r="BJ48" s="57">
        <f t="shared" si="38"/>
        <v>281.26353650058275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17.779352664013718</v>
      </c>
      <c r="BQ48" s="21">
        <f>EXP(-LN(2)/25)*BQ47+(1-EXP(-LN(2)/25))/(LN(2)/25)*Calculateur!BL48*Calculateur!BN48*VLOOKUP('Données projet'!$B$11,Paramètres!$A$1:$I$89,3,0)*0.475*44/12</f>
        <v>6.9813881188050191</v>
      </c>
      <c r="BR48" s="21">
        <f>EXP(-LN(2)/2)*BR47+(1-EXP(-LN(2)/2))/(LN(2)/2)*BL48*BO48*VLOOKUP('Données projet'!$B$11,Paramètres!$A$1:$I$89,3,0)*0.475*44/12</f>
        <v>0.66159343925626246</v>
      </c>
      <c r="BS48" s="22">
        <f t="shared" si="9"/>
        <v>25.422334222074998</v>
      </c>
      <c r="BT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158</v>
      </c>
      <c r="BW48" s="12">
        <f>VLOOKUP(A48,'Données projet'!$A$113:$I$133,9,0)</f>
        <v>8.4</v>
      </c>
      <c r="BX48" s="12">
        <f t="array" ref="BX48">INDEX(BW:BW,MIN(IF(ISNUMBER(BW48:BW244),ROW(BW48:BW244),"")))</f>
        <v>8.4</v>
      </c>
      <c r="BY48" s="12">
        <f>IF('Données projet'!$A$114&gt;35,BY47+BX48-CG47,IF(A48&lt;'Données projet'!$A$114,$BV$205^A48,IF(A48='Données projet'!$A$114,'Données projet'!$B$114,BY47+BX48-CG47)))</f>
        <v>158.00000000000006</v>
      </c>
      <c r="BZ48" s="13">
        <f>BY48*VLOOKUP('Données projet'!$B$12,Paramètres!$A$1:$I$89,3,0)*VLOOKUP('Données projet'!$B$12,Paramètres!$A$1:$I$89,5,0)</f>
        <v>150.35280000000006</v>
      </c>
      <c r="CA48" s="13">
        <f t="shared" si="39"/>
        <v>38.658749721546236</v>
      </c>
      <c r="CB48" s="20">
        <f t="shared" si="10"/>
        <v>329.19511576502646</v>
      </c>
      <c r="CC48" s="57">
        <f t="shared" si="11"/>
        <v>580.82187331586056</v>
      </c>
      <c r="CD48" s="57">
        <f ca="1">AVERAGE(OFFSET($CC$3,0,0,'Données projet'!$E$12+1,1))-AVERAGE(OFFSET($H$3,0,0,'Données projet'!$E$12+1,1))</f>
        <v>479.4551766174892</v>
      </c>
      <c r="CE48" s="57">
        <f t="shared" si="40"/>
        <v>260.29028006191834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21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606</v>
      </c>
      <c r="CR48" s="12">
        <f>VLOOKUP(A48,'Données projet'!$A$139:$I$159,9,0)</f>
        <v>22.8</v>
      </c>
      <c r="CS48" s="12">
        <f t="array" ref="CS48">INDEX(CR:CR,MIN(IF(ISNUMBER(CR48:CR244),ROW(CR48:CR244),"")))</f>
        <v>22.8</v>
      </c>
      <c r="CT48" s="12">
        <f>IF('Données projet'!$A$140&gt;35,CT47+CS48-DB47,IF(A48&lt;'Données projet'!$A$140,$CQ$205^A48,IF(A48='Données projet'!$A$140,'Données projet'!$B$140,CT47+CS48-DB47)))</f>
        <v>606</v>
      </c>
      <c r="CU48" s="17">
        <f>CT48*VLOOKUP('Données projet'!$B$13,Paramètres!$A$1:$I$89,3,0)*VLOOKUP('Données projet'!$B$13,Paramètres!$A$1:$I$89,5,0)</f>
        <v>338.75400000000002</v>
      </c>
      <c r="CV48" s="13">
        <f t="shared" si="41"/>
        <v>79.242459951408904</v>
      </c>
      <c r="CW48" s="20">
        <f t="shared" si="13"/>
        <v>728.01050108203719</v>
      </c>
      <c r="CX48" s="57">
        <f t="shared" si="14"/>
        <v>979.63725863287129</v>
      </c>
      <c r="CY48" s="57">
        <f ca="1">AVERAGE(OFFSET($CX$3,0,0,'Données projet'!$E$13+1,1))-AVERAGE(OFFSET($H$3,0,0,'Données projet'!$E$13+1,1))</f>
        <v>459.83870442974046</v>
      </c>
      <c r="CZ48" s="57">
        <f t="shared" si="42"/>
        <v>565.68976940602215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66</v>
      </c>
      <c r="DC48" s="16">
        <f>IF(ISNA(VLOOKUP(A48,'Données projet'!$A$139:$I$159,5,0)),0%,VLOOKUP(A48,'Données projet'!$A$139:$I$159,5,0)*VLOOKUP('Données projet'!$B$13,Paramètres!$A$1:$I$89,7,0))</f>
        <v>0.38500000000000001</v>
      </c>
      <c r="DD48" s="16">
        <f>IF(ISNA(VLOOKUP(A48,'Données projet'!$A$139:$I$159,6,0)),0%,VLOOKUP(A48,'Données projet'!$A$139:$I$159,6,0)*VLOOKUP('Données projet'!$B$13,Paramètres!$A$1:$I$89,7,0))</f>
        <v>9.240000000000001E-2</v>
      </c>
      <c r="DE48" s="16">
        <f>IF(ISNA(VLOOKUP(A48,'Données projet'!$A$139:$I$159,7,0)),0%,VLOOKUP(A48,'Données projet'!$A$139:$I$159,7,0))</f>
        <v>0.13200000000000001</v>
      </c>
      <c r="DF48" s="21">
        <f>EXP(-LN(2)/35)*DF47+(1-EXP(-LN(2)/35))/(LN(2)/35)*DB48*DC48*VLOOKUP('Données projet'!$B$13,Paramètres!$A$1:$I$89,3,0)*0.475*44/12</f>
        <v>65.075256977174902</v>
      </c>
      <c r="DG48" s="21">
        <f>EXP(-LN(2)/25)*DG47+(1-EXP(-LN(2)/25))/(LN(2)/25)*Calculateur!DB48*Calculateur!DD48*VLOOKUP('Données projet'!$B$13,Paramètres!$A$1:$I$89,3,0)*0.475*44/12</f>
        <v>21.838537414433894</v>
      </c>
      <c r="DH48" s="21">
        <f>EXP(-LN(2)/2)*DH47+(1-EXP(-LN(2)/2))/(LN(2)/2)*DB48*DE48*VLOOKUP('Données projet'!$B$13,Paramètres!$A$1:$I$89,3,0)*0.475*44/12</f>
        <v>6.7970889191248478</v>
      </c>
      <c r="DI48" s="22">
        <f t="shared" si="15"/>
        <v>93.710883310733649</v>
      </c>
      <c r="DJ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364.55528333333342</v>
      </c>
      <c r="DM48" s="12">
        <f>VLOOKUP(A48,'Données projet'!$A$165:$I$185,9,0)</f>
        <v>14.406720000000007</v>
      </c>
      <c r="DN48" s="12">
        <f t="array" ref="DN48">INDEX(DM:DM,MIN(IF(ISNUMBER(DM48:DM244),ROW(DM48:DM244),"")))</f>
        <v>14.406720000000007</v>
      </c>
      <c r="DO48" s="12">
        <f>IF('Données projet'!$A$166&gt;35,DO47+DN48-DW47,IF(A48&lt;'Données projet'!$A$166,$DL$205^A48,IF(A48='Données projet'!$A$166,'Données projet'!$B$166,DO47+DN48-DW47)))</f>
        <v>364.55528333333331</v>
      </c>
      <c r="DP48" s="17">
        <f>DO48*VLOOKUP('Données projet'!$B$14,Paramètres!$A$1:$I$89,3,0)*VLOOKUP('Données projet'!$B$14,Paramètres!$A$1:$I$89,5,0)</f>
        <v>238.85662163999999</v>
      </c>
      <c r="DQ48" s="13">
        <f t="shared" si="43"/>
        <v>58.193458727798998</v>
      </c>
      <c r="DR48" s="20">
        <f t="shared" si="16"/>
        <v>517.36222330724979</v>
      </c>
      <c r="DS48" s="57">
        <f t="shared" si="17"/>
        <v>768.98898085808389</v>
      </c>
      <c r="DT48" s="57">
        <f ca="1">AVERAGE(OFFSET($DS$3,0,0,'Données projet'!$E$14+1,1))-AVERAGE(OFFSET($H$3,0,0,'Données projet'!$E$14+1,1))</f>
        <v>315.23504986325418</v>
      </c>
      <c r="DU48" s="57">
        <f t="shared" si="44"/>
        <v>350.52837099886688</v>
      </c>
      <c r="DV48" s="15">
        <f>IF(ISNA(VLOOKUP(A48,'Données projet'!$A$165:$I$185,3,0)),0,VLOOKUP(A48,'Données projet'!$A$165:$I$185,3,0))</f>
        <v>4</v>
      </c>
      <c r="DW48" s="15">
        <f>IF(ISNA(VLOOKUP(A48,'Données projet'!$A$165:$I$185,4,0)),0,VLOOKUP(A48,'Données projet'!$A$165:$I$185,4,0))</f>
        <v>60.759213888888908</v>
      </c>
      <c r="DX48" s="16">
        <f>IF(ISNA(VLOOKUP(A48,'Données projet'!$A$165:$I$185,5,0)),0%,VLOOKUP(A48,'Données projet'!$A$165:$I$185,5,0)*VLOOKUP('Données projet'!$B$14,Paramètres!$A$1:$I$89,7,0))</f>
        <v>0.38700000000000001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29.179524578947671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29.179524578947671</v>
      </c>
      <c r="EE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4.9333333333333327</v>
      </c>
      <c r="EJ48" s="12">
        <f>IF('Données projet'!$A$192&gt;35,EJ47+EI48-ER47,IF(A48&lt;'Données projet'!$A$192,$EG$205^A48,IF(A48='Données projet'!$A$192,'Données projet'!$B$192,EJ47+EI48-ER47)))</f>
        <v>81.2</v>
      </c>
      <c r="EK48" s="17">
        <f>EJ48*VLOOKUP('Données projet'!$B$15,Paramètres!$A$1:$I$89,3,0)*VLOOKUP('Données projet'!$B$15,Paramètres!$A$1:$I$89,5,0)</f>
        <v>78.536640000000006</v>
      </c>
      <c r="EL48" s="13">
        <f t="shared" si="45"/>
        <v>21.779001471873372</v>
      </c>
      <c r="EM48" s="20">
        <f t="shared" si="19"/>
        <v>174.71640889684613</v>
      </c>
      <c r="EN48" s="57">
        <f t="shared" si="20"/>
        <v>426.34316644768023</v>
      </c>
      <c r="EO48" s="57">
        <f ca="1">AVERAGE(OFFSET($EN$3,0,0,'Données projet'!$E$15+1,1))-AVERAGE(OFFSET($H$3,0,0,'Données projet'!$E$15+1,1))</f>
        <v>328.31200866623891</v>
      </c>
      <c r="EP48" s="57">
        <f t="shared" si="46"/>
        <v>195.52650232917446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>
        <f>FE48*VLOOKUP('Données projet'!$B$16,Paramètres!$A$1:$I$89,3,0)*VLOOKUP('Données projet'!$B$16,Paramètres!$A$1:$I$89,5,0)</f>
        <v>0</v>
      </c>
      <c r="FG48" s="13" t="e">
        <f t="shared" si="47"/>
        <v>#NUM!</v>
      </c>
      <c r="FH48" s="20" t="e">
        <f t="shared" si="22"/>
        <v>#NUM!</v>
      </c>
      <c r="FI48" s="57" t="e">
        <f t="shared" si="23"/>
        <v>#NUM!</v>
      </c>
      <c r="FJ48" s="57">
        <f ca="1">AVERAGE(OFFSET($FI$3,0,0,'Données projet'!$E$16+1,1))-AVERAGE(OFFSET($H$3,0,0,'Données projet'!$E$16+1,1))</f>
        <v>142.88219003619457</v>
      </c>
      <c r="FK48" s="57">
        <f t="shared" si="48"/>
        <v>288.69704547625088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36.477657965379947</v>
      </c>
      <c r="FR48" s="21">
        <f>EXP(-LN(2)/25)*FR47+(1-EXP(-LN(2)/25))/(LN(2)/25)*Calculateur!FM48*Calculateur!FO48*VLOOKUP('Données projet'!$B$16,Paramètres!$A$1:$I$89,3,0)*0.475*44/12</f>
        <v>8.1935843857293094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44.671242351109257</v>
      </c>
      <c r="FU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7" t="e">
        <f t="shared" si="26"/>
        <v>#N/A</v>
      </c>
      <c r="GE48" s="57" t="e">
        <f ca="1">AVERAGE(OFFSET($GD$3,0,0,'Données projet'!$E$17+1,1))-AVERAGE(OFFSET($H$3,0,0,'Données projet'!$E$17+1,1))</f>
        <v>#N/A</v>
      </c>
      <c r="GF48" s="57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7" t="e">
        <f t="shared" si="29"/>
        <v>#N/A</v>
      </c>
      <c r="GZ48" s="57" t="e">
        <f ca="1">AVERAGE(OFFSET($GY$3,0,0,'Données projet'!$E$18+1,1))-AVERAGE(OFFSET($H$3,0,0,'Données projet'!$E$18+1,1))</f>
        <v>#N/A</v>
      </c>
      <c r="HA48" s="57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1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5">
        <f t="shared" si="1"/>
        <v>183.33333333333334</v>
      </c>
      <c r="I49" s="6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169.19760000000002</v>
      </c>
      <c r="P49" s="13">
        <f t="shared" si="33"/>
        <v>42.910263223432885</v>
      </c>
      <c r="Q49" s="20">
        <f t="shared" si="53"/>
        <v>369.42119511414558</v>
      </c>
      <c r="R49" s="57">
        <f t="shared" si="0"/>
        <v>621.77146851287125</v>
      </c>
      <c r="S49" s="57">
        <f ca="1">AVERAGE(OFFSET($R$3,0,0,'Données projet'!$E$9+1,1))-AVERAGE(OFFSET($H$3,0,0,'Données projet'!$E$9+1,1))</f>
        <v>539.63700256763173</v>
      </c>
      <c r="T49" s="57">
        <f t="shared" si="34"/>
        <v>297.32483725004136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157.52880000000005</v>
      </c>
      <c r="AK49" s="13">
        <f t="shared" si="35"/>
        <v>40.284625411479013</v>
      </c>
      <c r="AL49" s="20">
        <f t="shared" si="4"/>
        <v>344.52504925832596</v>
      </c>
      <c r="AM49" s="57">
        <f t="shared" si="5"/>
        <v>596.87532265705158</v>
      </c>
      <c r="AN49" s="57">
        <f ca="1">AVERAGE(OFFSET($AM$3,0,0,'Données projet'!$E$10+1,1))-AVERAGE(OFFSET($H$3,0,0,'Données projet'!$E$10+1,1))</f>
        <v>508.21188526136734</v>
      </c>
      <c r="AO49" s="57">
        <f t="shared" si="36"/>
        <v>281.06176764290592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23.826666666666664</v>
      </c>
      <c r="BD49" s="12">
        <f>IF('Données projet'!$A$88&gt;35,BD48+BC49-BL48,IF(A49&lt;'Données projet'!$A$88,$BA$205^A49,IF(A49='Données projet'!$A$88,'Données projet'!$B$88,BD48+BC49-BL48)))</f>
        <v>400.6933333333331</v>
      </c>
      <c r="BE49" s="13">
        <f>BD49*VLOOKUP('Données projet'!$B$11,Paramètres!$A$1:$I$89,3,0)*VLOOKUP('Données projet'!$B$11,Paramètres!$A$1:$I$89,5,0)</f>
        <v>187.52447999999987</v>
      </c>
      <c r="BF49" s="13">
        <f t="shared" si="37"/>
        <v>46.992233486638092</v>
      </c>
      <c r="BG49" s="20">
        <f t="shared" si="7"/>
        <v>408.4499426558944</v>
      </c>
      <c r="BH49" s="57">
        <f t="shared" si="8"/>
        <v>660.80021605462002</v>
      </c>
      <c r="BI49" s="57">
        <f ca="1">AVERAGE(OFFSET($BH$3,0,0,'Données projet'!$E$11+1,1))-AVERAGE(OFFSET($H$3,0,0,'Données projet'!$E$11+1,1))</f>
        <v>449.50723280509311</v>
      </c>
      <c r="BJ49" s="57">
        <f t="shared" si="38"/>
        <v>281.26353650058275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17.430710402606746</v>
      </c>
      <c r="BQ49" s="21">
        <f>EXP(-LN(2)/25)*BQ48+(1-EXP(-LN(2)/25))/(LN(2)/25)*Calculateur!BL49*Calculateur!BN49*VLOOKUP('Données projet'!$B$11,Paramètres!$A$1:$I$89,3,0)*0.475*44/12</f>
        <v>6.790481693561051</v>
      </c>
      <c r="BR49" s="21">
        <f>EXP(-LN(2)/2)*BR48+(1-EXP(-LN(2)/2))/(LN(2)/2)*BL49*BO49*VLOOKUP('Données projet'!$B$11,Paramètres!$A$1:$I$89,3,0)*0.475*44/12</f>
        <v>0.46781720728663345</v>
      </c>
      <c r="BS49" s="22">
        <f t="shared" si="9"/>
        <v>24.68900930345443</v>
      </c>
      <c r="BT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145.20000000000005</v>
      </c>
      <c r="BZ49" s="13">
        <f>BY49*VLOOKUP('Données projet'!$B$12,Paramètres!$A$1:$I$89,3,0)*VLOOKUP('Données projet'!$B$12,Paramètres!$A$1:$I$89,5,0)</f>
        <v>138.17232000000004</v>
      </c>
      <c r="CA49" s="13">
        <f t="shared" si="39"/>
        <v>35.877989993863793</v>
      </c>
      <c r="CB49" s="20">
        <f t="shared" si="10"/>
        <v>303.13762323931286</v>
      </c>
      <c r="CC49" s="57">
        <f t="shared" si="11"/>
        <v>555.48789663803848</v>
      </c>
      <c r="CD49" s="57">
        <f ca="1">AVERAGE(OFFSET($CC$3,0,0,'Données projet'!$E$12+1,1))-AVERAGE(OFFSET($H$3,0,0,'Données projet'!$E$12+1,1))</f>
        <v>479.4551766174892</v>
      </c>
      <c r="CE49" s="57">
        <f t="shared" si="40"/>
        <v>260.29028006191834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17.8</v>
      </c>
      <c r="CT49" s="12">
        <f>IF('Données projet'!$A$140&gt;35,CT48+CS49-DB48,IF(A49&lt;'Données projet'!$A$140,$CQ$205^A49,IF(A49='Données projet'!$A$140,'Données projet'!$B$140,CT48+CS49-DB48)))</f>
        <v>557.79999999999995</v>
      </c>
      <c r="CU49" s="17">
        <f>CT49*VLOOKUP('Données projet'!$B$13,Paramètres!$A$1:$I$89,3,0)*VLOOKUP('Données projet'!$B$13,Paramètres!$A$1:$I$89,5,0)</f>
        <v>311.81020000000001</v>
      </c>
      <c r="CV49" s="13">
        <f t="shared" si="41"/>
        <v>73.646743780370684</v>
      </c>
      <c r="CW49" s="20">
        <f t="shared" si="13"/>
        <v>671.33751041747894</v>
      </c>
      <c r="CX49" s="57">
        <f t="shared" si="14"/>
        <v>923.68778381620461</v>
      </c>
      <c r="CY49" s="57">
        <f ca="1">AVERAGE(OFFSET($CX$3,0,0,'Données projet'!$E$13+1,1))-AVERAGE(OFFSET($H$3,0,0,'Données projet'!$E$13+1,1))</f>
        <v>459.83870442974046</v>
      </c>
      <c r="CZ49" s="57">
        <f t="shared" si="42"/>
        <v>565.68976940602215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63.799170879839998</v>
      </c>
      <c r="DG49" s="21">
        <f>EXP(-LN(2)/25)*DG48+(1-EXP(-LN(2)/25))/(LN(2)/25)*Calculateur!DB49*Calculateur!DD49*VLOOKUP('Données projet'!$B$13,Paramètres!$A$1:$I$89,3,0)*0.475*44/12</f>
        <v>21.241361460397428</v>
      </c>
      <c r="DH49" s="21">
        <f>EXP(-LN(2)/2)*DH48+(1-EXP(-LN(2)/2))/(LN(2)/2)*DB49*DE49*VLOOKUP('Données projet'!$B$13,Paramètres!$A$1:$I$89,3,0)*0.475*44/12</f>
        <v>4.8062676670411211</v>
      </c>
      <c r="DI49" s="22">
        <f t="shared" si="15"/>
        <v>89.84680000727856</v>
      </c>
      <c r="DJ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16.471899999999994</v>
      </c>
      <c r="DO49" s="12">
        <f>IF('Données projet'!$A$166&gt;35,DO48+DN49-DW48,IF(A49&lt;'Données projet'!$A$166,$DL$205^A49,IF(A49='Données projet'!$A$166,'Données projet'!$B$166,DO48+DN49-DW48)))</f>
        <v>320.26796944444442</v>
      </c>
      <c r="DP49" s="17">
        <f>DO49*VLOOKUP('Données projet'!$B$14,Paramètres!$A$1:$I$89,3,0)*VLOOKUP('Données projet'!$B$14,Paramètres!$A$1:$I$89,5,0)</f>
        <v>209.83957357999998</v>
      </c>
      <c r="DQ49" s="13">
        <f t="shared" si="43"/>
        <v>51.900526930137893</v>
      </c>
      <c r="DR49" s="20">
        <f t="shared" si="16"/>
        <v>455.86400838849016</v>
      </c>
      <c r="DS49" s="57">
        <f t="shared" si="17"/>
        <v>708.21428178721578</v>
      </c>
      <c r="DT49" s="57">
        <f ca="1">AVERAGE(OFFSET($DS$3,0,0,'Données projet'!$E$14+1,1))-AVERAGE(OFFSET($H$3,0,0,'Données projet'!$E$14+1,1))</f>
        <v>315.23504986325418</v>
      </c>
      <c r="DU49" s="57">
        <f t="shared" si="44"/>
        <v>350.52837099886688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28.60733189970712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28.60733189970712</v>
      </c>
      <c r="EE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4.9333333333333327</v>
      </c>
      <c r="EJ49" s="12">
        <f>IF('Données projet'!$A$192&gt;35,EJ48+EI49-ER48,IF(A49&lt;'Données projet'!$A$192,$EG$205^A49,IF(A49='Données projet'!$A$192,'Données projet'!$B$192,EJ48+EI49-ER48)))</f>
        <v>86.13333333333334</v>
      </c>
      <c r="EK49" s="17">
        <f>EJ49*VLOOKUP('Données projet'!$B$15,Paramètres!$A$1:$I$89,3,0)*VLOOKUP('Données projet'!$B$15,Paramètres!$A$1:$I$89,5,0)</f>
        <v>83.308160000000001</v>
      </c>
      <c r="EL49" s="13">
        <f t="shared" si="45"/>
        <v>22.944129086228603</v>
      </c>
      <c r="EM49" s="20">
        <f t="shared" si="19"/>
        <v>185.05607015851481</v>
      </c>
      <c r="EN49" s="57">
        <f t="shared" si="20"/>
        <v>437.40634355724046</v>
      </c>
      <c r="EO49" s="57">
        <f ca="1">AVERAGE(OFFSET($EN$3,0,0,'Données projet'!$E$15+1,1))-AVERAGE(OFFSET($H$3,0,0,'Données projet'!$E$15+1,1))</f>
        <v>328.31200866623891</v>
      </c>
      <c r="EP49" s="57">
        <f t="shared" si="46"/>
        <v>195.52650232917446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>
        <f>FE49*VLOOKUP('Données projet'!$B$16,Paramètres!$A$1:$I$89,3,0)*VLOOKUP('Données projet'!$B$16,Paramètres!$A$1:$I$89,5,0)</f>
        <v>0</v>
      </c>
      <c r="FG49" s="13" t="e">
        <f t="shared" si="47"/>
        <v>#NUM!</v>
      </c>
      <c r="FH49" s="20" t="e">
        <f t="shared" si="22"/>
        <v>#NUM!</v>
      </c>
      <c r="FI49" s="57" t="e">
        <f t="shared" si="23"/>
        <v>#NUM!</v>
      </c>
      <c r="FJ49" s="57">
        <f ca="1">AVERAGE(OFFSET($FI$3,0,0,'Données projet'!$E$16+1,1))-AVERAGE(OFFSET($H$3,0,0,'Données projet'!$E$16+1,1))</f>
        <v>142.88219003619457</v>
      </c>
      <c r="FK49" s="57">
        <f t="shared" si="48"/>
        <v>288.69704547625088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35.762353341853284</v>
      </c>
      <c r="FR49" s="21">
        <f>EXP(-LN(2)/25)*FR48+(1-EXP(-LN(2)/25))/(LN(2)/25)*Calculateur!FM49*Calculateur!FO49*VLOOKUP('Données projet'!$B$16,Paramètres!$A$1:$I$89,3,0)*0.475*44/12</f>
        <v>7.9695303898196652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43.731883731672951</v>
      </c>
      <c r="FU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7" t="e">
        <f t="shared" si="26"/>
        <v>#N/A</v>
      </c>
      <c r="GE49" s="57" t="e">
        <f ca="1">AVERAGE(OFFSET($GD$3,0,0,'Données projet'!$E$17+1,1))-AVERAGE(OFFSET($H$3,0,0,'Données projet'!$E$17+1,1))</f>
        <v>#N/A</v>
      </c>
      <c r="GF49" s="57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7" t="e">
        <f t="shared" si="29"/>
        <v>#N/A</v>
      </c>
      <c r="GZ49" s="57" t="e">
        <f ca="1">AVERAGE(OFFSET($GY$3,0,0,'Données projet'!$E$18+1,1))-AVERAGE(OFFSET($H$3,0,0,'Données projet'!$E$18+1,1))</f>
        <v>#N/A</v>
      </c>
      <c r="HA49" s="57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1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5">
        <f t="shared" si="1"/>
        <v>183.33333333333334</v>
      </c>
      <c r="I50" s="6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179.15040000000002</v>
      </c>
      <c r="P50" s="13">
        <f t="shared" si="33"/>
        <v>45.133113803437304</v>
      </c>
      <c r="Q50" s="20">
        <f t="shared" si="53"/>
        <v>390.62711987431999</v>
      </c>
      <c r="R50" s="57">
        <f t="shared" si="0"/>
        <v>643.68835773851538</v>
      </c>
      <c r="S50" s="57">
        <f ca="1">AVERAGE(OFFSET($R$3,0,0,'Données projet'!$E$9+1,1))-AVERAGE(OFFSET($H$3,0,0,'Données projet'!$E$9+1,1))</f>
        <v>539.63700256763173</v>
      </c>
      <c r="T50" s="57">
        <f t="shared" si="34"/>
        <v>297.32483725004136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166.79520000000002</v>
      </c>
      <c r="AK50" s="13">
        <f t="shared" si="35"/>
        <v>42.371461898472788</v>
      </c>
      <c r="AL50" s="20">
        <f t="shared" si="4"/>
        <v>364.29860280650678</v>
      </c>
      <c r="AM50" s="57">
        <f t="shared" si="5"/>
        <v>617.35984067070217</v>
      </c>
      <c r="AN50" s="57">
        <f ca="1">AVERAGE(OFFSET($AM$3,0,0,'Données projet'!$E$10+1,1))-AVERAGE(OFFSET($H$3,0,0,'Données projet'!$E$10+1,1))</f>
        <v>508.21188526136734</v>
      </c>
      <c r="AO50" s="57">
        <f t="shared" si="36"/>
        <v>281.06176764290592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23.826666666666664</v>
      </c>
      <c r="BD50" s="12">
        <f>IF('Données projet'!$A$88&gt;35,BD49+BC50-BL49,IF(A50&lt;'Données projet'!$A$88,$BA$205^A50,IF(A50='Données projet'!$A$88,'Données projet'!$B$88,BD49+BC50-BL49)))</f>
        <v>424.51999999999975</v>
      </c>
      <c r="BE50" s="13">
        <f>BD50*VLOOKUP('Données projet'!$B$11,Paramètres!$A$1:$I$89,3,0)*VLOOKUP('Données projet'!$B$11,Paramètres!$A$1:$I$89,5,0)</f>
        <v>198.6753599999999</v>
      </c>
      <c r="BF50" s="13">
        <f t="shared" si="37"/>
        <v>49.452939452223859</v>
      </c>
      <c r="BG50" s="20">
        <f t="shared" si="7"/>
        <v>432.15678821262304</v>
      </c>
      <c r="BH50" s="57">
        <f t="shared" si="8"/>
        <v>685.21802607681843</v>
      </c>
      <c r="BI50" s="57">
        <f ca="1">AVERAGE(OFFSET($BH$3,0,0,'Données projet'!$E$11+1,1))-AVERAGE(OFFSET($H$3,0,0,'Données projet'!$E$11+1,1))</f>
        <v>449.50723280509311</v>
      </c>
      <c r="BJ50" s="57">
        <f t="shared" si="38"/>
        <v>281.26353650058275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17.088904803295183</v>
      </c>
      <c r="BQ50" s="21">
        <f>EXP(-LN(2)/25)*BQ49+(1-EXP(-LN(2)/25))/(LN(2)/25)*Calculateur!BL50*Calculateur!BN50*VLOOKUP('Données projet'!$B$11,Paramètres!$A$1:$I$89,3,0)*0.475*44/12</f>
        <v>6.6047956145547113</v>
      </c>
      <c r="BR50" s="21">
        <f>EXP(-LN(2)/2)*BR49+(1-EXP(-LN(2)/2))/(LN(2)/2)*BL50*BO50*VLOOKUP('Données projet'!$B$11,Paramètres!$A$1:$I$89,3,0)*0.475*44/12</f>
        <v>0.33079671962813129</v>
      </c>
      <c r="BS50" s="22">
        <f t="shared" si="9"/>
        <v>24.024497137478026</v>
      </c>
      <c r="BT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153.40000000000003</v>
      </c>
      <c r="BZ50" s="13">
        <f>BY50*VLOOKUP('Données projet'!$B$12,Paramètres!$A$1:$I$89,3,0)*VLOOKUP('Données projet'!$B$12,Paramètres!$A$1:$I$89,5,0)</f>
        <v>145.97544000000002</v>
      </c>
      <c r="CA50" s="13">
        <f t="shared" si="39"/>
        <v>37.662547285900686</v>
      </c>
      <c r="CB50" s="20">
        <f t="shared" si="10"/>
        <v>319.83616118961032</v>
      </c>
      <c r="CC50" s="57">
        <f t="shared" si="11"/>
        <v>572.89739905380566</v>
      </c>
      <c r="CD50" s="57">
        <f ca="1">AVERAGE(OFFSET($CC$3,0,0,'Données projet'!$E$12+1,1))-AVERAGE(OFFSET($H$3,0,0,'Données projet'!$E$12+1,1))</f>
        <v>479.4551766174892</v>
      </c>
      <c r="CE50" s="57">
        <f t="shared" si="40"/>
        <v>260.29028006191834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17.8</v>
      </c>
      <c r="CT50" s="12">
        <f>IF('Données projet'!$A$140&gt;35,CT49+CS50-DB49,IF(A50&lt;'Données projet'!$A$140,$CQ$205^A50,IF(A50='Données projet'!$A$140,'Données projet'!$B$140,CT49+CS50-DB49)))</f>
        <v>575.59999999999991</v>
      </c>
      <c r="CU50" s="17">
        <f>CT50*VLOOKUP('Données projet'!$B$13,Paramètres!$A$1:$I$89,3,0)*VLOOKUP('Données projet'!$B$13,Paramètres!$A$1:$I$89,5,0)</f>
        <v>321.76039999999995</v>
      </c>
      <c r="CV50" s="13">
        <f t="shared" si="41"/>
        <v>75.719522083505169</v>
      </c>
      <c r="CW50" s="20">
        <f t="shared" si="13"/>
        <v>692.27753096210472</v>
      </c>
      <c r="CX50" s="57">
        <f t="shared" si="14"/>
        <v>945.33876882630011</v>
      </c>
      <c r="CY50" s="57">
        <f ca="1">AVERAGE(OFFSET($CX$3,0,0,'Données projet'!$E$13+1,1))-AVERAGE(OFFSET($H$3,0,0,'Données projet'!$E$13+1,1))</f>
        <v>459.83870442974046</v>
      </c>
      <c r="CZ50" s="57">
        <f t="shared" si="42"/>
        <v>565.68976940602215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62.548108052538169</v>
      </c>
      <c r="DG50" s="21">
        <f>EXP(-LN(2)/25)*DG49+(1-EXP(-LN(2)/25))/(LN(2)/25)*Calculateur!DB50*Calculateur!DD50*VLOOKUP('Données projet'!$B$13,Paramètres!$A$1:$I$89,3,0)*0.475*44/12</f>
        <v>20.66051531422821</v>
      </c>
      <c r="DH50" s="21">
        <f>EXP(-LN(2)/2)*DH49+(1-EXP(-LN(2)/2))/(LN(2)/2)*DB50*DE50*VLOOKUP('Données projet'!$B$13,Paramètres!$A$1:$I$89,3,0)*0.475*44/12</f>
        <v>3.3985444595624243</v>
      </c>
      <c r="DI50" s="22">
        <f t="shared" si="15"/>
        <v>86.607167826328805</v>
      </c>
      <c r="DJ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16.471899999999994</v>
      </c>
      <c r="DO50" s="12">
        <f>IF('Données projet'!$A$166&gt;35,DO49+DN50-DW49,IF(A50&lt;'Données projet'!$A$166,$DL$205^A50,IF(A50='Données projet'!$A$166,'Données projet'!$B$166,DO49+DN50-DW49)))</f>
        <v>336.73986944444442</v>
      </c>
      <c r="DP50" s="17">
        <f>DO50*VLOOKUP('Données projet'!$B$14,Paramètres!$A$1:$I$89,3,0)*VLOOKUP('Données projet'!$B$14,Paramètres!$A$1:$I$89,5,0)</f>
        <v>220.63196245999995</v>
      </c>
      <c r="DQ50" s="13">
        <f t="shared" si="43"/>
        <v>54.25221670017087</v>
      </c>
      <c r="DR50" s="20">
        <f t="shared" si="16"/>
        <v>478.7566120372976</v>
      </c>
      <c r="DS50" s="57">
        <f t="shared" si="17"/>
        <v>731.81784990149299</v>
      </c>
      <c r="DT50" s="57">
        <f ca="1">AVERAGE(OFFSET($DS$3,0,0,'Données projet'!$E$14+1,1))-AVERAGE(OFFSET($H$3,0,0,'Données projet'!$E$14+1,1))</f>
        <v>315.23504986325418</v>
      </c>
      <c r="DU50" s="57">
        <f t="shared" si="44"/>
        <v>350.52837099886688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28.046359569903402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28.046359569903402</v>
      </c>
      <c r="EE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4.9333333333333327</v>
      </c>
      <c r="EJ50" s="12">
        <f>IF('Données projet'!$A$192&gt;35,EJ49+EI50-ER49,IF(A50&lt;'Données projet'!$A$192,$EG$205^A50,IF(A50='Données projet'!$A$192,'Données projet'!$B$192,EJ49+EI50-ER49)))</f>
        <v>91.066666666666677</v>
      </c>
      <c r="EK50" s="17">
        <f>EJ50*VLOOKUP('Données projet'!$B$15,Paramètres!$A$1:$I$89,3,0)*VLOOKUP('Données projet'!$B$15,Paramètres!$A$1:$I$89,5,0)</f>
        <v>88.079680000000025</v>
      </c>
      <c r="EL50" s="13">
        <f t="shared" si="45"/>
        <v>24.101510308101531</v>
      </c>
      <c r="EM50" s="20">
        <f t="shared" si="19"/>
        <v>195.3822397866102</v>
      </c>
      <c r="EN50" s="57">
        <f t="shared" si="20"/>
        <v>448.44347765080556</v>
      </c>
      <c r="EO50" s="57">
        <f ca="1">AVERAGE(OFFSET($EN$3,0,0,'Données projet'!$E$15+1,1))-AVERAGE(OFFSET($H$3,0,0,'Données projet'!$E$15+1,1))</f>
        <v>328.31200866623891</v>
      </c>
      <c r="EP50" s="57">
        <f t="shared" si="46"/>
        <v>195.52650232917446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>
        <f>FE50*VLOOKUP('Données projet'!$B$16,Paramètres!$A$1:$I$89,3,0)*VLOOKUP('Données projet'!$B$16,Paramètres!$A$1:$I$89,5,0)</f>
        <v>0</v>
      </c>
      <c r="FG50" s="13" t="e">
        <f t="shared" si="47"/>
        <v>#NUM!</v>
      </c>
      <c r="FH50" s="20" t="e">
        <f t="shared" si="22"/>
        <v>#NUM!</v>
      </c>
      <c r="FI50" s="57" t="e">
        <f t="shared" si="23"/>
        <v>#NUM!</v>
      </c>
      <c r="FJ50" s="57">
        <f ca="1">AVERAGE(OFFSET($FI$3,0,0,'Données projet'!$E$16+1,1))-AVERAGE(OFFSET($H$3,0,0,'Données projet'!$E$16+1,1))</f>
        <v>142.88219003619457</v>
      </c>
      <c r="FK50" s="57">
        <f t="shared" si="48"/>
        <v>288.69704547625088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35.061075405701239</v>
      </c>
      <c r="FR50" s="21">
        <f>EXP(-LN(2)/25)*FR49+(1-EXP(-LN(2)/25))/(LN(2)/25)*Calculateur!FM50*Calculateur!FO50*VLOOKUP('Données projet'!$B$16,Paramètres!$A$1:$I$89,3,0)*0.475*44/12</f>
        <v>7.7516031622106576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42.812678567911895</v>
      </c>
      <c r="FU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7" t="e">
        <f t="shared" si="26"/>
        <v>#N/A</v>
      </c>
      <c r="GE50" s="57" t="e">
        <f ca="1">AVERAGE(OFFSET($GD$3,0,0,'Données projet'!$E$17+1,1))-AVERAGE(OFFSET($H$3,0,0,'Données projet'!$E$17+1,1))</f>
        <v>#N/A</v>
      </c>
      <c r="GF50" s="57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7" t="e">
        <f t="shared" si="29"/>
        <v>#N/A</v>
      </c>
      <c r="GZ50" s="57" t="e">
        <f ca="1">AVERAGE(OFFSET($GY$3,0,0,'Données projet'!$E$18+1,1))-AVERAGE(OFFSET($H$3,0,0,'Données projet'!$E$18+1,1))</f>
        <v>#N/A</v>
      </c>
      <c r="HA50" s="57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1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5">
        <f t="shared" si="1"/>
        <v>183.33333333333334</v>
      </c>
      <c r="I51" s="6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189.10320000000002</v>
      </c>
      <c r="P51" s="13">
        <f t="shared" si="33"/>
        <v>47.34162854278712</v>
      </c>
      <c r="Q51" s="20">
        <f t="shared" si="53"/>
        <v>411.80807637868764</v>
      </c>
      <c r="R51" s="57">
        <f t="shared" si="0"/>
        <v>665.5679450643554</v>
      </c>
      <c r="S51" s="57">
        <f ca="1">AVERAGE(OFFSET($R$3,0,0,'Données projet'!$E$9+1,1))-AVERAGE(OFFSET($H$3,0,0,'Données projet'!$E$9+1,1))</f>
        <v>539.63700256763173</v>
      </c>
      <c r="T51" s="57">
        <f t="shared" si="34"/>
        <v>297.32483725004136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176.06160000000006</v>
      </c>
      <c r="AK51" s="13">
        <f t="shared" si="35"/>
        <v>44.444839741138928</v>
      </c>
      <c r="AL51" s="20">
        <f t="shared" si="4"/>
        <v>384.04871588248369</v>
      </c>
      <c r="AM51" s="57">
        <f t="shared" si="5"/>
        <v>637.80858456815145</v>
      </c>
      <c r="AN51" s="57">
        <f ca="1">AVERAGE(OFFSET($AM$3,0,0,'Données projet'!$E$10+1,1))-AVERAGE(OFFSET($H$3,0,0,'Données projet'!$E$10+1,1))</f>
        <v>508.21188526136734</v>
      </c>
      <c r="AO51" s="57">
        <f t="shared" si="36"/>
        <v>281.06176764290592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23.826666666666664</v>
      </c>
      <c r="BD51" s="12">
        <f>IF('Données projet'!$A$88&gt;35,BD50+BC51-BL50,IF(A51&lt;'Données projet'!$A$88,$BA$205^A51,IF(A51='Données projet'!$A$88,'Données projet'!$B$88,BD50+BC51-BL50)))</f>
        <v>448.34666666666641</v>
      </c>
      <c r="BE51" s="13">
        <f>BD51*VLOOKUP('Données projet'!$B$11,Paramètres!$A$1:$I$89,3,0)*VLOOKUP('Données projet'!$B$11,Paramètres!$A$1:$I$89,5,0)</f>
        <v>209.8262399999999</v>
      </c>
      <c r="BF51" s="13">
        <f t="shared" si="37"/>
        <v>51.897612937458547</v>
      </c>
      <c r="BG51" s="20">
        <f t="shared" si="7"/>
        <v>455.83571053274005</v>
      </c>
      <c r="BH51" s="57">
        <f t="shared" si="8"/>
        <v>709.59557921840769</v>
      </c>
      <c r="BI51" s="57">
        <f ca="1">AVERAGE(OFFSET($BH$3,0,0,'Données projet'!$E$11+1,1))-AVERAGE(OFFSET($H$3,0,0,'Données projet'!$E$11+1,1))</f>
        <v>449.50723280509311</v>
      </c>
      <c r="BJ51" s="57">
        <f t="shared" si="38"/>
        <v>281.26353650058275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16.75380180330529</v>
      </c>
      <c r="BQ51" s="21">
        <f>EXP(-LN(2)/25)*BQ50+(1-EXP(-LN(2)/25))/(LN(2)/25)*Calculateur!BL51*Calculateur!BN51*VLOOKUP('Données projet'!$B$11,Paramètres!$A$1:$I$89,3,0)*0.475*44/12</f>
        <v>6.424187131143607</v>
      </c>
      <c r="BR51" s="21">
        <f>EXP(-LN(2)/2)*BR50+(1-EXP(-LN(2)/2))/(LN(2)/2)*BL51*BO51*VLOOKUP('Données projet'!$B$11,Paramètres!$A$1:$I$89,3,0)*0.475*44/12</f>
        <v>0.23390860364331675</v>
      </c>
      <c r="BS51" s="22">
        <f t="shared" si="9"/>
        <v>23.411897538092216</v>
      </c>
      <c r="BT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161.60000000000002</v>
      </c>
      <c r="BZ51" s="13">
        <f>BY51*VLOOKUP('Données projet'!$B$12,Paramètres!$A$1:$I$89,3,0)*VLOOKUP('Données projet'!$B$12,Paramètres!$A$1:$I$89,5,0)</f>
        <v>153.77856000000003</v>
      </c>
      <c r="CA51" s="13">
        <f t="shared" si="39"/>
        <v>39.436029674841947</v>
      </c>
      <c r="CB51" s="20">
        <f t="shared" si="10"/>
        <v>336.51541035034978</v>
      </c>
      <c r="CC51" s="57">
        <f t="shared" si="11"/>
        <v>590.27527903601754</v>
      </c>
      <c r="CD51" s="57">
        <f ca="1">AVERAGE(OFFSET($CC$3,0,0,'Données projet'!$E$12+1,1))-AVERAGE(OFFSET($H$3,0,0,'Données projet'!$E$12+1,1))</f>
        <v>479.4551766174892</v>
      </c>
      <c r="CE51" s="57">
        <f t="shared" si="40"/>
        <v>260.29028006191834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17.8</v>
      </c>
      <c r="CT51" s="12">
        <f>IF('Données projet'!$A$140&gt;35,CT50+CS51-DB50,IF(A51&lt;'Données projet'!$A$140,$CQ$205^A51,IF(A51='Données projet'!$A$140,'Données projet'!$B$140,CT50+CS51-DB50)))</f>
        <v>593.39999999999986</v>
      </c>
      <c r="CU51" s="17">
        <f>CT51*VLOOKUP('Données projet'!$B$13,Paramètres!$A$1:$I$89,3,0)*VLOOKUP('Données projet'!$B$13,Paramètres!$A$1:$I$89,5,0)</f>
        <v>331.71059999999994</v>
      </c>
      <c r="CV51" s="13">
        <f t="shared" si="41"/>
        <v>77.784851407016433</v>
      </c>
      <c r="CW51" s="20">
        <f t="shared" si="13"/>
        <v>713.20457786722011</v>
      </c>
      <c r="CX51" s="57">
        <f t="shared" si="14"/>
        <v>966.96444655288781</v>
      </c>
      <c r="CY51" s="57">
        <f ca="1">AVERAGE(OFFSET($CX$3,0,0,'Données projet'!$E$13+1,1))-AVERAGE(OFFSET($H$3,0,0,'Données projet'!$E$13+1,1))</f>
        <v>459.83870442974046</v>
      </c>
      <c r="CZ51" s="57">
        <f t="shared" si="42"/>
        <v>565.68976940602215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61.321577804206747</v>
      </c>
      <c r="DG51" s="21">
        <f>EXP(-LN(2)/25)*DG50+(1-EXP(-LN(2)/25))/(LN(2)/25)*Calculateur!DB51*Calculateur!DD51*VLOOKUP('Données projet'!$B$13,Paramètres!$A$1:$I$89,3,0)*0.475*44/12</f>
        <v>20.095552436471358</v>
      </c>
      <c r="DH51" s="21">
        <f>EXP(-LN(2)/2)*DH50+(1-EXP(-LN(2)/2))/(LN(2)/2)*DB51*DE51*VLOOKUP('Données projet'!$B$13,Paramètres!$A$1:$I$89,3,0)*0.475*44/12</f>
        <v>2.403133833520561</v>
      </c>
      <c r="DI51" s="22">
        <f t="shared" si="15"/>
        <v>83.820264074198661</v>
      </c>
      <c r="DJ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16.471899999999994</v>
      </c>
      <c r="DO51" s="12">
        <f>IF('Données projet'!$A$166&gt;35,DO50+DN51-DW50,IF(A51&lt;'Données projet'!$A$166,$DL$205^A51,IF(A51='Données projet'!$A$166,'Données projet'!$B$166,DO50+DN51-DW50)))</f>
        <v>353.21176944444443</v>
      </c>
      <c r="DP51" s="17">
        <f>DO51*VLOOKUP('Données projet'!$B$14,Paramètres!$A$1:$I$89,3,0)*VLOOKUP('Données projet'!$B$14,Paramètres!$A$1:$I$89,5,0)</f>
        <v>231.42435133999999</v>
      </c>
      <c r="DQ51" s="13">
        <f t="shared" si="43"/>
        <v>56.590548844844967</v>
      </c>
      <c r="DR51" s="20">
        <f t="shared" si="16"/>
        <v>501.62595115527165</v>
      </c>
      <c r="DS51" s="57">
        <f t="shared" si="17"/>
        <v>755.38581984093935</v>
      </c>
      <c r="DT51" s="57">
        <f ca="1">AVERAGE(OFFSET($DS$3,0,0,'Données projet'!$E$14+1,1))-AVERAGE(OFFSET($H$3,0,0,'Données projet'!$E$14+1,1))</f>
        <v>315.23504986325418</v>
      </c>
      <c r="DU51" s="57">
        <f t="shared" si="44"/>
        <v>350.52837099886688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27.496387565327797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27.496387565327797</v>
      </c>
      <c r="EE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96</v>
      </c>
      <c r="EH51" s="12">
        <f>VLOOKUP(A51,'Données projet'!$A$191:$I$211,9,0)</f>
        <v>4.9333333333333327</v>
      </c>
      <c r="EI51" s="12">
        <f t="array" ref="EI51">INDEX(EH:EH,MIN(IF(ISNUMBER(EH51:EH247),ROW(EH51:EH247),"")))</f>
        <v>4.9333333333333327</v>
      </c>
      <c r="EJ51" s="12">
        <f>IF('Données projet'!$A$192&gt;35,EJ50+EI51-ER50,IF(A51&lt;'Données projet'!$A$192,$EG$205^A51,IF(A51='Données projet'!$A$192,'Données projet'!$B$192,EJ50+EI51-ER50)))</f>
        <v>96.000000000000014</v>
      </c>
      <c r="EK51" s="17">
        <f>EJ51*VLOOKUP('Données projet'!$B$15,Paramètres!$A$1:$I$89,3,0)*VLOOKUP('Données projet'!$B$15,Paramètres!$A$1:$I$89,5,0)</f>
        <v>92.85120000000002</v>
      </c>
      <c r="EL51" s="13">
        <f t="shared" si="45"/>
        <v>25.251612622871896</v>
      </c>
      <c r="EM51" s="20">
        <f t="shared" si="19"/>
        <v>205.69573198483525</v>
      </c>
      <c r="EN51" s="57">
        <f t="shared" si="20"/>
        <v>459.45560067050292</v>
      </c>
      <c r="EO51" s="57">
        <f ca="1">AVERAGE(OFFSET($EN$3,0,0,'Données projet'!$E$15+1,1))-AVERAGE(OFFSET($H$3,0,0,'Données projet'!$E$15+1,1))</f>
        <v>328.31200866623891</v>
      </c>
      <c r="EP51" s="57">
        <f t="shared" si="46"/>
        <v>195.52650232917446</v>
      </c>
      <c r="EQ51" s="15">
        <f>IF(ISNA(VLOOKUP(A51,'Données projet'!$A$191:$I$211,3,0)),0,VLOOKUP(A51,'Données projet'!$A$191:$I$211,3,0))</f>
        <v>2</v>
      </c>
      <c r="ER51" s="15">
        <f>IF(ISNA(VLOOKUP(A51,'Données projet'!$A$191:$I$211,4,0)),0,VLOOKUP(A51,'Données projet'!$A$191:$I$211,4,0))</f>
        <v>22.400000000000002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>
        <f>FE51*VLOOKUP('Données projet'!$B$16,Paramètres!$A$1:$I$89,3,0)*VLOOKUP('Données projet'!$B$16,Paramètres!$A$1:$I$89,5,0)</f>
        <v>0</v>
      </c>
      <c r="FG51" s="13" t="e">
        <f t="shared" si="47"/>
        <v>#NUM!</v>
      </c>
      <c r="FH51" s="20" t="e">
        <f t="shared" si="22"/>
        <v>#NUM!</v>
      </c>
      <c r="FI51" s="57" t="e">
        <f t="shared" si="23"/>
        <v>#NUM!</v>
      </c>
      <c r="FJ51" s="57">
        <f ca="1">AVERAGE(OFFSET($FI$3,0,0,'Données projet'!$E$16+1,1))-AVERAGE(OFFSET($H$3,0,0,'Données projet'!$E$16+1,1))</f>
        <v>142.88219003619457</v>
      </c>
      <c r="FK51" s="57">
        <f t="shared" si="48"/>
        <v>288.69704547625088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34.373549102139826</v>
      </c>
      <c r="FR51" s="21">
        <f>EXP(-LN(2)/25)*FR50+(1-EXP(-LN(2)/25))/(LN(2)/25)*Calculateur!FM51*Calculateur!FO51*VLOOKUP('Données projet'!$B$16,Paramètres!$A$1:$I$89,3,0)*0.475*44/12</f>
        <v>7.5396351661009131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41.913184268240741</v>
      </c>
      <c r="FU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7" t="e">
        <f t="shared" si="26"/>
        <v>#N/A</v>
      </c>
      <c r="GE51" s="57" t="e">
        <f ca="1">AVERAGE(OFFSET($GD$3,0,0,'Données projet'!$E$17+1,1))-AVERAGE(OFFSET($H$3,0,0,'Données projet'!$E$17+1,1))</f>
        <v>#N/A</v>
      </c>
      <c r="GF51" s="57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7" t="e">
        <f t="shared" si="29"/>
        <v>#N/A</v>
      </c>
      <c r="GZ51" s="57" t="e">
        <f ca="1">AVERAGE(OFFSET($GY$3,0,0,'Données projet'!$E$18+1,1))-AVERAGE(OFFSET($H$3,0,0,'Données projet'!$E$18+1,1))</f>
        <v>#N/A</v>
      </c>
      <c r="HA51" s="57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1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5">
        <f t="shared" si="1"/>
        <v>183.33333333333334</v>
      </c>
      <c r="I52" s="6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7">
        <f t="shared" si="0"/>
        <v>687.41190843518427</v>
      </c>
      <c r="S52" s="57">
        <f ca="1">AVERAGE(OFFSET($R$3,0,0,'Données projet'!$E$9+1,1))-AVERAGE(OFFSET($H$3,0,0,'Données projet'!$E$9+1,1))</f>
        <v>539.63700256763173</v>
      </c>
      <c r="T52" s="57">
        <f t="shared" si="34"/>
        <v>297.32483725004136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185.32800000000006</v>
      </c>
      <c r="AK52" s="13">
        <f t="shared" si="35"/>
        <v>46.505548070897625</v>
      </c>
      <c r="AL52" s="20">
        <f t="shared" si="4"/>
        <v>403.77676289014676</v>
      </c>
      <c r="AM52" s="57">
        <f t="shared" si="5"/>
        <v>658.22314271443872</v>
      </c>
      <c r="AN52" s="57">
        <f ca="1">AVERAGE(OFFSET($AM$3,0,0,'Données projet'!$E$10+1,1))-AVERAGE(OFFSET($H$3,0,0,'Données projet'!$E$10+1,1))</f>
        <v>508.21188526136734</v>
      </c>
      <c r="AO52" s="57">
        <f t="shared" si="36"/>
        <v>281.06176764290592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23.826666666666664</v>
      </c>
      <c r="BD52" s="12">
        <f>IF('Données projet'!$A$88&gt;35,BD51+BC52-BL51,IF(A52&lt;'Données projet'!$A$88,$BA$205^A52,IF(A52='Données projet'!$A$88,'Données projet'!$B$88,BD51+BC52-BL51)))</f>
        <v>472.17333333333306</v>
      </c>
      <c r="BE52" s="13">
        <f>BD52*VLOOKUP('Données projet'!$B$11,Paramètres!$A$1:$I$89,3,0)*VLOOKUP('Données projet'!$B$11,Paramètres!$A$1:$I$89,5,0)</f>
        <v>220.97711999999987</v>
      </c>
      <c r="BF52" s="13">
        <f t="shared" si="37"/>
        <v>54.327203118702208</v>
      </c>
      <c r="BG52" s="20">
        <f t="shared" si="7"/>
        <v>479.48836276507285</v>
      </c>
      <c r="BH52" s="57">
        <f t="shared" si="8"/>
        <v>733.93474258936476</v>
      </c>
      <c r="BI52" s="57">
        <f ca="1">AVERAGE(OFFSET($BH$3,0,0,'Données projet'!$E$11+1,1))-AVERAGE(OFFSET($H$3,0,0,'Données projet'!$E$11+1,1))</f>
        <v>449.50723280509311</v>
      </c>
      <c r="BJ52" s="57">
        <f t="shared" si="38"/>
        <v>281.26353650058275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16.425269968752549</v>
      </c>
      <c r="BQ52" s="21">
        <f>EXP(-LN(2)/25)*BQ51+(1-EXP(-LN(2)/25))/(LN(2)/25)*Calculateur!BL52*Calculateur!BN52*VLOOKUP('Données projet'!$B$11,Paramètres!$A$1:$I$89,3,0)*0.475*44/12</f>
        <v>6.2485173962091665</v>
      </c>
      <c r="BR52" s="21">
        <f>EXP(-LN(2)/2)*BR51+(1-EXP(-LN(2)/2))/(LN(2)/2)*BL52*BO52*VLOOKUP('Données projet'!$B$11,Paramètres!$A$1:$I$89,3,0)*0.475*44/12</f>
        <v>0.16539835981406567</v>
      </c>
      <c r="BS52" s="22">
        <f t="shared" si="9"/>
        <v>22.839185724775781</v>
      </c>
      <c r="BT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169.8</v>
      </c>
      <c r="BZ52" s="13">
        <f>BY52*VLOOKUP('Données projet'!$B$12,Paramètres!$A$1:$I$89,3,0)*VLOOKUP('Données projet'!$B$12,Paramètres!$A$1:$I$89,5,0)</f>
        <v>161.58168000000001</v>
      </c>
      <c r="CA52" s="13">
        <f t="shared" si="39"/>
        <v>41.199063244334951</v>
      </c>
      <c r="CB52" s="20">
        <f t="shared" si="10"/>
        <v>353.17646115055004</v>
      </c>
      <c r="CC52" s="57">
        <f t="shared" si="11"/>
        <v>607.62284097484201</v>
      </c>
      <c r="CD52" s="57">
        <f ca="1">AVERAGE(OFFSET($CC$3,0,0,'Données projet'!$E$12+1,1))-AVERAGE(OFFSET($H$3,0,0,'Données projet'!$E$12+1,1))</f>
        <v>479.4551766174892</v>
      </c>
      <c r="CE52" s="57">
        <f t="shared" si="40"/>
        <v>260.29028006191834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17.8</v>
      </c>
      <c r="CT52" s="12">
        <f>IF('Données projet'!$A$140&gt;35,CT51+CS52-DB51,IF(A52&lt;'Données projet'!$A$140,$CQ$205^A52,IF(A52='Données projet'!$A$140,'Données projet'!$B$140,CT51+CS52-DB51)))</f>
        <v>611.19999999999982</v>
      </c>
      <c r="CU52" s="17">
        <f>CT52*VLOOKUP('Données projet'!$B$13,Paramètres!$A$1:$I$89,3,0)*VLOOKUP('Données projet'!$B$13,Paramètres!$A$1:$I$89,5,0)</f>
        <v>341.66079999999988</v>
      </c>
      <c r="CV52" s="13">
        <f t="shared" si="41"/>
        <v>79.842980844864144</v>
      </c>
      <c r="CW52" s="20">
        <f t="shared" si="13"/>
        <v>734.11908497147158</v>
      </c>
      <c r="CX52" s="57">
        <f t="shared" si="14"/>
        <v>988.56546479576355</v>
      </c>
      <c r="CY52" s="57">
        <f ca="1">AVERAGE(OFFSET($CX$3,0,0,'Données projet'!$E$13+1,1))-AVERAGE(OFFSET($H$3,0,0,'Données projet'!$E$13+1,1))</f>
        <v>459.83870442974046</v>
      </c>
      <c r="CZ52" s="57">
        <f t="shared" si="42"/>
        <v>565.68976940602215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60.119099065935529</v>
      </c>
      <c r="DG52" s="21">
        <f>EXP(-LN(2)/25)*DG51+(1-EXP(-LN(2)/25))/(LN(2)/25)*Calculateur!DB52*Calculateur!DD52*VLOOKUP('Données projet'!$B$13,Paramètres!$A$1:$I$89,3,0)*0.475*44/12</f>
        <v>19.546038498316875</v>
      </c>
      <c r="DH52" s="21">
        <f>EXP(-LN(2)/2)*DH51+(1-EXP(-LN(2)/2))/(LN(2)/2)*DB52*DE52*VLOOKUP('Données projet'!$B$13,Paramètres!$A$1:$I$89,3,0)*0.475*44/12</f>
        <v>1.6992722297812126</v>
      </c>
      <c r="DI52" s="22">
        <f t="shared" si="15"/>
        <v>81.36440979403362</v>
      </c>
      <c r="DJ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16.471899999999994</v>
      </c>
      <c r="DO52" s="12">
        <f>IF('Données projet'!$A$166&gt;35,DO51+DN52-DW51,IF(A52&lt;'Données projet'!$A$166,$DL$205^A52,IF(A52='Données projet'!$A$166,'Données projet'!$B$166,DO51+DN52-DW51)))</f>
        <v>369.68366944444443</v>
      </c>
      <c r="DP52" s="17">
        <f>DO52*VLOOKUP('Données projet'!$B$14,Paramètres!$A$1:$I$89,3,0)*VLOOKUP('Données projet'!$B$14,Paramètres!$A$1:$I$89,5,0)</f>
        <v>242.21674021999999</v>
      </c>
      <c r="DQ52" s="13">
        <f t="shared" si="43"/>
        <v>58.916217431166807</v>
      </c>
      <c r="DR52" s="20">
        <f t="shared" si="16"/>
        <v>524.47323457578216</v>
      </c>
      <c r="DS52" s="57">
        <f t="shared" si="17"/>
        <v>778.91961440007412</v>
      </c>
      <c r="DT52" s="57">
        <f ca="1">AVERAGE(OFFSET($DS$3,0,0,'Données projet'!$E$14+1,1))-AVERAGE(OFFSET($H$3,0,0,'Données projet'!$E$14+1,1))</f>
        <v>315.23504986325418</v>
      </c>
      <c r="DU52" s="57">
        <f t="shared" si="44"/>
        <v>350.52837099886688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26.957200176312121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26.957200176312121</v>
      </c>
      <c r="EE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4.6000000000000014</v>
      </c>
      <c r="EJ52" s="12">
        <f>IF('Données projet'!$A$192&gt;35,EJ51+EI52-ER51,IF(A52&lt;'Données projet'!$A$192,$EG$205^A52,IF(A52='Données projet'!$A$192,'Données projet'!$B$192,EJ51+EI52-ER51)))</f>
        <v>78.200000000000017</v>
      </c>
      <c r="EK52" s="17">
        <f>EJ52*VLOOKUP('Données projet'!$B$15,Paramètres!$A$1:$I$89,3,0)*VLOOKUP('Données projet'!$B$15,Paramètres!$A$1:$I$89,5,0)</f>
        <v>75.635040000000018</v>
      </c>
      <c r="EL52" s="13">
        <f t="shared" si="45"/>
        <v>21.066468768277005</v>
      </c>
      <c r="EM52" s="20">
        <f t="shared" si="19"/>
        <v>168.42179443808249</v>
      </c>
      <c r="EN52" s="57">
        <f t="shared" si="20"/>
        <v>422.86817426237445</v>
      </c>
      <c r="EO52" s="57">
        <f ca="1">AVERAGE(OFFSET($EN$3,0,0,'Données projet'!$E$15+1,1))-AVERAGE(OFFSET($H$3,0,0,'Données projet'!$E$15+1,1))</f>
        <v>328.31200866623891</v>
      </c>
      <c r="EP52" s="57">
        <f t="shared" si="46"/>
        <v>195.52650232917446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>
        <f>FE52*VLOOKUP('Données projet'!$B$16,Paramètres!$A$1:$I$89,3,0)*VLOOKUP('Données projet'!$B$16,Paramètres!$A$1:$I$89,5,0)</f>
        <v>0</v>
      </c>
      <c r="FG52" s="13" t="e">
        <f t="shared" si="47"/>
        <v>#NUM!</v>
      </c>
      <c r="FH52" s="20" t="e">
        <f t="shared" si="22"/>
        <v>#NUM!</v>
      </c>
      <c r="FI52" s="57" t="e">
        <f t="shared" si="23"/>
        <v>#NUM!</v>
      </c>
      <c r="FJ52" s="57">
        <f ca="1">AVERAGE(OFFSET($FI$3,0,0,'Données projet'!$E$16+1,1))-AVERAGE(OFFSET($H$3,0,0,'Données projet'!$E$16+1,1))</f>
        <v>142.88219003619457</v>
      </c>
      <c r="FK52" s="57">
        <f t="shared" si="48"/>
        <v>288.69704547625088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33.699504770041614</v>
      </c>
      <c r="FR52" s="21">
        <f>EXP(-LN(2)/25)*FR51+(1-EXP(-LN(2)/25))/(LN(2)/25)*Calculateur!FM52*Calculateur!FO52*VLOOKUP('Données projet'!$B$16,Paramètres!$A$1:$I$89,3,0)*0.475*44/12</f>
        <v>7.3334634459917023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41.032968216033318</v>
      </c>
      <c r="FU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7" t="e">
        <f t="shared" si="26"/>
        <v>#N/A</v>
      </c>
      <c r="GE52" s="57" t="e">
        <f ca="1">AVERAGE(OFFSET($GD$3,0,0,'Données projet'!$E$17+1,1))-AVERAGE(OFFSET($H$3,0,0,'Données projet'!$E$17+1,1))</f>
        <v>#N/A</v>
      </c>
      <c r="GF52" s="57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7" t="e">
        <f t="shared" si="29"/>
        <v>#N/A</v>
      </c>
      <c r="GZ52" s="57" t="e">
        <f ca="1">AVERAGE(OFFSET($GY$3,0,0,'Données projet'!$E$18+1,1))-AVERAGE(OFFSET($H$3,0,0,'Données projet'!$E$18+1,1))</f>
        <v>#N/A</v>
      </c>
      <c r="HA52" s="57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1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5">
        <f t="shared" si="1"/>
        <v>183.33333333333334</v>
      </c>
      <c r="I53" s="6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209.00880000000004</v>
      </c>
      <c r="P53" s="13">
        <f t="shared" si="33"/>
        <v>51.718923953824252</v>
      </c>
      <c r="Q53" s="20">
        <f t="shared" si="53"/>
        <v>454.10078588624395</v>
      </c>
      <c r="R53" s="57">
        <f t="shared" si="0"/>
        <v>709.22176741571411</v>
      </c>
      <c r="S53" s="57">
        <f ca="1">AVERAGE(OFFSET($R$3,0,0,'Données projet'!$E$9+1,1))-AVERAGE(OFFSET($H$3,0,0,'Données projet'!$E$9+1,1))</f>
        <v>539.63700256763173</v>
      </c>
      <c r="T53" s="57">
        <f t="shared" si="34"/>
        <v>297.32483725004136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194.59440000000004</v>
      </c>
      <c r="AK53" s="13">
        <f t="shared" si="35"/>
        <v>48.554292648263456</v>
      </c>
      <c r="AL53" s="20">
        <f t="shared" si="4"/>
        <v>423.48397302905886</v>
      </c>
      <c r="AM53" s="57">
        <f t="shared" si="5"/>
        <v>678.60495455852902</v>
      </c>
      <c r="AN53" s="57">
        <f ca="1">AVERAGE(OFFSET($AM$3,0,0,'Données projet'!$E$10+1,1))-AVERAGE(OFFSET($H$3,0,0,'Données projet'!$E$10+1,1))</f>
        <v>508.21188526136734</v>
      </c>
      <c r="AO53" s="57">
        <f t="shared" si="36"/>
        <v>281.06176764290592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496</v>
      </c>
      <c r="BB53" s="12">
        <f>VLOOKUP(A53,'Données projet'!$A$87:$I$107,9,0)</f>
        <v>23.826666666666664</v>
      </c>
      <c r="BC53" s="12">
        <f t="array" ref="BC53">INDEX(BB:BB,MIN(IF(ISNUMBER(BB53:BB249),ROW(BB53:BB249),"")))</f>
        <v>23.826666666666664</v>
      </c>
      <c r="BD53" s="12">
        <f>IF('Données projet'!$A$88&gt;35,BD52+BC53-BL52,IF(A53&lt;'Données projet'!$A$88,$BA$205^A53,IF(A53='Données projet'!$A$88,'Données projet'!$B$88,BD52+BC53-BL52)))</f>
        <v>495.99999999999972</v>
      </c>
      <c r="BE53" s="13">
        <f>BD53*VLOOKUP('Données projet'!$B$11,Paramètres!$A$1:$I$89,3,0)*VLOOKUP('Données projet'!$B$11,Paramètres!$A$1:$I$89,5,0)</f>
        <v>232.12799999999987</v>
      </c>
      <c r="BF53" s="13">
        <f t="shared" si="37"/>
        <v>56.742557967082348</v>
      </c>
      <c r="BG53" s="20">
        <f t="shared" si="7"/>
        <v>503.11622179266811</v>
      </c>
      <c r="BH53" s="57">
        <f t="shared" si="8"/>
        <v>758.23720332213816</v>
      </c>
      <c r="BI53" s="57">
        <f ca="1">AVERAGE(OFFSET($BH$3,0,0,'Données projet'!$E$11+1,1))-AVERAGE(OFFSET($H$3,0,0,'Données projet'!$E$11+1,1))</f>
        <v>449.50723280509311</v>
      </c>
      <c r="BJ53" s="57">
        <f t="shared" si="38"/>
        <v>281.26353650058275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68.788888888888891</v>
      </c>
      <c r="BM53" s="16">
        <f>IF(ISNA(VLOOKUP(A53,'Données projet'!$A$87:$I$107,5,0)),0%,VLOOKUP(A53,'Données projet'!$A$87:$I$107,5,0)*VLOOKUP('Données projet'!$B$11,Paramètres!$A$1:$I$89,7,0))</f>
        <v>0.38500000000000001</v>
      </c>
      <c r="BN53" s="16">
        <f>IF(ISNA(VLOOKUP(A53,'Données projet'!$A$87:$I$107,6,0)),0%,VLOOKUP(A53,'Données projet'!$A$87:$I$107,6,0)*VLOOKUP('Données projet'!$B$11,Paramètres!$A$1:$I$89,7,0))</f>
        <v>9.240000000000001E-2</v>
      </c>
      <c r="BO53" s="16">
        <f>IF(ISNA(VLOOKUP(A53,'Données projet'!$A$87:$I$107,7,0)),0%,VLOOKUP(A53,'Données projet'!$A$87:$I$107,7,0))</f>
        <v>0.13200000000000001</v>
      </c>
      <c r="BP53" s="21">
        <f>EXP(-LN(2)/35)*BP52+(1-EXP(-LN(2)/35))/(LN(2)/35)*BL53*BM53*VLOOKUP('Données projet'!$B$11,Paramètres!$A$1:$I$89,3,0)*0.475*44/12</f>
        <v>32.545127051430391</v>
      </c>
      <c r="BQ53" s="21">
        <f>EXP(-LN(2)/25)*BQ52+(1-EXP(-LN(2)/25))/(LN(2)/25)*Calculateur!BL53*Calculateur!BN53*VLOOKUP('Données projet'!$B$11,Paramètres!$A$1:$I$89,3,0)*0.475*44/12</f>
        <v>10.008181375335329</v>
      </c>
      <c r="BR53" s="21">
        <f>EXP(-LN(2)/2)*BR52+(1-EXP(-LN(2)/2))/(LN(2)/2)*BL53*BO53*VLOOKUP('Données projet'!$B$11,Paramètres!$A$1:$I$89,3,0)*0.475*44/12</f>
        <v>4.9283781675178888</v>
      </c>
      <c r="BS53" s="22">
        <f t="shared" si="9"/>
        <v>47.481686594283616</v>
      </c>
      <c r="BT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178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178</v>
      </c>
      <c r="BZ53" s="13">
        <f>BY53*VLOOKUP('Données projet'!$B$12,Paramètres!$A$1:$I$89,3,0)*VLOOKUP('Données projet'!$B$12,Paramètres!$A$1:$I$89,5,0)</f>
        <v>169.38480000000001</v>
      </c>
      <c r="CA53" s="13">
        <f t="shared" si="39"/>
        <v>42.952210191662466</v>
      </c>
      <c r="CB53" s="20">
        <f t="shared" si="10"/>
        <v>369.82029275047876</v>
      </c>
      <c r="CC53" s="57">
        <f t="shared" si="11"/>
        <v>624.94127427994886</v>
      </c>
      <c r="CD53" s="57">
        <f ca="1">AVERAGE(OFFSET($CC$3,0,0,'Données projet'!$E$12+1,1))-AVERAGE(OFFSET($H$3,0,0,'Données projet'!$E$12+1,1))</f>
        <v>479.4551766174892</v>
      </c>
      <c r="CE53" s="57">
        <f t="shared" si="40"/>
        <v>260.29028006191834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629</v>
      </c>
      <c r="CR53" s="12">
        <f>VLOOKUP(A53,'Données projet'!$A$139:$I$159,9,0)</f>
        <v>17.8</v>
      </c>
      <c r="CS53" s="12">
        <f t="array" ref="CS53">INDEX(CR:CR,MIN(IF(ISNUMBER(CR53:CR249),ROW(CR53:CR249),"")))</f>
        <v>17.8</v>
      </c>
      <c r="CT53" s="12">
        <f>IF('Données projet'!$A$140&gt;35,CT52+CS53-DB52,IF(A53&lt;'Données projet'!$A$140,$CQ$205^A53,IF(A53='Données projet'!$A$140,'Données projet'!$B$140,CT52+CS53-DB52)))</f>
        <v>628.99999999999977</v>
      </c>
      <c r="CU53" s="17">
        <f>CT53*VLOOKUP('Données projet'!$B$13,Paramètres!$A$1:$I$89,3,0)*VLOOKUP('Données projet'!$B$13,Paramètres!$A$1:$I$89,5,0)</f>
        <v>351.61099999999988</v>
      </c>
      <c r="CV53" s="13">
        <f t="shared" si="41"/>
        <v>81.89414415728541</v>
      </c>
      <c r="CW53" s="20">
        <f t="shared" si="13"/>
        <v>755.02145940727178</v>
      </c>
      <c r="CX53" s="57">
        <f t="shared" si="14"/>
        <v>1010.1424409367419</v>
      </c>
      <c r="CY53" s="57">
        <f ca="1">AVERAGE(OFFSET($CX$3,0,0,'Données projet'!$E$13+1,1))-AVERAGE(OFFSET($H$3,0,0,'Données projet'!$E$13+1,1))</f>
        <v>459.83870442974046</v>
      </c>
      <c r="CZ53" s="57">
        <f t="shared" si="42"/>
        <v>565.68976940602215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48</v>
      </c>
      <c r="DC53" s="16">
        <f>IF(ISNA(VLOOKUP(A53,'Données projet'!$A$139:$I$159,5,0)),0%,VLOOKUP(A53,'Données projet'!$A$139:$I$159,5,0)*VLOOKUP('Données projet'!$B$13,Paramètres!$A$1:$I$89,7,0))</f>
        <v>0.38500000000000001</v>
      </c>
      <c r="DD53" s="16">
        <f>IF(ISNA(VLOOKUP(A53,'Données projet'!$A$139:$I$159,6,0)),0%,VLOOKUP(A53,'Données projet'!$A$139:$I$159,6,0)*VLOOKUP('Données projet'!$B$13,Paramètres!$A$1:$I$89,7,0))</f>
        <v>9.240000000000001E-2</v>
      </c>
      <c r="DE53" s="16">
        <f>IF(ISNA(VLOOKUP(A53,'Données projet'!$A$139:$I$159,7,0)),0%,VLOOKUP(A53,'Données projet'!$A$139:$I$159,7,0))</f>
        <v>0.13200000000000001</v>
      </c>
      <c r="DF53" s="21">
        <f>EXP(-LN(2)/35)*DF52+(1-EXP(-LN(2)/35))/(LN(2)/35)*DB53*DC53*VLOOKUP('Données projet'!$B$13,Paramètres!$A$1:$I$89,3,0)*0.475*44/12</f>
        <v>72.64403552759839</v>
      </c>
      <c r="DG53" s="21">
        <f>EXP(-LN(2)/25)*DG52+(1-EXP(-LN(2)/25))/(LN(2)/25)*Calculateur!DB53*Calculateur!DD53*VLOOKUP('Données projet'!$B$13,Paramètres!$A$1:$I$89,3,0)*0.475*44/12</f>
        <v>22.287521792675662</v>
      </c>
      <c r="DH53" s="21">
        <f>EXP(-LN(2)/2)*DH52+(1-EXP(-LN(2)/2))/(LN(2)/2)*DB53*DE53*VLOOKUP('Données projet'!$B$13,Paramètres!$A$1:$I$89,3,0)*0.475*44/12</f>
        <v>5.2117344417146576</v>
      </c>
      <c r="DI53" s="22">
        <f t="shared" si="15"/>
        <v>100.14329176198871</v>
      </c>
      <c r="DJ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16.471899999999994</v>
      </c>
      <c r="DO53" s="12">
        <f>IF('Données projet'!$A$166&gt;35,DO52+DN53-DW52,IF(A53&lt;'Données projet'!$A$166,$DL$205^A53,IF(A53='Données projet'!$A$166,'Données projet'!$B$166,DO52+DN53-DW52)))</f>
        <v>386.15556944444444</v>
      </c>
      <c r="DP53" s="17">
        <f>DO53*VLOOKUP('Données projet'!$B$14,Paramètres!$A$1:$I$89,3,0)*VLOOKUP('Données projet'!$B$14,Paramètres!$A$1:$I$89,5,0)</f>
        <v>253.0091291</v>
      </c>
      <c r="DQ53" s="13">
        <f t="shared" si="43"/>
        <v>61.229851178590188</v>
      </c>
      <c r="DR53" s="20">
        <f t="shared" si="16"/>
        <v>547.29955731854454</v>
      </c>
      <c r="DS53" s="57">
        <f t="shared" si="17"/>
        <v>802.42053884801464</v>
      </c>
      <c r="DT53" s="57">
        <f ca="1">AVERAGE(OFFSET($DS$3,0,0,'Données projet'!$E$14+1,1))-AVERAGE(OFFSET($H$3,0,0,'Données projet'!$E$14+1,1))</f>
        <v>315.23504986325418</v>
      </c>
      <c r="DU53" s="57">
        <f t="shared" si="44"/>
        <v>350.52837099886688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26.428585923123208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26.428585923123208</v>
      </c>
      <c r="EE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4.6000000000000014</v>
      </c>
      <c r="EJ53" s="12">
        <f>IF('Données projet'!$A$192&gt;35,EJ52+EI53-ER52,IF(A53&lt;'Données projet'!$A$192,$EG$205^A53,IF(A53='Données projet'!$A$192,'Données projet'!$B$192,EJ52+EI53-ER52)))</f>
        <v>82.800000000000011</v>
      </c>
      <c r="EK53" s="17">
        <f>EJ53*VLOOKUP('Données projet'!$B$15,Paramètres!$A$1:$I$89,3,0)*VLOOKUP('Données projet'!$B$15,Paramètres!$A$1:$I$89,5,0)</f>
        <v>80.084160000000011</v>
      </c>
      <c r="EL53" s="13">
        <f t="shared" si="45"/>
        <v>22.15776042678721</v>
      </c>
      <c r="EM53" s="20">
        <f t="shared" si="19"/>
        <v>178.07134474332108</v>
      </c>
      <c r="EN53" s="57">
        <f t="shared" si="20"/>
        <v>433.19232627279121</v>
      </c>
      <c r="EO53" s="57">
        <f ca="1">AVERAGE(OFFSET($EN$3,0,0,'Données projet'!$E$15+1,1))-AVERAGE(OFFSET($H$3,0,0,'Données projet'!$E$15+1,1))</f>
        <v>328.31200866623891</v>
      </c>
      <c r="EP53" s="57">
        <f t="shared" si="46"/>
        <v>195.52650232917446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>
        <f>FE53*VLOOKUP('Données projet'!$B$16,Paramètres!$A$1:$I$89,3,0)*VLOOKUP('Données projet'!$B$16,Paramètres!$A$1:$I$89,5,0)</f>
        <v>0</v>
      </c>
      <c r="FG53" s="13" t="e">
        <f t="shared" si="47"/>
        <v>#NUM!</v>
      </c>
      <c r="FH53" s="20" t="e">
        <f t="shared" si="22"/>
        <v>#NUM!</v>
      </c>
      <c r="FI53" s="57" t="e">
        <f t="shared" si="23"/>
        <v>#NUM!</v>
      </c>
      <c r="FJ53" s="57">
        <f ca="1">AVERAGE(OFFSET($FI$3,0,0,'Données projet'!$E$16+1,1))-AVERAGE(OFFSET($H$3,0,0,'Données projet'!$E$16+1,1))</f>
        <v>142.88219003619457</v>
      </c>
      <c r="FK53" s="57">
        <f t="shared" si="48"/>
        <v>288.69704547625088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33.038678036169401</v>
      </c>
      <c r="FR53" s="21">
        <f>EXP(-LN(2)/25)*FR52+(1-EXP(-LN(2)/25))/(LN(2)/25)*Calculateur!FM53*Calculateur!FO53*VLOOKUP('Données projet'!$B$16,Paramètres!$A$1:$I$89,3,0)*0.475*44/12</f>
        <v>7.1329295024109776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40.171607538580375</v>
      </c>
      <c r="FU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7" t="e">
        <f t="shared" si="26"/>
        <v>#N/A</v>
      </c>
      <c r="GE53" s="57" t="e">
        <f ca="1">AVERAGE(OFFSET($GD$3,0,0,'Données projet'!$E$17+1,1))-AVERAGE(OFFSET($H$3,0,0,'Données projet'!$E$17+1,1))</f>
        <v>#N/A</v>
      </c>
      <c r="GF53" s="57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7" t="e">
        <f t="shared" si="29"/>
        <v>#N/A</v>
      </c>
      <c r="GZ53" s="57" t="e">
        <f ca="1">AVERAGE(OFFSET($GY$3,0,0,'Données projet'!$E$18+1,1))-AVERAGE(OFFSET($H$3,0,0,'Données projet'!$E$18+1,1))</f>
        <v>#N/A</v>
      </c>
      <c r="HA53" s="57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1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5">
        <f t="shared" si="1"/>
        <v>183.33333333333334</v>
      </c>
      <c r="I54" s="6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192.90336000000002</v>
      </c>
      <c r="P54" s="13">
        <f t="shared" si="33"/>
        <v>48.181276881765257</v>
      </c>
      <c r="Q54" s="20">
        <f t="shared" si="53"/>
        <v>419.88907590240791</v>
      </c>
      <c r="R54" s="57">
        <f t="shared" si="0"/>
        <v>675.67295630565468</v>
      </c>
      <c r="S54" s="57">
        <f ca="1">AVERAGE(OFFSET($R$3,0,0,'Données projet'!$E$9+1,1))-AVERAGE(OFFSET($H$3,0,0,'Données projet'!$E$9+1,1))</f>
        <v>539.63700256763173</v>
      </c>
      <c r="T54" s="57">
        <f t="shared" si="34"/>
        <v>297.32483725004136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179.59968000000003</v>
      </c>
      <c r="AK54" s="13">
        <f t="shared" si="35"/>
        <v>45.233110804333748</v>
      </c>
      <c r="AL54" s="20">
        <f t="shared" si="4"/>
        <v>391.58377731754803</v>
      </c>
      <c r="AM54" s="57">
        <f t="shared" si="5"/>
        <v>647.3676577207948</v>
      </c>
      <c r="AN54" s="57">
        <f ca="1">AVERAGE(OFFSET($AM$3,0,0,'Données projet'!$E$10+1,1))-AVERAGE(OFFSET($H$3,0,0,'Données projet'!$E$10+1,1))</f>
        <v>508.21188526136734</v>
      </c>
      <c r="AO54" s="57">
        <f t="shared" si="36"/>
        <v>281.06176764290592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19.27888888888889</v>
      </c>
      <c r="BD54" s="12">
        <f>IF('Données projet'!$A$88&gt;35,BD53+BC54-BL53,IF(A54&lt;'Données projet'!$A$88,$BA$205^A54,IF(A54='Données projet'!$A$88,'Données projet'!$B$88,BD53+BC54-BL53)))</f>
        <v>446.48999999999967</v>
      </c>
      <c r="BE54" s="13">
        <f>BD54*VLOOKUP('Données projet'!$B$11,Paramètres!$A$1:$I$89,3,0)*VLOOKUP('Données projet'!$B$11,Paramètres!$A$1:$I$89,5,0)</f>
        <v>208.95731999999984</v>
      </c>
      <c r="BF54" s="13">
        <f t="shared" si="37"/>
        <v>51.707667920238613</v>
      </c>
      <c r="BG54" s="20">
        <f t="shared" si="7"/>
        <v>453.99152062774857</v>
      </c>
      <c r="BH54" s="57">
        <f t="shared" si="8"/>
        <v>709.77540103099545</v>
      </c>
      <c r="BI54" s="57">
        <f ca="1">AVERAGE(OFFSET($BH$3,0,0,'Données projet'!$E$11+1,1))-AVERAGE(OFFSET($H$3,0,0,'Données projet'!$E$11+1,1))</f>
        <v>449.50723280509311</v>
      </c>
      <c r="BJ54" s="57">
        <f t="shared" si="38"/>
        <v>281.26353650058275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31.906936960519261</v>
      </c>
      <c r="BQ54" s="21">
        <f>EXP(-LN(2)/25)*BQ53+(1-EXP(-LN(2)/25))/(LN(2)/25)*Calculateur!BL54*Calculateur!BN54*VLOOKUP('Données projet'!$B$11,Paramètres!$A$1:$I$89,3,0)*0.475*44/12</f>
        <v>9.7345071293194003</v>
      </c>
      <c r="BR54" s="21">
        <f>EXP(-LN(2)/2)*BR53+(1-EXP(-LN(2)/2))/(LN(2)/2)*BL54*BO54*VLOOKUP('Données projet'!$B$11,Paramètres!$A$1:$I$89,3,0)*0.475*44/12</f>
        <v>3.4848896225036303</v>
      </c>
      <c r="BS54" s="22">
        <f t="shared" si="9"/>
        <v>45.126333712342287</v>
      </c>
      <c r="BT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165</v>
      </c>
      <c r="BZ54" s="13">
        <f>BY54*VLOOKUP('Données projet'!$B$12,Paramètres!$A$1:$I$89,3,0)*VLOOKUP('Données projet'!$B$12,Paramètres!$A$1:$I$89,5,0)</f>
        <v>157.01399999999998</v>
      </c>
      <c r="CA54" s="13">
        <f t="shared" si="39"/>
        <v>40.168278112836184</v>
      </c>
      <c r="CB54" s="20">
        <f t="shared" si="10"/>
        <v>343.42580104652302</v>
      </c>
      <c r="CC54" s="57">
        <f t="shared" si="11"/>
        <v>599.20968144976985</v>
      </c>
      <c r="CD54" s="57">
        <f ca="1">AVERAGE(OFFSET($CC$3,0,0,'Données projet'!$E$12+1,1))-AVERAGE(OFFSET($H$3,0,0,'Données projet'!$E$12+1,1))</f>
        <v>479.4551766174892</v>
      </c>
      <c r="CE54" s="57">
        <f t="shared" si="40"/>
        <v>260.29028006191834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13.8</v>
      </c>
      <c r="CT54" s="12">
        <f>IF('Données projet'!$A$140&gt;35,CT53+CS54-DB53,IF(A54&lt;'Données projet'!$A$140,$CQ$205^A54,IF(A54='Données projet'!$A$140,'Données projet'!$B$140,CT53+CS54-DB53)))</f>
        <v>594.79999999999973</v>
      </c>
      <c r="CU54" s="17">
        <f>CT54*VLOOKUP('Données projet'!$B$13,Paramètres!$A$1:$I$89,3,0)*VLOOKUP('Données projet'!$B$13,Paramètres!$A$1:$I$89,5,0)</f>
        <v>332.49319999999983</v>
      </c>
      <c r="CV54" s="13">
        <f t="shared" si="41"/>
        <v>77.946984490524827</v>
      </c>
      <c r="CW54" s="20">
        <f t="shared" si="13"/>
        <v>714.84998798766367</v>
      </c>
      <c r="CX54" s="57">
        <f t="shared" si="14"/>
        <v>970.63386839091049</v>
      </c>
      <c r="CY54" s="57">
        <f ca="1">AVERAGE(OFFSET($CX$3,0,0,'Données projet'!$E$13+1,1))-AVERAGE(OFFSET($H$3,0,0,'Données projet'!$E$13+1,1))</f>
        <v>459.83870442974046</v>
      </c>
      <c r="CZ54" s="57">
        <f t="shared" si="42"/>
        <v>565.68976940602215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71.219530299388765</v>
      </c>
      <c r="DG54" s="21">
        <f>EXP(-LN(2)/25)*DG53+(1-EXP(-LN(2)/25))/(LN(2)/25)*Calculateur!DB54*Calculateur!DD54*VLOOKUP('Données projet'!$B$13,Paramètres!$A$1:$I$89,3,0)*0.475*44/12</f>
        <v>21.678068337205115</v>
      </c>
      <c r="DH54" s="21">
        <f>EXP(-LN(2)/2)*DH53+(1-EXP(-LN(2)/2))/(LN(2)/2)*DB54*DE54*VLOOKUP('Données projet'!$B$13,Paramètres!$A$1:$I$89,3,0)*0.475*44/12</f>
        <v>3.6852527654799201</v>
      </c>
      <c r="DI54" s="22">
        <f t="shared" si="15"/>
        <v>96.5828514020738</v>
      </c>
      <c r="DJ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16.471899999999994</v>
      </c>
      <c r="DO54" s="12">
        <f>IF('Données projet'!$A$166&gt;35,DO53+DN54-DW53,IF(A54&lt;'Données projet'!$A$166,$DL$205^A54,IF(A54='Données projet'!$A$166,'Données projet'!$B$166,DO53+DN54-DW53)))</f>
        <v>402.62746944444444</v>
      </c>
      <c r="DP54" s="17">
        <f>DO54*VLOOKUP('Données projet'!$B$14,Paramètres!$A$1:$I$89,3,0)*VLOOKUP('Données projet'!$B$14,Paramètres!$A$1:$I$89,5,0)</f>
        <v>263.80151797999997</v>
      </c>
      <c r="DQ54" s="13">
        <f t="shared" si="43"/>
        <v>63.532022135293076</v>
      </c>
      <c r="DR54" s="20">
        <f t="shared" si="16"/>
        <v>570.10591570080203</v>
      </c>
      <c r="DS54" s="57">
        <f t="shared" si="17"/>
        <v>825.88979610404886</v>
      </c>
      <c r="DT54" s="57">
        <f ca="1">AVERAGE(OFFSET($DS$3,0,0,'Données projet'!$E$14+1,1))-AVERAGE(OFFSET($H$3,0,0,'Données projet'!$E$14+1,1))</f>
        <v>315.23504986325418</v>
      </c>
      <c r="DU54" s="57">
        <f t="shared" si="44"/>
        <v>350.52837099886688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25.910337473016472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25.910337473016472</v>
      </c>
      <c r="EE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4.6000000000000014</v>
      </c>
      <c r="EJ54" s="12">
        <f>IF('Données projet'!$A$192&gt;35,EJ53+EI54-ER53,IF(A54&lt;'Données projet'!$A$192,$EG$205^A54,IF(A54='Données projet'!$A$192,'Données projet'!$B$192,EJ53+EI54-ER53)))</f>
        <v>87.4</v>
      </c>
      <c r="EK54" s="17">
        <f>EJ54*VLOOKUP('Données projet'!$B$15,Paramètres!$A$1:$I$89,3,0)*VLOOKUP('Données projet'!$B$15,Paramètres!$A$1:$I$89,5,0)</f>
        <v>84.533280000000005</v>
      </c>
      <c r="EL54" s="13">
        <f t="shared" si="45"/>
        <v>23.242014012893971</v>
      </c>
      <c r="EM54" s="20">
        <f t="shared" si="19"/>
        <v>187.70863707245701</v>
      </c>
      <c r="EN54" s="57">
        <f t="shared" si="20"/>
        <v>443.49251747570383</v>
      </c>
      <c r="EO54" s="57">
        <f ca="1">AVERAGE(OFFSET($EN$3,0,0,'Données projet'!$E$15+1,1))-AVERAGE(OFFSET($H$3,0,0,'Données projet'!$E$15+1,1))</f>
        <v>328.31200866623891</v>
      </c>
      <c r="EP54" s="57">
        <f t="shared" si="46"/>
        <v>195.52650232917446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>
        <f>FE54*VLOOKUP('Données projet'!$B$16,Paramètres!$A$1:$I$89,3,0)*VLOOKUP('Données projet'!$B$16,Paramètres!$A$1:$I$89,5,0)</f>
        <v>0</v>
      </c>
      <c r="FG54" s="13" t="e">
        <f t="shared" si="47"/>
        <v>#NUM!</v>
      </c>
      <c r="FH54" s="20" t="e">
        <f t="shared" si="22"/>
        <v>#NUM!</v>
      </c>
      <c r="FI54" s="57" t="e">
        <f t="shared" si="23"/>
        <v>#NUM!</v>
      </c>
      <c r="FJ54" s="57">
        <f ca="1">AVERAGE(OFFSET($FI$3,0,0,'Données projet'!$E$16+1,1))-AVERAGE(OFFSET($H$3,0,0,'Données projet'!$E$16+1,1))</f>
        <v>142.88219003619457</v>
      </c>
      <c r="FK54" s="57">
        <f t="shared" si="48"/>
        <v>288.69704547625088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32.390809711483918</v>
      </c>
      <c r="FR54" s="21">
        <f>EXP(-LN(2)/25)*FR53+(1-EXP(-LN(2)/25))/(LN(2)/25)*Calculateur!FM54*Calculateur!FO54*VLOOKUP('Données projet'!$B$16,Paramètres!$A$1:$I$89,3,0)*0.475*44/12</f>
        <v>6.9378791700630895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39.328688881547009</v>
      </c>
      <c r="FU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7" t="e">
        <f t="shared" si="26"/>
        <v>#N/A</v>
      </c>
      <c r="GE54" s="57" t="e">
        <f ca="1">AVERAGE(OFFSET($GD$3,0,0,'Données projet'!$E$17+1,1))-AVERAGE(OFFSET($H$3,0,0,'Données projet'!$E$17+1,1))</f>
        <v>#N/A</v>
      </c>
      <c r="GF54" s="57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7" t="e">
        <f t="shared" si="29"/>
        <v>#N/A</v>
      </c>
      <c r="GZ54" s="57" t="e">
        <f ca="1">AVERAGE(OFFSET($GY$3,0,0,'Données projet'!$E$18+1,1))-AVERAGE(OFFSET($H$3,0,0,'Données projet'!$E$18+1,1))</f>
        <v>#N/A</v>
      </c>
      <c r="HA54" s="57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1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5">
        <f t="shared" si="1"/>
        <v>183.33333333333334</v>
      </c>
      <c r="I55" s="6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202.13232000000002</v>
      </c>
      <c r="P55" s="13">
        <f t="shared" si="33"/>
        <v>50.212497488959627</v>
      </c>
      <c r="Q55" s="20">
        <f t="shared" si="53"/>
        <v>439.50055712660469</v>
      </c>
      <c r="R55" s="57">
        <f t="shared" si="0"/>
        <v>695.93583659018805</v>
      </c>
      <c r="S55" s="57">
        <f ca="1">AVERAGE(OFFSET($R$3,0,0,'Données projet'!$E$9+1,1))-AVERAGE(OFFSET($H$3,0,0,'Données projet'!$E$9+1,1))</f>
        <v>539.63700256763173</v>
      </c>
      <c r="T55" s="57">
        <f t="shared" si="34"/>
        <v>297.32483725004136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188.19216000000003</v>
      </c>
      <c r="AK55" s="13">
        <f t="shared" si="35"/>
        <v>47.140042972585213</v>
      </c>
      <c r="AL55" s="20">
        <f t="shared" si="4"/>
        <v>409.870253510586</v>
      </c>
      <c r="AM55" s="57">
        <f t="shared" si="5"/>
        <v>666.30553297416941</v>
      </c>
      <c r="AN55" s="57">
        <f ca="1">AVERAGE(OFFSET($AM$3,0,0,'Données projet'!$E$10+1,1))-AVERAGE(OFFSET($H$3,0,0,'Données projet'!$E$10+1,1))</f>
        <v>508.21188526136734</v>
      </c>
      <c r="AO55" s="57">
        <f t="shared" si="36"/>
        <v>281.06176764290592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19.27888888888889</v>
      </c>
      <c r="BD55" s="12">
        <f>IF('Données projet'!$A$88&gt;35,BD54+BC55-BL54,IF(A55&lt;'Données projet'!$A$88,$BA$205^A55,IF(A55='Données projet'!$A$88,'Données projet'!$B$88,BD54+BC55-BL54)))</f>
        <v>465.76888888888857</v>
      </c>
      <c r="BE55" s="13">
        <f>BD55*VLOOKUP('Données projet'!$B$11,Paramètres!$A$1:$I$89,3,0)*VLOOKUP('Données projet'!$B$11,Paramètres!$A$1:$I$89,5,0)</f>
        <v>217.97983999999985</v>
      </c>
      <c r="BF55" s="13">
        <f t="shared" si="37"/>
        <v>53.67557846949564</v>
      </c>
      <c r="BG55" s="20">
        <f t="shared" si="7"/>
        <v>473.13318716770459</v>
      </c>
      <c r="BH55" s="57">
        <f t="shared" si="8"/>
        <v>729.56846663128795</v>
      </c>
      <c r="BI55" s="57">
        <f ca="1">AVERAGE(OFFSET($BH$3,0,0,'Données projet'!$E$11+1,1))-AVERAGE(OFFSET($H$3,0,0,'Données projet'!$E$11+1,1))</f>
        <v>449.50723280509311</v>
      </c>
      <c r="BJ55" s="57">
        <f t="shared" si="38"/>
        <v>281.26353650058275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31.281261388033379</v>
      </c>
      <c r="BQ55" s="21">
        <f>EXP(-LN(2)/25)*BQ54+(1-EXP(-LN(2)/25))/(LN(2)/25)*Calculateur!BL55*Calculateur!BN55*VLOOKUP('Données projet'!$B$11,Paramètres!$A$1:$I$89,3,0)*0.475*44/12</f>
        <v>9.4683165199526798</v>
      </c>
      <c r="BR55" s="21">
        <f>EXP(-LN(2)/2)*BR54+(1-EXP(-LN(2)/2))/(LN(2)/2)*BL55*BO55*VLOOKUP('Données projet'!$B$11,Paramètres!$A$1:$I$89,3,0)*0.475*44/12</f>
        <v>2.4641890837589449</v>
      </c>
      <c r="BS55" s="22">
        <f t="shared" si="9"/>
        <v>43.213766991745004</v>
      </c>
      <c r="BT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173</v>
      </c>
      <c r="BZ55" s="13">
        <f>BY55*VLOOKUP('Données projet'!$B$12,Paramètres!$A$1:$I$89,3,0)*VLOOKUP('Données projet'!$B$12,Paramètres!$A$1:$I$89,5,0)</f>
        <v>164.6268</v>
      </c>
      <c r="CA55" s="13">
        <f t="shared" si="39"/>
        <v>41.884365321551833</v>
      </c>
      <c r="CB55" s="20">
        <f t="shared" si="10"/>
        <v>359.67361293503609</v>
      </c>
      <c r="CC55" s="57">
        <f t="shared" si="11"/>
        <v>616.10889239861945</v>
      </c>
      <c r="CD55" s="57">
        <f ca="1">AVERAGE(OFFSET($CC$3,0,0,'Données projet'!$E$12+1,1))-AVERAGE(OFFSET($H$3,0,0,'Données projet'!$E$12+1,1))</f>
        <v>479.4551766174892</v>
      </c>
      <c r="CE55" s="57">
        <f t="shared" si="40"/>
        <v>260.29028006191834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13.8</v>
      </c>
      <c r="CT55" s="12">
        <f>IF('Données projet'!$A$140&gt;35,CT54+CS55-DB54,IF(A55&lt;'Données projet'!$A$140,$CQ$205^A55,IF(A55='Données projet'!$A$140,'Données projet'!$B$140,CT54+CS55-DB54)))</f>
        <v>608.59999999999968</v>
      </c>
      <c r="CU55" s="17">
        <f>CT55*VLOOKUP('Données projet'!$B$13,Paramètres!$A$1:$I$89,3,0)*VLOOKUP('Données projet'!$B$13,Paramètres!$A$1:$I$89,5,0)</f>
        <v>340.20739999999984</v>
      </c>
      <c r="CV55" s="13">
        <f t="shared" si="41"/>
        <v>79.542795053996059</v>
      </c>
      <c r="CW55" s="20">
        <f t="shared" si="13"/>
        <v>731.06492305237623</v>
      </c>
      <c r="CX55" s="57">
        <f t="shared" si="14"/>
        <v>987.50020251595959</v>
      </c>
      <c r="CY55" s="57">
        <f ca="1">AVERAGE(OFFSET($CX$3,0,0,'Données projet'!$E$13+1,1))-AVERAGE(OFFSET($H$3,0,0,'Données projet'!$E$13+1,1))</f>
        <v>459.83870442974046</v>
      </c>
      <c r="CZ55" s="57">
        <f t="shared" si="42"/>
        <v>565.68976940602215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69.822958749841931</v>
      </c>
      <c r="DG55" s="21">
        <f>EXP(-LN(2)/25)*DG54+(1-EXP(-LN(2)/25))/(LN(2)/25)*Calculateur!DB55*Calculateur!DD55*VLOOKUP('Données projet'!$B$13,Paramètres!$A$1:$I$89,3,0)*0.475*44/12</f>
        <v>21.085280418524174</v>
      </c>
      <c r="DH55" s="21">
        <f>EXP(-LN(2)/2)*DH54+(1-EXP(-LN(2)/2))/(LN(2)/2)*DB55*DE55*VLOOKUP('Données projet'!$B$13,Paramètres!$A$1:$I$89,3,0)*0.475*44/12</f>
        <v>2.6058672208573292</v>
      </c>
      <c r="DI55" s="22">
        <f t="shared" si="15"/>
        <v>93.514106389223443</v>
      </c>
      <c r="DJ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16.471899999999994</v>
      </c>
      <c r="DO55" s="12">
        <f>IF('Données projet'!$A$166&gt;35,DO54+DN55-DW54,IF(A55&lt;'Données projet'!$A$166,$DL$205^A55,IF(A55='Données projet'!$A$166,'Données projet'!$B$166,DO54+DN55-DW54)))</f>
        <v>419.09936944444445</v>
      </c>
      <c r="DP55" s="17">
        <f>DO55*VLOOKUP('Données projet'!$B$14,Paramètres!$A$1:$I$89,3,0)*VLOOKUP('Données projet'!$B$14,Paramètres!$A$1:$I$89,5,0)</f>
        <v>274.59390686</v>
      </c>
      <c r="DQ55" s="13">
        <f t="shared" si="43"/>
        <v>65.823252894644824</v>
      </c>
      <c r="DR55" s="20">
        <f t="shared" si="16"/>
        <v>592.89321990600638</v>
      </c>
      <c r="DS55" s="57">
        <f t="shared" si="17"/>
        <v>849.32849936958974</v>
      </c>
      <c r="DT55" s="57">
        <f ca="1">AVERAGE(OFFSET($DS$3,0,0,'Données projet'!$E$14+1,1))-AVERAGE(OFFSET($H$3,0,0,'Données projet'!$E$14+1,1))</f>
        <v>315.23504986325418</v>
      </c>
      <c r="DU55" s="57">
        <f t="shared" si="44"/>
        <v>350.52837099886688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25.402251558915989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25.402251558915989</v>
      </c>
      <c r="EE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4.6000000000000014</v>
      </c>
      <c r="EJ55" s="12">
        <f>IF('Données projet'!$A$192&gt;35,EJ54+EI55-ER54,IF(A55&lt;'Données projet'!$A$192,$EG$205^A55,IF(A55='Données projet'!$A$192,'Données projet'!$B$192,EJ54+EI55-ER54)))</f>
        <v>92</v>
      </c>
      <c r="EK55" s="17">
        <f>EJ55*VLOOKUP('Données projet'!$B$15,Paramètres!$A$1:$I$89,3,0)*VLOOKUP('Données projet'!$B$15,Paramètres!$A$1:$I$89,5,0)</f>
        <v>88.982399999999998</v>
      </c>
      <c r="EL55" s="13">
        <f t="shared" si="45"/>
        <v>24.31964219550628</v>
      </c>
      <c r="EM55" s="20">
        <f t="shared" si="19"/>
        <v>197.3343901571734</v>
      </c>
      <c r="EN55" s="57">
        <f t="shared" si="20"/>
        <v>453.76966962075676</v>
      </c>
      <c r="EO55" s="57">
        <f ca="1">AVERAGE(OFFSET($EN$3,0,0,'Données projet'!$E$15+1,1))-AVERAGE(OFFSET($H$3,0,0,'Données projet'!$E$15+1,1))</f>
        <v>328.31200866623891</v>
      </c>
      <c r="EP55" s="57">
        <f t="shared" si="46"/>
        <v>195.52650232917446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>
        <f>FE55*VLOOKUP('Données projet'!$B$16,Paramètres!$A$1:$I$89,3,0)*VLOOKUP('Données projet'!$B$16,Paramètres!$A$1:$I$89,5,0)</f>
        <v>0</v>
      </c>
      <c r="FG55" s="13" t="e">
        <f t="shared" si="47"/>
        <v>#NUM!</v>
      </c>
      <c r="FH55" s="20" t="e">
        <f t="shared" si="22"/>
        <v>#NUM!</v>
      </c>
      <c r="FI55" s="57" t="e">
        <f t="shared" si="23"/>
        <v>#NUM!</v>
      </c>
      <c r="FJ55" s="57">
        <f ca="1">AVERAGE(OFFSET($FI$3,0,0,'Données projet'!$E$16+1,1))-AVERAGE(OFFSET($H$3,0,0,'Données projet'!$E$16+1,1))</f>
        <v>142.88219003619457</v>
      </c>
      <c r="FK55" s="57">
        <f t="shared" si="48"/>
        <v>288.69704547625088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31.755645689484854</v>
      </c>
      <c r="FR55" s="21">
        <f>EXP(-LN(2)/25)*FR54+(1-EXP(-LN(2)/25))/(LN(2)/25)*Calculateur!FM55*Calculateur!FO55*VLOOKUP('Données projet'!$B$16,Paramètres!$A$1:$I$89,3,0)*0.475*44/12</f>
        <v>6.7481624993105056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38.503808188795361</v>
      </c>
      <c r="FU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7" t="e">
        <f t="shared" si="26"/>
        <v>#N/A</v>
      </c>
      <c r="GE55" s="57" t="e">
        <f ca="1">AVERAGE(OFFSET($GD$3,0,0,'Données projet'!$E$17+1,1))-AVERAGE(OFFSET($H$3,0,0,'Données projet'!$E$17+1,1))</f>
        <v>#N/A</v>
      </c>
      <c r="GF55" s="57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7" t="e">
        <f t="shared" si="29"/>
        <v>#N/A</v>
      </c>
      <c r="GZ55" s="57" t="e">
        <f ca="1">AVERAGE(OFFSET($GY$3,0,0,'Données projet'!$E$18+1,1))-AVERAGE(OFFSET($H$3,0,0,'Données projet'!$E$18+1,1))</f>
        <v>#N/A</v>
      </c>
      <c r="HA55" s="57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1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5">
        <f t="shared" si="1"/>
        <v>183.33333333333334</v>
      </c>
      <c r="I56" s="6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211.36127999999999</v>
      </c>
      <c r="P56" s="13">
        <f t="shared" si="33"/>
        <v>52.232947669705631</v>
      </c>
      <c r="Q56" s="20">
        <f t="shared" si="53"/>
        <v>459.09327985807062</v>
      </c>
      <c r="R56" s="57">
        <f t="shared" si="0"/>
        <v>716.16865806460385</v>
      </c>
      <c r="S56" s="57">
        <f ca="1">AVERAGE(OFFSET($R$3,0,0,'Données projet'!$E$9+1,1))-AVERAGE(OFFSET($H$3,0,0,'Données projet'!$E$9+1,1))</f>
        <v>539.63700256763173</v>
      </c>
      <c r="T56" s="57">
        <f t="shared" si="34"/>
        <v>297.32483725004136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196.78464000000002</v>
      </c>
      <c r="AK56" s="13">
        <f t="shared" si="35"/>
        <v>49.036863746442876</v>
      </c>
      <c r="AL56" s="20">
        <f t="shared" si="4"/>
        <v>428.1391190250547</v>
      </c>
      <c r="AM56" s="57">
        <f t="shared" si="5"/>
        <v>685.21449723158798</v>
      </c>
      <c r="AN56" s="57">
        <f ca="1">AVERAGE(OFFSET($AM$3,0,0,'Données projet'!$E$10+1,1))-AVERAGE(OFFSET($H$3,0,0,'Données projet'!$E$10+1,1))</f>
        <v>508.21188526136734</v>
      </c>
      <c r="AO56" s="57">
        <f t="shared" si="36"/>
        <v>281.06176764290592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19.27888888888889</v>
      </c>
      <c r="BD56" s="12">
        <f>IF('Données projet'!$A$88&gt;35,BD55+BC56-BL55,IF(A56&lt;'Données projet'!$A$88,$BA$205^A56,IF(A56='Données projet'!$A$88,'Données projet'!$B$88,BD55+BC56-BL55)))</f>
        <v>485.04777777777747</v>
      </c>
      <c r="BE56" s="13">
        <f>BD56*VLOOKUP('Données projet'!$B$11,Paramètres!$A$1:$I$89,3,0)*VLOOKUP('Données projet'!$B$11,Paramètres!$A$1:$I$89,5,0)</f>
        <v>227.00235999999987</v>
      </c>
      <c r="BF56" s="13">
        <f t="shared" si="37"/>
        <v>55.634027626373467</v>
      </c>
      <c r="BG56" s="20">
        <f t="shared" si="7"/>
        <v>492.25837511593357</v>
      </c>
      <c r="BH56" s="57">
        <f t="shared" si="8"/>
        <v>749.33375332246681</v>
      </c>
      <c r="BI56" s="57">
        <f ca="1">AVERAGE(OFFSET($BH$3,0,0,'Données projet'!$E$11+1,1))-AVERAGE(OFFSET($H$3,0,0,'Données projet'!$E$11+1,1))</f>
        <v>449.50723280509311</v>
      </c>
      <c r="BJ56" s="57">
        <f t="shared" si="38"/>
        <v>281.26353650058275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30.667854931899527</v>
      </c>
      <c r="BQ56" s="21">
        <f>EXP(-LN(2)/25)*BQ55+(1-EXP(-LN(2)/25))/(LN(2)/25)*Calculateur!BL56*Calculateur!BN56*VLOOKUP('Données projet'!$B$11,Paramètres!$A$1:$I$89,3,0)*0.475*44/12</f>
        <v>9.2094049067974488</v>
      </c>
      <c r="BR56" s="21">
        <f>EXP(-LN(2)/2)*BR55+(1-EXP(-LN(2)/2))/(LN(2)/2)*BL56*BO56*VLOOKUP('Données projet'!$B$11,Paramètres!$A$1:$I$89,3,0)*0.475*44/12</f>
        <v>1.7424448112518154</v>
      </c>
      <c r="BS56" s="22">
        <f t="shared" si="9"/>
        <v>41.619704649948787</v>
      </c>
      <c r="BT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181</v>
      </c>
      <c r="BZ56" s="13">
        <f>BY56*VLOOKUP('Données projet'!$B$12,Paramètres!$A$1:$I$89,3,0)*VLOOKUP('Données projet'!$B$12,Paramètres!$A$1:$I$89,5,0)</f>
        <v>172.2396</v>
      </c>
      <c r="CA56" s="13">
        <f t="shared" si="39"/>
        <v>43.591236765546341</v>
      </c>
      <c r="CB56" s="20">
        <f t="shared" si="10"/>
        <v>375.9053740333265</v>
      </c>
      <c r="CC56" s="57">
        <f t="shared" si="11"/>
        <v>632.98075223985973</v>
      </c>
      <c r="CD56" s="57">
        <f ca="1">AVERAGE(OFFSET($CC$3,0,0,'Données projet'!$E$12+1,1))-AVERAGE(OFFSET($H$3,0,0,'Données projet'!$E$12+1,1))</f>
        <v>479.4551766174892</v>
      </c>
      <c r="CE56" s="57">
        <f t="shared" si="40"/>
        <v>260.29028006191834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13.8</v>
      </c>
      <c r="CT56" s="12">
        <f>IF('Données projet'!$A$140&gt;35,CT55+CS56-DB55,IF(A56&lt;'Données projet'!$A$140,$CQ$205^A56,IF(A56='Données projet'!$A$140,'Données projet'!$B$140,CT55+CS56-DB55)))</f>
        <v>622.39999999999964</v>
      </c>
      <c r="CU56" s="17">
        <f>CT56*VLOOKUP('Données projet'!$B$13,Paramètres!$A$1:$I$89,3,0)*VLOOKUP('Données projet'!$B$13,Paramètres!$A$1:$I$89,5,0)</f>
        <v>347.92159999999978</v>
      </c>
      <c r="CV56" s="13">
        <f t="shared" si="41"/>
        <v>81.134398856989449</v>
      </c>
      <c r="CW56" s="20">
        <f t="shared" si="13"/>
        <v>747.27253134258956</v>
      </c>
      <c r="CX56" s="57">
        <f t="shared" si="14"/>
        <v>1004.3479095491227</v>
      </c>
      <c r="CY56" s="57">
        <f ca="1">AVERAGE(OFFSET($CX$3,0,0,'Données projet'!$E$13+1,1))-AVERAGE(OFFSET($H$3,0,0,'Données projet'!$E$13+1,1))</f>
        <v>459.83870442974046</v>
      </c>
      <c r="CZ56" s="57">
        <f t="shared" si="42"/>
        <v>565.68976940602215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68.453773116557173</v>
      </c>
      <c r="DG56" s="21">
        <f>EXP(-LN(2)/25)*DG55+(1-EXP(-LN(2)/25))/(LN(2)/25)*Calculateur!DB56*Calculateur!DD56*VLOOKUP('Données projet'!$B$13,Paramètres!$A$1:$I$89,3,0)*0.475*44/12</f>
        <v>20.508702316652926</v>
      </c>
      <c r="DH56" s="21">
        <f>EXP(-LN(2)/2)*DH55+(1-EXP(-LN(2)/2))/(LN(2)/2)*DB56*DE56*VLOOKUP('Données projet'!$B$13,Paramètres!$A$1:$I$89,3,0)*0.475*44/12</f>
        <v>1.8426263827399603</v>
      </c>
      <c r="DI56" s="22">
        <f t="shared" si="15"/>
        <v>90.805101815950067</v>
      </c>
      <c r="DJ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16.471899999999994</v>
      </c>
      <c r="DO56" s="12">
        <f>IF('Données projet'!$A$166&gt;35,DO55+DN56-DW55,IF(A56&lt;'Données projet'!$A$166,$DL$205^A56,IF(A56='Données projet'!$A$166,'Données projet'!$B$166,DO55+DN56-DW55)))</f>
        <v>435.57126944444445</v>
      </c>
      <c r="DP56" s="17">
        <f>DO56*VLOOKUP('Données projet'!$B$14,Paramètres!$A$1:$I$89,3,0)*VLOOKUP('Données projet'!$B$14,Paramètres!$A$1:$I$89,5,0)</f>
        <v>285.38629573999998</v>
      </c>
      <c r="DQ56" s="13">
        <f t="shared" si="43"/>
        <v>68.104022645232504</v>
      </c>
      <c r="DR56" s="20">
        <f t="shared" si="16"/>
        <v>615.66230452094658</v>
      </c>
      <c r="DS56" s="57">
        <f t="shared" si="17"/>
        <v>872.73768272747975</v>
      </c>
      <c r="DT56" s="57">
        <f ca="1">AVERAGE(OFFSET($DS$3,0,0,'Données projet'!$E$14+1,1))-AVERAGE(OFFSET($H$3,0,0,'Données projet'!$E$14+1,1))</f>
        <v>315.23504986325418</v>
      </c>
      <c r="DU56" s="57">
        <f t="shared" si="44"/>
        <v>350.52837099886688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24.904128899689209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24.904128899689209</v>
      </c>
      <c r="EE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4.6000000000000014</v>
      </c>
      <c r="EJ56" s="12">
        <f>IF('Données projet'!$A$192&gt;35,EJ55+EI56-ER55,IF(A56&lt;'Données projet'!$A$192,$EG$205^A56,IF(A56='Données projet'!$A$192,'Données projet'!$B$192,EJ55+EI56-ER55)))</f>
        <v>96.6</v>
      </c>
      <c r="EK56" s="17">
        <f>EJ56*VLOOKUP('Données projet'!$B$15,Paramètres!$A$1:$I$89,3,0)*VLOOKUP('Données projet'!$B$15,Paramètres!$A$1:$I$89,5,0)</f>
        <v>93.431519999999992</v>
      </c>
      <c r="EL56" s="13">
        <f t="shared" si="45"/>
        <v>25.391014045496377</v>
      </c>
      <c r="EM56" s="20">
        <f t="shared" si="19"/>
        <v>206.94924679590613</v>
      </c>
      <c r="EN56" s="57">
        <f t="shared" si="20"/>
        <v>464.02462500243939</v>
      </c>
      <c r="EO56" s="57">
        <f ca="1">AVERAGE(OFFSET($EN$3,0,0,'Données projet'!$E$15+1,1))-AVERAGE(OFFSET($H$3,0,0,'Données projet'!$E$15+1,1))</f>
        <v>328.31200866623891</v>
      </c>
      <c r="EP56" s="57">
        <f t="shared" si="46"/>
        <v>195.52650232917446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>
        <f>FE56*VLOOKUP('Données projet'!$B$16,Paramètres!$A$1:$I$89,3,0)*VLOOKUP('Données projet'!$B$16,Paramètres!$A$1:$I$89,5,0)</f>
        <v>0</v>
      </c>
      <c r="FG56" s="13" t="e">
        <f t="shared" si="47"/>
        <v>#NUM!</v>
      </c>
      <c r="FH56" s="20" t="e">
        <f t="shared" si="22"/>
        <v>#NUM!</v>
      </c>
      <c r="FI56" s="57" t="e">
        <f t="shared" si="23"/>
        <v>#NUM!</v>
      </c>
      <c r="FJ56" s="57">
        <f ca="1">AVERAGE(OFFSET($FI$3,0,0,'Données projet'!$E$16+1,1))-AVERAGE(OFFSET($H$3,0,0,'Données projet'!$E$16+1,1))</f>
        <v>142.88219003619457</v>
      </c>
      <c r="FK56" s="57">
        <f t="shared" si="48"/>
        <v>288.69704547625088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31.132936846545395</v>
      </c>
      <c r="FR56" s="21">
        <f>EXP(-LN(2)/25)*FR55+(1-EXP(-LN(2)/25))/(LN(2)/25)*Calculateur!FM56*Calculateur!FO56*VLOOKUP('Données projet'!$B$16,Paramètres!$A$1:$I$89,3,0)*0.475*44/12</f>
        <v>6.5636336408964171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37.696570487441811</v>
      </c>
      <c r="FU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7" t="e">
        <f t="shared" si="26"/>
        <v>#N/A</v>
      </c>
      <c r="GE56" s="57" t="e">
        <f ca="1">AVERAGE(OFFSET($GD$3,0,0,'Données projet'!$E$17+1,1))-AVERAGE(OFFSET($H$3,0,0,'Données projet'!$E$17+1,1))</f>
        <v>#N/A</v>
      </c>
      <c r="GF56" s="57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7" t="e">
        <f t="shared" si="29"/>
        <v>#N/A</v>
      </c>
      <c r="GZ56" s="57" t="e">
        <f ca="1">AVERAGE(OFFSET($GY$3,0,0,'Données projet'!$E$18+1,1))-AVERAGE(OFFSET($H$3,0,0,'Données projet'!$E$18+1,1))</f>
        <v>#N/A</v>
      </c>
      <c r="HA56" s="57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1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5">
        <f t="shared" si="1"/>
        <v>183.33333333333334</v>
      </c>
      <c r="I57" s="6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7">
        <f t="shared" si="0"/>
        <v>736.37252945510068</v>
      </c>
      <c r="S57" s="57">
        <f ca="1">AVERAGE(OFFSET($R$3,0,0,'Données projet'!$E$9+1,1))-AVERAGE(OFFSET($H$3,0,0,'Données projet'!$E$9+1,1))</f>
        <v>539.63700256763173</v>
      </c>
      <c r="T57" s="57">
        <f t="shared" si="34"/>
        <v>297.32483725004136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205.37711999999999</v>
      </c>
      <c r="AK57" s="13">
        <f t="shared" si="35"/>
        <v>50.924065093909938</v>
      </c>
      <c r="AL57" s="20">
        <f t="shared" si="4"/>
        <v>446.39123070522641</v>
      </c>
      <c r="AM57" s="57">
        <f t="shared" si="5"/>
        <v>704.09560337256573</v>
      </c>
      <c r="AN57" s="57">
        <f ca="1">AVERAGE(OFFSET($AM$3,0,0,'Données projet'!$E$10+1,1))-AVERAGE(OFFSET($H$3,0,0,'Données projet'!$E$10+1,1))</f>
        <v>508.21188526136734</v>
      </c>
      <c r="AO57" s="57">
        <f t="shared" si="36"/>
        <v>281.06176764290592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19.27888888888889</v>
      </c>
      <c r="BD57" s="12">
        <f>IF('Données projet'!$A$88&gt;35,BD56+BC57-BL56,IF(A57&lt;'Données projet'!$A$88,$BA$205^A57,IF(A57='Données projet'!$A$88,'Données projet'!$B$88,BD56+BC57-BL56)))</f>
        <v>504.32666666666637</v>
      </c>
      <c r="BE57" s="13">
        <f>BD57*VLOOKUP('Données projet'!$B$11,Paramètres!$A$1:$I$89,3,0)*VLOOKUP('Données projet'!$B$11,Paramètres!$A$1:$I$89,5,0)</f>
        <v>236.02487999999988</v>
      </c>
      <c r="BF57" s="13">
        <f t="shared" si="37"/>
        <v>57.583434474968207</v>
      </c>
      <c r="BG57" s="20">
        <f t="shared" si="7"/>
        <v>511.36781437723607</v>
      </c>
      <c r="BH57" s="57">
        <f t="shared" si="8"/>
        <v>769.07218704457546</v>
      </c>
      <c r="BI57" s="57">
        <f ca="1">AVERAGE(OFFSET($BH$3,0,0,'Données projet'!$E$11+1,1))-AVERAGE(OFFSET($H$3,0,0,'Données projet'!$E$11+1,1))</f>
        <v>449.50723280509311</v>
      </c>
      <c r="BJ57" s="57">
        <f t="shared" si="38"/>
        <v>281.26353650058275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30.066477002229465</v>
      </c>
      <c r="BQ57" s="21">
        <f>EXP(-LN(2)/25)*BQ56+(1-EXP(-LN(2)/25))/(LN(2)/25)*Calculateur!BL57*Calculateur!BN57*VLOOKUP('Données projet'!$B$11,Paramètres!$A$1:$I$89,3,0)*0.475*44/12</f>
        <v>8.9575732453195176</v>
      </c>
      <c r="BR57" s="21">
        <f>EXP(-LN(2)/2)*BR56+(1-EXP(-LN(2)/2))/(LN(2)/2)*BL57*BO57*VLOOKUP('Données projet'!$B$11,Paramètres!$A$1:$I$89,3,0)*0.475*44/12</f>
        <v>1.2320945418794726</v>
      </c>
      <c r="BS57" s="22">
        <f t="shared" si="9"/>
        <v>40.256144789428454</v>
      </c>
      <c r="BT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189</v>
      </c>
      <c r="BZ57" s="13">
        <f>BY57*VLOOKUP('Données projet'!$B$12,Paramètres!$A$1:$I$89,3,0)*VLOOKUP('Données projet'!$B$12,Paramètres!$A$1:$I$89,5,0)</f>
        <v>179.85239999999999</v>
      </c>
      <c r="CA57" s="13">
        <f t="shared" si="39"/>
        <v>45.289346318280131</v>
      </c>
      <c r="CB57" s="20">
        <f t="shared" si="10"/>
        <v>392.12187483767121</v>
      </c>
      <c r="CC57" s="57">
        <f t="shared" si="11"/>
        <v>649.82624750501054</v>
      </c>
      <c r="CD57" s="57">
        <f ca="1">AVERAGE(OFFSET($CC$3,0,0,'Données projet'!$E$12+1,1))-AVERAGE(OFFSET($H$3,0,0,'Données projet'!$E$12+1,1))</f>
        <v>479.4551766174892</v>
      </c>
      <c r="CE57" s="57">
        <f t="shared" si="40"/>
        <v>260.29028006191834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13.8</v>
      </c>
      <c r="CT57" s="12">
        <f>IF('Données projet'!$A$140&gt;35,CT56+CS57-DB56,IF(A57&lt;'Données projet'!$A$140,$CQ$205^A57,IF(A57='Données projet'!$A$140,'Données projet'!$B$140,CT56+CS57-DB56)))</f>
        <v>636.19999999999959</v>
      </c>
      <c r="CU57" s="17">
        <f>CT57*VLOOKUP('Données projet'!$B$13,Paramètres!$A$1:$I$89,3,0)*VLOOKUP('Données projet'!$B$13,Paramètres!$A$1:$I$89,5,0)</f>
        <v>355.63579999999973</v>
      </c>
      <c r="CV57" s="13">
        <f t="shared" si="41"/>
        <v>82.721899912765039</v>
      </c>
      <c r="CW57" s="20">
        <f t="shared" si="13"/>
        <v>763.47299401473185</v>
      </c>
      <c r="CX57" s="57">
        <f t="shared" si="14"/>
        <v>1021.1773666820711</v>
      </c>
      <c r="CY57" s="57">
        <f ca="1">AVERAGE(OFFSET($CX$3,0,0,'Données projet'!$E$13+1,1))-AVERAGE(OFFSET($H$3,0,0,'Données projet'!$E$13+1,1))</f>
        <v>459.83870442974046</v>
      </c>
      <c r="CZ57" s="57">
        <f t="shared" si="42"/>
        <v>565.68976940602215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67.11143637842035</v>
      </c>
      <c r="DG57" s="21">
        <f>EXP(-LN(2)/25)*DG56+(1-EXP(-LN(2)/25))/(LN(2)/25)*Calculateur!DB57*Calculateur!DD57*VLOOKUP('Données projet'!$B$13,Paramètres!$A$1:$I$89,3,0)*0.475*44/12</f>
        <v>19.947890773298269</v>
      </c>
      <c r="DH57" s="21">
        <f>EXP(-LN(2)/2)*DH56+(1-EXP(-LN(2)/2))/(LN(2)/2)*DB57*DE57*VLOOKUP('Données projet'!$B$13,Paramètres!$A$1:$I$89,3,0)*0.475*44/12</f>
        <v>1.3029336104286648</v>
      </c>
      <c r="DI57" s="22">
        <f t="shared" si="15"/>
        <v>88.362260762147287</v>
      </c>
      <c r="DJ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16.471899999999994</v>
      </c>
      <c r="DO57" s="12">
        <f>IF('Données projet'!$A$166&gt;35,DO56+DN57-DW56,IF(A57&lt;'Données projet'!$A$166,$DL$205^A57,IF(A57='Données projet'!$A$166,'Données projet'!$B$166,DO56+DN57-DW56)))</f>
        <v>452.04316944444446</v>
      </c>
      <c r="DP57" s="17">
        <f>DO57*VLOOKUP('Données projet'!$B$14,Paramètres!$A$1:$I$89,3,0)*VLOOKUP('Données projet'!$B$14,Paramètres!$A$1:$I$89,5,0)</f>
        <v>296.17868462000001</v>
      </c>
      <c r="DQ57" s="13">
        <f t="shared" si="43"/>
        <v>70.37477227998238</v>
      </c>
      <c r="DR57" s="20">
        <f t="shared" si="16"/>
        <v>638.41393743413596</v>
      </c>
      <c r="DS57" s="57">
        <f t="shared" si="17"/>
        <v>896.11831010147534</v>
      </c>
      <c r="DT57" s="57">
        <f ca="1">AVERAGE(OFFSET($DS$3,0,0,'Données projet'!$E$14+1,1))-AVERAGE(OFFSET($H$3,0,0,'Données projet'!$E$14+1,1))</f>
        <v>315.23504986325418</v>
      </c>
      <c r="DU57" s="57">
        <f t="shared" si="44"/>
        <v>350.52837099886688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24.415774121985041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24.415774121985041</v>
      </c>
      <c r="EE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4.6000000000000014</v>
      </c>
      <c r="EJ57" s="12">
        <f>IF('Données projet'!$A$192&gt;35,EJ56+EI57-ER56,IF(A57&lt;'Données projet'!$A$192,$EG$205^A57,IF(A57='Données projet'!$A$192,'Données projet'!$B$192,EJ56+EI57-ER56)))</f>
        <v>101.19999999999999</v>
      </c>
      <c r="EK57" s="17">
        <f>EJ57*VLOOKUP('Données projet'!$B$15,Paramètres!$A$1:$I$89,3,0)*VLOOKUP('Données projet'!$B$15,Paramètres!$A$1:$I$89,5,0)</f>
        <v>97.880639999999985</v>
      </c>
      <c r="EL57" s="13">
        <f t="shared" si="45"/>
        <v>26.456461497978939</v>
      </c>
      <c r="EM57" s="20">
        <f t="shared" si="19"/>
        <v>216.55378510897995</v>
      </c>
      <c r="EN57" s="57">
        <f t="shared" si="20"/>
        <v>474.25815777631931</v>
      </c>
      <c r="EO57" s="57">
        <f ca="1">AVERAGE(OFFSET($EN$3,0,0,'Données projet'!$E$15+1,1))-AVERAGE(OFFSET($H$3,0,0,'Données projet'!$E$15+1,1))</f>
        <v>328.31200866623891</v>
      </c>
      <c r="EP57" s="57">
        <f t="shared" si="46"/>
        <v>195.52650232917446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>
        <f>FE57*VLOOKUP('Données projet'!$B$16,Paramètres!$A$1:$I$89,3,0)*VLOOKUP('Données projet'!$B$16,Paramètres!$A$1:$I$89,5,0)</f>
        <v>0</v>
      </c>
      <c r="FG57" s="13" t="e">
        <f t="shared" si="47"/>
        <v>#NUM!</v>
      </c>
      <c r="FH57" s="20" t="e">
        <f t="shared" si="22"/>
        <v>#NUM!</v>
      </c>
      <c r="FI57" s="57" t="e">
        <f t="shared" si="23"/>
        <v>#NUM!</v>
      </c>
      <c r="FJ57" s="57">
        <f ca="1">AVERAGE(OFFSET($FI$3,0,0,'Données projet'!$E$16+1,1))-AVERAGE(OFFSET($H$3,0,0,'Données projet'!$E$16+1,1))</f>
        <v>142.88219003619457</v>
      </c>
      <c r="FK57" s="57">
        <f t="shared" si="48"/>
        <v>288.69704547625088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30.522438944201088</v>
      </c>
      <c r="FR57" s="21">
        <f>EXP(-LN(2)/25)*FR56+(1-EXP(-LN(2)/25))/(LN(2)/25)*Calculateur!FM57*Calculateur!FO57*VLOOKUP('Données projet'!$B$16,Paramètres!$A$1:$I$89,3,0)*0.475*44/12</f>
        <v>6.3841507338196131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36.906589678020701</v>
      </c>
      <c r="FU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7" t="e">
        <f t="shared" si="26"/>
        <v>#N/A</v>
      </c>
      <c r="GE57" s="57" t="e">
        <f ca="1">AVERAGE(OFFSET($GD$3,0,0,'Données projet'!$E$17+1,1))-AVERAGE(OFFSET($H$3,0,0,'Données projet'!$E$17+1,1))</f>
        <v>#N/A</v>
      </c>
      <c r="GF57" s="57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7" t="e">
        <f t="shared" si="29"/>
        <v>#N/A</v>
      </c>
      <c r="GZ57" s="57" t="e">
        <f ca="1">AVERAGE(OFFSET($GY$3,0,0,'Données projet'!$E$18+1,1))-AVERAGE(OFFSET($H$3,0,0,'Données projet'!$E$18+1,1))</f>
        <v>#N/A</v>
      </c>
      <c r="HA57" s="57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1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5">
        <f t="shared" si="1"/>
        <v>183.33333333333334</v>
      </c>
      <c r="I58" s="6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7">
        <f t="shared" si="0"/>
        <v>756.54847539707771</v>
      </c>
      <c r="S58" s="57">
        <f ca="1">AVERAGE(OFFSET($R$3,0,0,'Données projet'!$E$9+1,1))-AVERAGE(OFFSET($H$3,0,0,'Données projet'!$E$9+1,1))</f>
        <v>539.63700256763173</v>
      </c>
      <c r="T58" s="57">
        <f t="shared" si="34"/>
        <v>297.32483725004136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213.96960000000001</v>
      </c>
      <c r="AK58" s="13">
        <f t="shared" si="35"/>
        <v>52.802095488627479</v>
      </c>
      <c r="AL58" s="20">
        <f t="shared" si="4"/>
        <v>464.62736964269283</v>
      </c>
      <c r="AM58" s="57">
        <f t="shared" si="5"/>
        <v>722.94982512316415</v>
      </c>
      <c r="AN58" s="57">
        <f ca="1">AVERAGE(OFFSET($AM$3,0,0,'Données projet'!$E$10+1,1))-AVERAGE(OFFSET($H$3,0,0,'Données projet'!$E$10+1,1))</f>
        <v>508.21188526136734</v>
      </c>
      <c r="AO58" s="57">
        <f t="shared" si="36"/>
        <v>281.06176764290592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19.27888888888889</v>
      </c>
      <c r="BD58" s="12">
        <f>IF('Données projet'!$A$88&gt;35,BD57+BC58-BL57,IF(A58&lt;'Données projet'!$A$88,$BA$205^A58,IF(A58='Données projet'!$A$88,'Données projet'!$B$88,BD57+BC58-BL57)))</f>
        <v>523.60555555555527</v>
      </c>
      <c r="BE58" s="13">
        <f>BD58*VLOOKUP('Données projet'!$B$11,Paramètres!$A$1:$I$89,3,0)*VLOOKUP('Données projet'!$B$11,Paramètres!$A$1:$I$89,5,0)</f>
        <v>245.04739999999984</v>
      </c>
      <c r="BF58" s="13">
        <f t="shared" si="37"/>
        <v>59.524184244084026</v>
      </c>
      <c r="BG58" s="20">
        <f t="shared" si="7"/>
        <v>530.46217589177934</v>
      </c>
      <c r="BH58" s="57">
        <f t="shared" si="8"/>
        <v>788.78463137225071</v>
      </c>
      <c r="BI58" s="57">
        <f ca="1">AVERAGE(OFFSET($BH$3,0,0,'Données projet'!$E$11+1,1))-AVERAGE(OFFSET($H$3,0,0,'Données projet'!$E$11+1,1))</f>
        <v>449.50723280509311</v>
      </c>
      <c r="BJ58" s="57">
        <f t="shared" si="38"/>
        <v>281.26353650058275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29.476891726955916</v>
      </c>
      <c r="BQ58" s="21">
        <f>EXP(-LN(2)/25)*BQ57+(1-EXP(-LN(2)/25))/(LN(2)/25)*Calculateur!BL58*Calculateur!BN58*VLOOKUP('Données projet'!$B$11,Paramètres!$A$1:$I$89,3,0)*0.475*44/12</f>
        <v>8.7126279338679513</v>
      </c>
      <c r="BR58" s="21">
        <f>EXP(-LN(2)/2)*BR57+(1-EXP(-LN(2)/2))/(LN(2)/2)*BL58*BO58*VLOOKUP('Données projet'!$B$11,Paramètres!$A$1:$I$89,3,0)*0.475*44/12</f>
        <v>0.8712224056259078</v>
      </c>
      <c r="BS58" s="22">
        <f t="shared" si="9"/>
        <v>39.060742066449777</v>
      </c>
      <c r="BT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197</v>
      </c>
      <c r="BW58" s="12">
        <f>VLOOKUP(A58,'Données projet'!$A$113:$I$133,9,0)</f>
        <v>8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197</v>
      </c>
      <c r="BZ58" s="13">
        <f>BY58*VLOOKUP('Données projet'!$B$12,Paramètres!$A$1:$I$89,3,0)*VLOOKUP('Données projet'!$B$12,Paramètres!$A$1:$I$89,5,0)</f>
        <v>187.46520000000001</v>
      </c>
      <c r="CA58" s="13">
        <f t="shared" si="39"/>
        <v>46.979107256618605</v>
      </c>
      <c r="CB58" s="20">
        <f t="shared" si="10"/>
        <v>408.32383513861078</v>
      </c>
      <c r="CC58" s="57">
        <f t="shared" si="11"/>
        <v>666.64629061908215</v>
      </c>
      <c r="CD58" s="57">
        <f ca="1">AVERAGE(OFFSET($CC$3,0,0,'Données projet'!$E$12+1,1))-AVERAGE(OFFSET($H$3,0,0,'Données projet'!$E$12+1,1))</f>
        <v>479.4551766174892</v>
      </c>
      <c r="CE58" s="57">
        <f t="shared" si="40"/>
        <v>260.29028006191834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21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650</v>
      </c>
      <c r="CR58" s="12">
        <f>VLOOKUP(A58,'Données projet'!$A$139:$I$159,9,0)</f>
        <v>13.8</v>
      </c>
      <c r="CS58" s="12">
        <f t="array" ref="CS58">INDEX(CR:CR,MIN(IF(ISNUMBER(CR58:CR254),ROW(CR58:CR254),"")))</f>
        <v>13.8</v>
      </c>
      <c r="CT58" s="12">
        <f>IF('Données projet'!$A$140&gt;35,CT57+CS58-DB57,IF(A58&lt;'Données projet'!$A$140,$CQ$205^A58,IF(A58='Données projet'!$A$140,'Données projet'!$B$140,CT57+CS58-DB57)))</f>
        <v>649.99999999999955</v>
      </c>
      <c r="CU58" s="17">
        <f>CT58*VLOOKUP('Données projet'!$B$13,Paramètres!$A$1:$I$89,3,0)*VLOOKUP('Données projet'!$B$13,Paramètres!$A$1:$I$89,5,0)</f>
        <v>363.34999999999974</v>
      </c>
      <c r="CV58" s="13">
        <f t="shared" si="41"/>
        <v>84.305397464498199</v>
      </c>
      <c r="CW58" s="20">
        <f t="shared" si="13"/>
        <v>779.66648391733395</v>
      </c>
      <c r="CX58" s="57">
        <f t="shared" si="14"/>
        <v>1037.9889393978053</v>
      </c>
      <c r="CY58" s="57">
        <f ca="1">AVERAGE(OFFSET($CX$3,0,0,'Données projet'!$E$13+1,1))-AVERAGE(OFFSET($H$3,0,0,'Données projet'!$E$13+1,1))</f>
        <v>459.83870442974046</v>
      </c>
      <c r="CZ58" s="57">
        <f t="shared" si="42"/>
        <v>565.68976940602215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35</v>
      </c>
      <c r="DC58" s="16">
        <f>IF(ISNA(VLOOKUP(A58,'Données projet'!$A$139:$I$159,5,0)),0%,VLOOKUP(A58,'Données projet'!$A$139:$I$159,5,0)*VLOOKUP('Données projet'!$B$13,Paramètres!$A$1:$I$89,7,0))</f>
        <v>0.38500000000000001</v>
      </c>
      <c r="DD58" s="16">
        <f>IF(ISNA(VLOOKUP(A58,'Données projet'!$A$139:$I$159,6,0)),0%,VLOOKUP(A58,'Données projet'!$A$139:$I$159,6,0)*VLOOKUP('Données projet'!$B$13,Paramètres!$A$1:$I$89,7,0))</f>
        <v>9.240000000000001E-2</v>
      </c>
      <c r="DE58" s="16">
        <f>IF(ISNA(VLOOKUP(A58,'Données projet'!$A$139:$I$159,7,0)),0%,VLOOKUP(A58,'Données projet'!$A$139:$I$159,7,0))</f>
        <v>0.13200000000000001</v>
      </c>
      <c r="DF58" s="21">
        <f>EXP(-LN(2)/35)*DF57+(1-EXP(-LN(2)/35))/(LN(2)/35)*DB58*DC58*VLOOKUP('Données projet'!$B$13,Paramètres!$A$1:$I$89,3,0)*0.475*44/12</f>
        <v>75.787801969683557</v>
      </c>
      <c r="DG58" s="21">
        <f>EXP(-LN(2)/25)*DG57+(1-EXP(-LN(2)/25))/(LN(2)/25)*Calculateur!DB58*Calculateur!DD58*VLOOKUP('Données projet'!$B$13,Paramètres!$A$1:$I$89,3,0)*0.475*44/12</f>
        <v>21.791143319300659</v>
      </c>
      <c r="DH58" s="21">
        <f>EXP(-LN(2)/2)*DH57+(1-EXP(-LN(2)/2))/(LN(2)/2)*DB58*DE58*VLOOKUP('Données projet'!$B$13,Paramètres!$A$1:$I$89,3,0)*0.475*44/12</f>
        <v>3.8453936783158809</v>
      </c>
      <c r="DI58" s="22">
        <f t="shared" si="15"/>
        <v>101.4243389673001</v>
      </c>
      <c r="DJ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468.51506944444446</v>
      </c>
      <c r="DM58" s="12">
        <f>VLOOKUP(A58,'Données projet'!$A$165:$I$185,9,0)</f>
        <v>16.471899999999994</v>
      </c>
      <c r="DN58" s="12">
        <f t="array" ref="DN58">INDEX(DM:DM,MIN(IF(ISNUMBER(DM58:DM254),ROW(DM58:DM254),"")))</f>
        <v>16.471899999999994</v>
      </c>
      <c r="DO58" s="12">
        <f>IF('Données projet'!$A$166&gt;35,DO57+DN58-DW57,IF(A58&lt;'Données projet'!$A$166,$DL$205^A58,IF(A58='Données projet'!$A$166,'Données projet'!$B$166,DO57+DN58-DW57)))</f>
        <v>468.51506944444446</v>
      </c>
      <c r="DP58" s="17">
        <f>DO58*VLOOKUP('Données projet'!$B$14,Paramètres!$A$1:$I$89,3,0)*VLOOKUP('Données projet'!$B$14,Paramètres!$A$1:$I$89,5,0)</f>
        <v>306.97107349999999</v>
      </c>
      <c r="DQ58" s="13">
        <f t="shared" si="43"/>
        <v>72.635908739671365</v>
      </c>
      <c r="DR58" s="20">
        <f t="shared" si="16"/>
        <v>661.14882740076098</v>
      </c>
      <c r="DS58" s="57">
        <f t="shared" si="17"/>
        <v>919.47128288123236</v>
      </c>
      <c r="DT58" s="57">
        <f ca="1">AVERAGE(OFFSET($DS$3,0,0,'Données projet'!$E$14+1,1))-AVERAGE(OFFSET($H$3,0,0,'Données projet'!$E$14+1,1))</f>
        <v>315.23504986325418</v>
      </c>
      <c r="DU58" s="57">
        <f t="shared" si="44"/>
        <v>350.52837099886688</v>
      </c>
      <c r="DV58" s="15" t="str">
        <f>IF(ISNA(VLOOKUP(A58,'Données projet'!$A$165:$I$185,3,0)),0,VLOOKUP(A58,'Données projet'!$A$165:$I$185,3,0))</f>
        <v>CR</v>
      </c>
      <c r="DW58" s="15">
        <f>IF(ISNA(VLOOKUP(A58,'Données projet'!$A$165:$I$185,4,0)),0,VLOOKUP(A58,'Données projet'!$A$165:$I$185,4,0))</f>
        <v>468.51506944444446</v>
      </c>
      <c r="DX58" s="16">
        <f>IF(ISNA(VLOOKUP(A58,'Données projet'!$A$165:$I$185,5,0)),0%,VLOOKUP(A58,'Données projet'!$A$165:$I$185,5,0)*VLOOKUP('Données projet'!$B$14,Paramètres!$A$1:$I$89,7,0))</f>
        <v>0.38700000000000001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155.26445075601765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155.26445075601765</v>
      </c>
      <c r="EE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4.6000000000000014</v>
      </c>
      <c r="EJ58" s="12">
        <f>IF('Données projet'!$A$192&gt;35,EJ57+EI58-ER57,IF(A58&lt;'Données projet'!$A$192,$EG$205^A58,IF(A58='Données projet'!$A$192,'Données projet'!$B$192,EJ57+EI58-ER57)))</f>
        <v>105.79999999999998</v>
      </c>
      <c r="EK58" s="17">
        <f>EJ58*VLOOKUP('Données projet'!$B$15,Paramètres!$A$1:$I$89,3,0)*VLOOKUP('Données projet'!$B$15,Paramètres!$A$1:$I$89,5,0)</f>
        <v>102.32975999999999</v>
      </c>
      <c r="EL58" s="13">
        <f t="shared" si="45"/>
        <v>27.516284606416839</v>
      </c>
      <c r="EM58" s="20">
        <f t="shared" si="19"/>
        <v>226.14852768950928</v>
      </c>
      <c r="EN58" s="57">
        <f t="shared" si="20"/>
        <v>484.47098316998063</v>
      </c>
      <c r="EO58" s="57">
        <f ca="1">AVERAGE(OFFSET($EN$3,0,0,'Données projet'!$E$15+1,1))-AVERAGE(OFFSET($H$3,0,0,'Données projet'!$E$15+1,1))</f>
        <v>328.31200866623891</v>
      </c>
      <c r="EP58" s="57">
        <f t="shared" si="46"/>
        <v>195.52650232917446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>
        <f>FE58*VLOOKUP('Données projet'!$B$16,Paramètres!$A$1:$I$89,3,0)*VLOOKUP('Données projet'!$B$16,Paramètres!$A$1:$I$89,5,0)</f>
        <v>0</v>
      </c>
      <c r="FG58" s="13" t="e">
        <f t="shared" si="47"/>
        <v>#NUM!</v>
      </c>
      <c r="FH58" s="20" t="e">
        <f t="shared" si="22"/>
        <v>#NUM!</v>
      </c>
      <c r="FI58" s="57" t="e">
        <f t="shared" si="23"/>
        <v>#NUM!</v>
      </c>
      <c r="FJ58" s="57">
        <f ca="1">AVERAGE(OFFSET($FI$3,0,0,'Données projet'!$E$16+1,1))-AVERAGE(OFFSET($H$3,0,0,'Données projet'!$E$16+1,1))</f>
        <v>142.88219003619457</v>
      </c>
      <c r="FK58" s="57">
        <f t="shared" si="48"/>
        <v>288.69704547625088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29.923912533354798</v>
      </c>
      <c r="FR58" s="21">
        <f>EXP(-LN(2)/25)*FR57+(1-EXP(-LN(2)/25))/(LN(2)/25)*Calculateur!FM58*Calculateur!FO58*VLOOKUP('Données projet'!$B$16,Paramètres!$A$1:$I$89,3,0)*0.475*44/12</f>
        <v>6.2095757962754199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36.133488329630218</v>
      </c>
      <c r="FU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7" t="e">
        <f t="shared" si="26"/>
        <v>#N/A</v>
      </c>
      <c r="GE58" s="57" t="e">
        <f ca="1">AVERAGE(OFFSET($GD$3,0,0,'Données projet'!$E$17+1,1))-AVERAGE(OFFSET($H$3,0,0,'Données projet'!$E$17+1,1))</f>
        <v>#N/A</v>
      </c>
      <c r="GF58" s="57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7" t="e">
        <f t="shared" si="29"/>
        <v>#N/A</v>
      </c>
      <c r="GZ58" s="57" t="e">
        <f ca="1">AVERAGE(OFFSET($GY$3,0,0,'Données projet'!$E$18+1,1))-AVERAGE(OFFSET($H$3,0,0,'Données projet'!$E$18+1,1))</f>
        <v>#N/A</v>
      </c>
      <c r="HA58" s="57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1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5">
        <f t="shared" si="1"/>
        <v>183.33333333333334</v>
      </c>
      <c r="I59" s="6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212.98991999999998</v>
      </c>
      <c r="P59" s="13">
        <f t="shared" si="33"/>
        <v>52.588419883221171</v>
      </c>
      <c r="Q59" s="20">
        <f t="shared" si="53"/>
        <v>462.54894196327677</v>
      </c>
      <c r="R59" s="57">
        <f t="shared" si="0"/>
        <v>721.47875790189846</v>
      </c>
      <c r="S59" s="57">
        <f ca="1">AVERAGE(OFFSET($R$3,0,0,'Données projet'!$E$9+1,1))-AVERAGE(OFFSET($H$3,0,0,'Données projet'!$E$9+1,1))</f>
        <v>539.63700256763173</v>
      </c>
      <c r="T59" s="57">
        <f t="shared" si="34"/>
        <v>297.32483725004136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198.30096</v>
      </c>
      <c r="AK59" s="13">
        <f t="shared" si="35"/>
        <v>49.3705849564736</v>
      </c>
      <c r="AL59" s="20">
        <f t="shared" si="4"/>
        <v>431.36127413252484</v>
      </c>
      <c r="AM59" s="57">
        <f t="shared" si="5"/>
        <v>690.29109007114653</v>
      </c>
      <c r="AN59" s="57">
        <f ca="1">AVERAGE(OFFSET($AM$3,0,0,'Données projet'!$E$10+1,1))-AVERAGE(OFFSET($H$3,0,0,'Données projet'!$E$10+1,1))</f>
        <v>508.21188526136734</v>
      </c>
      <c r="AO59" s="57">
        <f t="shared" si="36"/>
        <v>281.06176764290592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19.27888888888889</v>
      </c>
      <c r="BD59" s="12">
        <f>IF('Données projet'!$A$88&gt;35,BD58+BC59-BL58,IF(A59&lt;'Données projet'!$A$88,$BA$205^A59,IF(A59='Données projet'!$A$88,'Données projet'!$B$88,BD58+BC59-BL58)))</f>
        <v>542.88444444444417</v>
      </c>
      <c r="BE59" s="13">
        <f>BD59*VLOOKUP('Données projet'!$B$11,Paramètres!$A$1:$I$89,3,0)*VLOOKUP('Données projet'!$B$11,Paramètres!$A$1:$I$89,5,0)</f>
        <v>254.06991999999985</v>
      </c>
      <c r="BF59" s="13">
        <f t="shared" si="37"/>
        <v>61.456632187225829</v>
      </c>
      <c r="BG59" s="20">
        <f t="shared" si="7"/>
        <v>549.54207839275125</v>
      </c>
      <c r="BH59" s="57">
        <f t="shared" si="8"/>
        <v>808.47189433137305</v>
      </c>
      <c r="BI59" s="57">
        <f ca="1">AVERAGE(OFFSET($BH$3,0,0,'Données projet'!$E$11+1,1))-AVERAGE(OFFSET($H$3,0,0,'Données projet'!$E$11+1,1))</f>
        <v>449.50723280509311</v>
      </c>
      <c r="BJ59" s="57">
        <f t="shared" si="38"/>
        <v>281.26353650058275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28.898867859318973</v>
      </c>
      <c r="BQ59" s="21">
        <f>EXP(-LN(2)/25)*BQ58+(1-EXP(-LN(2)/25))/(LN(2)/25)*Calculateur!BL59*Calculateur!BN59*VLOOKUP('Données projet'!$B$11,Paramètres!$A$1:$I$89,3,0)*0.475*44/12</f>
        <v>8.474380664839142</v>
      </c>
      <c r="BR59" s="21">
        <f>EXP(-LN(2)/2)*BR58+(1-EXP(-LN(2)/2))/(LN(2)/2)*BL59*BO59*VLOOKUP('Données projet'!$B$11,Paramètres!$A$1:$I$89,3,0)*0.475*44/12</f>
        <v>0.61604727093973644</v>
      </c>
      <c r="BS59" s="22">
        <f t="shared" si="9"/>
        <v>37.989295795097853</v>
      </c>
      <c r="BT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7.6</v>
      </c>
      <c r="BY59" s="12">
        <f>IF('Données projet'!$A$114&gt;35,BY58+BX59-CG58,IF(A59&lt;'Données projet'!$A$114,$BV$205^A59,IF(A59='Données projet'!$A$114,'Données projet'!$B$114,BY58+BX59-CG58)))</f>
        <v>183.6</v>
      </c>
      <c r="BZ59" s="13">
        <f>BY59*VLOOKUP('Données projet'!$B$12,Paramètres!$A$1:$I$89,3,0)*VLOOKUP('Données projet'!$B$12,Paramètres!$A$1:$I$89,5,0)</f>
        <v>174.71376000000001</v>
      </c>
      <c r="CA59" s="13">
        <f t="shared" si="39"/>
        <v>44.144062647515817</v>
      </c>
      <c r="CB59" s="20">
        <f t="shared" si="10"/>
        <v>381.17737444442338</v>
      </c>
      <c r="CC59" s="57">
        <f t="shared" si="11"/>
        <v>640.10719038304512</v>
      </c>
      <c r="CD59" s="57">
        <f ca="1">AVERAGE(OFFSET($CC$3,0,0,'Données projet'!$E$12+1,1))-AVERAGE(OFFSET($H$3,0,0,'Données projet'!$E$12+1,1))</f>
        <v>479.4551766174892</v>
      </c>
      <c r="CE59" s="57">
        <f t="shared" si="40"/>
        <v>260.29028006191834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10.199999999999999</v>
      </c>
      <c r="CT59" s="12">
        <f>IF('Données projet'!$A$140&gt;35,CT58+CS59-DB58,IF(A59&lt;'Données projet'!$A$140,$CQ$205^A59,IF(A59='Données projet'!$A$140,'Données projet'!$B$140,CT58+CS59-DB58)))</f>
        <v>625.19999999999959</v>
      </c>
      <c r="CU59" s="17">
        <f>CT59*VLOOKUP('Données projet'!$B$13,Paramètres!$A$1:$I$89,3,0)*VLOOKUP('Données projet'!$B$13,Paramètres!$A$1:$I$89,5,0)</f>
        <v>349.48679999999979</v>
      </c>
      <c r="CV59" s="13">
        <f t="shared" si="41"/>
        <v>81.45682900536228</v>
      </c>
      <c r="CW59" s="20">
        <f t="shared" si="13"/>
        <v>750.56015385100557</v>
      </c>
      <c r="CX59" s="57">
        <f t="shared" si="14"/>
        <v>1009.4899697896274</v>
      </c>
      <c r="CY59" s="57">
        <f ca="1">AVERAGE(OFFSET($CX$3,0,0,'Données projet'!$E$13+1,1))-AVERAGE(OFFSET($H$3,0,0,'Données projet'!$E$13+1,1))</f>
        <v>459.83870442974046</v>
      </c>
      <c r="CZ59" s="57">
        <f t="shared" si="42"/>
        <v>565.68976940602215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74.30164939905282</v>
      </c>
      <c r="DG59" s="21">
        <f>EXP(-LN(2)/25)*DG58+(1-EXP(-LN(2)/25))/(LN(2)/25)*Calculateur!DB59*Calculateur!DD59*VLOOKUP('Données projet'!$B$13,Paramètres!$A$1:$I$89,3,0)*0.475*44/12</f>
        <v>21.19526335928796</v>
      </c>
      <c r="DH59" s="21">
        <f>EXP(-LN(2)/2)*DH58+(1-EXP(-LN(2)/2))/(LN(2)/2)*DB59*DE59*VLOOKUP('Données projet'!$B$13,Paramètres!$A$1:$I$89,3,0)*0.475*44/12</f>
        <v>2.719103946269041</v>
      </c>
      <c r="DI59" s="22">
        <f t="shared" si="15"/>
        <v>98.216016704609828</v>
      </c>
      <c r="DJ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7" t="e">
        <f t="shared" si="17"/>
        <v>#NUM!</v>
      </c>
      <c r="DT59" s="57">
        <f ca="1">AVERAGE(OFFSET($DS$3,0,0,'Données projet'!$E$14+1,1))-AVERAGE(OFFSET($H$3,0,0,'Données projet'!$E$14+1,1))</f>
        <v>315.23504986325418</v>
      </c>
      <c r="DU59" s="57">
        <f t="shared" si="44"/>
        <v>350.52837099886688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152.21980957865605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152.21980957865605</v>
      </c>
      <c r="EE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>
        <f>VLOOKUP(A59,'Données projet'!$A$191:$I$211,2,0)</f>
        <v>110.4</v>
      </c>
      <c r="EH59" s="12">
        <f>VLOOKUP(A59,'Données projet'!$A$191:$I$211,9,0)</f>
        <v>4.6000000000000014</v>
      </c>
      <c r="EI59" s="12">
        <f t="array" ref="EI59">INDEX(EH:EH,MIN(IF(ISNUMBER(EH59:EH255),ROW(EH59:EH255),"")))</f>
        <v>4.6000000000000014</v>
      </c>
      <c r="EJ59" s="12">
        <f>IF('Données projet'!$A$192&gt;35,EJ58+EI59-ER58,IF(A59&lt;'Données projet'!$A$192,$EG$205^A59,IF(A59='Données projet'!$A$192,'Données projet'!$B$192,EJ58+EI59-ER58)))</f>
        <v>110.39999999999998</v>
      </c>
      <c r="EK59" s="17">
        <f>EJ59*VLOOKUP('Données projet'!$B$15,Paramètres!$A$1:$I$89,3,0)*VLOOKUP('Données projet'!$B$15,Paramètres!$A$1:$I$89,5,0)</f>
        <v>106.77887999999997</v>
      </c>
      <c r="EL59" s="13">
        <f t="shared" si="45"/>
        <v>28.570755857186093</v>
      </c>
      <c r="EM59" s="20">
        <f t="shared" si="19"/>
        <v>235.73394911793238</v>
      </c>
      <c r="EN59" s="57">
        <f t="shared" si="20"/>
        <v>494.6637650565541</v>
      </c>
      <c r="EO59" s="57">
        <f ca="1">AVERAGE(OFFSET($EN$3,0,0,'Données projet'!$E$15+1,1))-AVERAGE(OFFSET($H$3,0,0,'Données projet'!$E$15+1,1))</f>
        <v>328.31200866623891</v>
      </c>
      <c r="EP59" s="57">
        <f t="shared" si="46"/>
        <v>195.52650232917446</v>
      </c>
      <c r="EQ59" s="15">
        <f>IF(ISNA(VLOOKUP(A59,'Données projet'!$A$191:$I$211,3,0)),0,VLOOKUP(A59,'Données projet'!$A$191:$I$211,3,0))</f>
        <v>3</v>
      </c>
      <c r="ER59" s="15">
        <f>IF(ISNA(VLOOKUP(A59,'Données projet'!$A$191:$I$211,4,0)),0,VLOOKUP(A59,'Données projet'!$A$191:$I$211,4,0))</f>
        <v>28.8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>
        <f>FE59*VLOOKUP('Données projet'!$B$16,Paramètres!$A$1:$I$89,3,0)*VLOOKUP('Données projet'!$B$16,Paramètres!$A$1:$I$89,5,0)</f>
        <v>0</v>
      </c>
      <c r="FG59" s="13" t="e">
        <f t="shared" si="47"/>
        <v>#NUM!</v>
      </c>
      <c r="FH59" s="20" t="e">
        <f t="shared" si="22"/>
        <v>#NUM!</v>
      </c>
      <c r="FI59" s="57" t="e">
        <f t="shared" si="23"/>
        <v>#NUM!</v>
      </c>
      <c r="FJ59" s="57">
        <f ca="1">AVERAGE(OFFSET($FI$3,0,0,'Données projet'!$E$16+1,1))-AVERAGE(OFFSET($H$3,0,0,'Données projet'!$E$16+1,1))</f>
        <v>142.88219003619457</v>
      </c>
      <c r="FK59" s="57">
        <f t="shared" si="48"/>
        <v>288.69704547625088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29.337122860360143</v>
      </c>
      <c r="FR59" s="21">
        <f>EXP(-LN(2)/25)*FR58+(1-EXP(-LN(2)/25))/(LN(2)/25)*Calculateur!FM59*Calculateur!FO59*VLOOKUP('Données projet'!$B$16,Paramètres!$A$1:$I$89,3,0)*0.475*44/12</f>
        <v>6.0397746195788695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35.376897479939011</v>
      </c>
      <c r="FU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7" t="e">
        <f t="shared" si="26"/>
        <v>#N/A</v>
      </c>
      <c r="GE59" s="57" t="e">
        <f ca="1">AVERAGE(OFFSET($GD$3,0,0,'Données projet'!$E$17+1,1))-AVERAGE(OFFSET($H$3,0,0,'Données projet'!$E$17+1,1))</f>
        <v>#N/A</v>
      </c>
      <c r="GF59" s="57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7" t="e">
        <f t="shared" si="29"/>
        <v>#N/A</v>
      </c>
      <c r="GZ59" s="57" t="e">
        <f ca="1">AVERAGE(OFFSET($GY$3,0,0,'Données projet'!$E$18+1,1))-AVERAGE(OFFSET($H$3,0,0,'Données projet'!$E$18+1,1))</f>
        <v>#N/A</v>
      </c>
      <c r="HA59" s="57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1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5">
        <f t="shared" si="1"/>
        <v>183.33333333333334</v>
      </c>
      <c r="I60" s="6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221.49503999999999</v>
      </c>
      <c r="P60" s="13">
        <f t="shared" si="33"/>
        <v>54.439697086174412</v>
      </c>
      <c r="Q60" s="20">
        <f t="shared" si="53"/>
        <v>480.58633375842032</v>
      </c>
      <c r="R60" s="57">
        <f t="shared" si="0"/>
        <v>740.11297380909809</v>
      </c>
      <c r="S60" s="57">
        <f ca="1">AVERAGE(OFFSET($R$3,0,0,'Données projet'!$E$9+1,1))-AVERAGE(OFFSET($H$3,0,0,'Données projet'!$E$9+1,1))</f>
        <v>539.63700256763173</v>
      </c>
      <c r="T60" s="57">
        <f t="shared" si="34"/>
        <v>297.32483725004136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206.21952000000002</v>
      </c>
      <c r="AK60" s="13">
        <f t="shared" si="35"/>
        <v>51.108584284640322</v>
      </c>
      <c r="AL60" s="20">
        <f t="shared" si="4"/>
        <v>448.1797816290819</v>
      </c>
      <c r="AM60" s="57">
        <f t="shared" si="5"/>
        <v>707.70642167975961</v>
      </c>
      <c r="AN60" s="57">
        <f ca="1">AVERAGE(OFFSET($AM$3,0,0,'Données projet'!$E$10+1,1))-AVERAGE(OFFSET($H$3,0,0,'Données projet'!$E$10+1,1))</f>
        <v>508.21188526136734</v>
      </c>
      <c r="AO60" s="57">
        <f t="shared" si="36"/>
        <v>281.06176764290592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19.27888888888889</v>
      </c>
      <c r="BD60" s="12">
        <f>IF('Données projet'!$A$88&gt;35,BD59+BC60-BL59,IF(A60&lt;'Données projet'!$A$88,$BA$205^A60,IF(A60='Données projet'!$A$88,'Données projet'!$B$88,BD59+BC60-BL59)))</f>
        <v>562.16333333333307</v>
      </c>
      <c r="BE60" s="13">
        <f>BD60*VLOOKUP('Données projet'!$B$11,Paramètres!$A$1:$I$89,3,0)*VLOOKUP('Données projet'!$B$11,Paramètres!$A$1:$I$89,5,0)</f>
        <v>263.0924399999999</v>
      </c>
      <c r="BF60" s="13">
        <f t="shared" si="37"/>
        <v>63.381106895958986</v>
      </c>
      <c r="BG60" s="20">
        <f t="shared" si="7"/>
        <v>568.60809417712835</v>
      </c>
      <c r="BH60" s="57">
        <f t="shared" si="8"/>
        <v>828.13473422780612</v>
      </c>
      <c r="BI60" s="57">
        <f ca="1">AVERAGE(OFFSET($BH$3,0,0,'Données projet'!$E$11+1,1))-AVERAGE(OFFSET($H$3,0,0,'Données projet'!$E$11+1,1))</f>
        <v>449.50723280509311</v>
      </c>
      <c r="BJ60" s="57">
        <f t="shared" si="38"/>
        <v>281.26353650058275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28.332178687166643</v>
      </c>
      <c r="BQ60" s="21">
        <f>EXP(-LN(2)/25)*BQ59+(1-EXP(-LN(2)/25))/(LN(2)/25)*Calculateur!BL60*Calculateur!BN60*VLOOKUP('Données projet'!$B$11,Paramètres!$A$1:$I$89,3,0)*0.475*44/12</f>
        <v>8.2426482799108047</v>
      </c>
      <c r="BR60" s="21">
        <f>EXP(-LN(2)/2)*BR59+(1-EXP(-LN(2)/2))/(LN(2)/2)*BL60*BO60*VLOOKUP('Données projet'!$B$11,Paramètres!$A$1:$I$89,3,0)*0.475*44/12</f>
        <v>0.43561120281295401</v>
      </c>
      <c r="BS60" s="22">
        <f t="shared" si="9"/>
        <v>37.010438169890406</v>
      </c>
      <c r="BT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7.6</v>
      </c>
      <c r="BY60" s="12">
        <f>IF('Données projet'!$A$114&gt;35,BY59+BX60-CG59,IF(A60&lt;'Données projet'!$A$114,$BV$205^A60,IF(A60='Données projet'!$A$114,'Données projet'!$B$114,BY59+BX60-CG59)))</f>
        <v>191.2</v>
      </c>
      <c r="BZ60" s="13">
        <f>BY60*VLOOKUP('Données projet'!$B$12,Paramètres!$A$1:$I$89,3,0)*VLOOKUP('Données projet'!$B$12,Paramètres!$A$1:$I$89,5,0)</f>
        <v>181.94592</v>
      </c>
      <c r="CA60" s="13">
        <f t="shared" si="39"/>
        <v>45.754846212632849</v>
      </c>
      <c r="CB60" s="20">
        <f t="shared" si="10"/>
        <v>396.57883448700221</v>
      </c>
      <c r="CC60" s="57">
        <f t="shared" si="11"/>
        <v>656.10547453767992</v>
      </c>
      <c r="CD60" s="57">
        <f ca="1">AVERAGE(OFFSET($CC$3,0,0,'Données projet'!$E$12+1,1))-AVERAGE(OFFSET($H$3,0,0,'Données projet'!$E$12+1,1))</f>
        <v>479.4551766174892</v>
      </c>
      <c r="CE60" s="57">
        <f t="shared" si="40"/>
        <v>260.29028006191834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10.199999999999999</v>
      </c>
      <c r="CT60" s="12">
        <f>IF('Données projet'!$A$140&gt;35,CT59+CS60-DB59,IF(A60&lt;'Données projet'!$A$140,$CQ$205^A60,IF(A60='Données projet'!$A$140,'Données projet'!$B$140,CT59+CS60-DB59)))</f>
        <v>635.39999999999964</v>
      </c>
      <c r="CU60" s="17">
        <f>CT60*VLOOKUP('Données projet'!$B$13,Paramètres!$A$1:$I$89,3,0)*VLOOKUP('Données projet'!$B$13,Paramètres!$A$1:$I$89,5,0)</f>
        <v>355.18859999999984</v>
      </c>
      <c r="CV60" s="13">
        <f t="shared" si="41"/>
        <v>82.629981116726043</v>
      </c>
      <c r="CW60" s="20">
        <f t="shared" si="13"/>
        <v>762.53402877829774</v>
      </c>
      <c r="CX60" s="57">
        <f t="shared" si="14"/>
        <v>1022.0606688289754</v>
      </c>
      <c r="CY60" s="57">
        <f ca="1">AVERAGE(OFFSET($CX$3,0,0,'Données projet'!$E$13+1,1))-AVERAGE(OFFSET($H$3,0,0,'Données projet'!$E$13+1,1))</f>
        <v>459.83870442974046</v>
      </c>
      <c r="CZ60" s="57">
        <f t="shared" si="42"/>
        <v>565.68976940602215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72.844639373868603</v>
      </c>
      <c r="DG60" s="21">
        <f>EXP(-LN(2)/25)*DG59+(1-EXP(-LN(2)/25))/(LN(2)/25)*Calculateur!DB60*Calculateur!DD60*VLOOKUP('Données projet'!$B$13,Paramètres!$A$1:$I$89,3,0)*0.475*44/12</f>
        <v>20.615677768117774</v>
      </c>
      <c r="DH60" s="21">
        <f>EXP(-LN(2)/2)*DH59+(1-EXP(-LN(2)/2))/(LN(2)/2)*DB60*DE60*VLOOKUP('Données projet'!$B$13,Paramètres!$A$1:$I$89,3,0)*0.475*44/12</f>
        <v>1.9226968391579407</v>
      </c>
      <c r="DI60" s="22">
        <f t="shared" si="15"/>
        <v>95.383013981144316</v>
      </c>
      <c r="DJ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7" t="e">
        <f t="shared" si="17"/>
        <v>#NUM!</v>
      </c>
      <c r="DT60" s="57">
        <f ca="1">AVERAGE(OFFSET($DS$3,0,0,'Données projet'!$E$14+1,1))-AVERAGE(OFFSET($H$3,0,0,'Données projet'!$E$14+1,1))</f>
        <v>315.23504986325418</v>
      </c>
      <c r="DU60" s="57">
        <f t="shared" si="44"/>
        <v>350.52837099886688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149.23487195773478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149.23487195773478</v>
      </c>
      <c r="EE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5.2999999999999989</v>
      </c>
      <c r="EJ60" s="12">
        <f>IF('Données projet'!$A$192&gt;35,EJ59+EI60-ER59,IF(A60&lt;'Données projet'!$A$192,$EG$205^A60,IF(A60='Données projet'!$A$192,'Données projet'!$B$192,EJ59+EI60-ER59)))</f>
        <v>86.899999999999977</v>
      </c>
      <c r="EK60" s="17">
        <f>EJ60*VLOOKUP('Données projet'!$B$15,Paramètres!$A$1:$I$89,3,0)*VLOOKUP('Données projet'!$B$15,Paramètres!$A$1:$I$89,5,0)</f>
        <v>84.049679999999981</v>
      </c>
      <c r="EL60" s="13">
        <f t="shared" si="45"/>
        <v>23.1244882926519</v>
      </c>
      <c r="EM60" s="20">
        <f t="shared" si="19"/>
        <v>186.66167644303536</v>
      </c>
      <c r="EN60" s="57">
        <f t="shared" si="20"/>
        <v>446.18831649371305</v>
      </c>
      <c r="EO60" s="57">
        <f ca="1">AVERAGE(OFFSET($EN$3,0,0,'Données projet'!$E$15+1,1))-AVERAGE(OFFSET($H$3,0,0,'Données projet'!$E$15+1,1))</f>
        <v>328.31200866623891</v>
      </c>
      <c r="EP60" s="57">
        <f t="shared" si="46"/>
        <v>195.52650232917446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>
        <f>FE60*VLOOKUP('Données projet'!$B$16,Paramètres!$A$1:$I$89,3,0)*VLOOKUP('Données projet'!$B$16,Paramètres!$A$1:$I$89,5,0)</f>
        <v>0</v>
      </c>
      <c r="FG60" s="13" t="e">
        <f t="shared" si="47"/>
        <v>#NUM!</v>
      </c>
      <c r="FH60" s="20" t="e">
        <f t="shared" si="22"/>
        <v>#NUM!</v>
      </c>
      <c r="FI60" s="57" t="e">
        <f t="shared" si="23"/>
        <v>#NUM!</v>
      </c>
      <c r="FJ60" s="57">
        <f ca="1">AVERAGE(OFFSET($FI$3,0,0,'Données projet'!$E$16+1,1))-AVERAGE(OFFSET($H$3,0,0,'Données projet'!$E$16+1,1))</f>
        <v>142.88219003619457</v>
      </c>
      <c r="FK60" s="57">
        <f t="shared" si="48"/>
        <v>288.69704547625088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28.761839774946552</v>
      </c>
      <c r="FR60" s="21">
        <f>EXP(-LN(2)/25)*FR59+(1-EXP(-LN(2)/25))/(LN(2)/25)*Calculateur!FM60*Calculateur!FO60*VLOOKUP('Données projet'!$B$16,Paramètres!$A$1:$I$89,3,0)*0.475*44/12</f>
        <v>5.8746166649885421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34.636456439935095</v>
      </c>
      <c r="FU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7" t="e">
        <f t="shared" si="26"/>
        <v>#N/A</v>
      </c>
      <c r="GE60" s="57" t="e">
        <f ca="1">AVERAGE(OFFSET($GD$3,0,0,'Données projet'!$E$17+1,1))-AVERAGE(OFFSET($H$3,0,0,'Données projet'!$E$17+1,1))</f>
        <v>#N/A</v>
      </c>
      <c r="GF60" s="57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7" t="e">
        <f t="shared" si="29"/>
        <v>#N/A</v>
      </c>
      <c r="GZ60" s="57" t="e">
        <f ca="1">AVERAGE(OFFSET($GY$3,0,0,'Données projet'!$E$18+1,1))-AVERAGE(OFFSET($H$3,0,0,'Données projet'!$E$18+1,1))</f>
        <v>#N/A</v>
      </c>
      <c r="HA60" s="57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1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5">
        <f t="shared" si="1"/>
        <v>183.33333333333334</v>
      </c>
      <c r="I61" s="6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230.00015999999997</v>
      </c>
      <c r="P61" s="13">
        <f t="shared" si="33"/>
        <v>56.282716126880423</v>
      </c>
      <c r="Q61" s="20">
        <f t="shared" si="53"/>
        <v>498.60934258765002</v>
      </c>
      <c r="R61" s="57">
        <f t="shared" si="0"/>
        <v>758.7224531863385</v>
      </c>
      <c r="S61" s="57">
        <f ca="1">AVERAGE(OFFSET($R$3,0,0,'Données projet'!$E$9+1,1))-AVERAGE(OFFSET($H$3,0,0,'Données projet'!$E$9+1,1))</f>
        <v>539.63700256763173</v>
      </c>
      <c r="T61" s="57">
        <f t="shared" si="34"/>
        <v>297.32483725004136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214.13808</v>
      </c>
      <c r="AK61" s="13">
        <f t="shared" si="35"/>
        <v>52.838830759579693</v>
      </c>
      <c r="AL61" s="20">
        <f t="shared" si="4"/>
        <v>464.98478623960131</v>
      </c>
      <c r="AM61" s="57">
        <f t="shared" si="5"/>
        <v>725.09789683828967</v>
      </c>
      <c r="AN61" s="57">
        <f ca="1">AVERAGE(OFFSET($AM$3,0,0,'Données projet'!$E$10+1,1))-AVERAGE(OFFSET($H$3,0,0,'Données projet'!$E$10+1,1))</f>
        <v>508.21188526136734</v>
      </c>
      <c r="AO61" s="57">
        <f t="shared" si="36"/>
        <v>281.06176764290592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19.27888888888889</v>
      </c>
      <c r="BD61" s="12">
        <f>IF('Données projet'!$A$88&gt;35,BD60+BC61-BL60,IF(A61&lt;'Données projet'!$A$88,$BA$205^A61,IF(A61='Données projet'!$A$88,'Données projet'!$B$88,BD60+BC61-BL60)))</f>
        <v>581.44222222222197</v>
      </c>
      <c r="BE61" s="13">
        <f>BD61*VLOOKUP('Données projet'!$B$11,Paramètres!$A$1:$I$89,3,0)*VLOOKUP('Données projet'!$B$11,Paramètres!$A$1:$I$89,5,0)</f>
        <v>272.11495999999988</v>
      </c>
      <c r="BF61" s="13">
        <f t="shared" si="37"/>
        <v>65.297913145986357</v>
      </c>
      <c r="BG61" s="20">
        <f t="shared" si="7"/>
        <v>587.66075406259267</v>
      </c>
      <c r="BH61" s="57">
        <f t="shared" si="8"/>
        <v>847.7738646612811</v>
      </c>
      <c r="BI61" s="57">
        <f ca="1">AVERAGE(OFFSET($BH$3,0,0,'Données projet'!$E$11+1,1))-AVERAGE(OFFSET($H$3,0,0,'Données projet'!$E$11+1,1))</f>
        <v>449.50723280509311</v>
      </c>
      <c r="BJ61" s="57">
        <f t="shared" si="38"/>
        <v>281.26353650058275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27.776601944033956</v>
      </c>
      <c r="BQ61" s="21">
        <f>EXP(-LN(2)/25)*BQ60+(1-EXP(-LN(2)/25))/(LN(2)/25)*Calculateur!BL61*Calculateur!BN61*VLOOKUP('Données projet'!$B$11,Paramètres!$A$1:$I$89,3,0)*0.475*44/12</f>
        <v>8.0172526292346102</v>
      </c>
      <c r="BR61" s="21">
        <f>EXP(-LN(2)/2)*BR60+(1-EXP(-LN(2)/2))/(LN(2)/2)*BL61*BO61*VLOOKUP('Données projet'!$B$11,Paramètres!$A$1:$I$89,3,0)*0.475*44/12</f>
        <v>0.30802363546986827</v>
      </c>
      <c r="BS61" s="22">
        <f t="shared" si="9"/>
        <v>36.101878208738434</v>
      </c>
      <c r="BT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7.6</v>
      </c>
      <c r="BY61" s="12">
        <f>IF('Données projet'!$A$114&gt;35,BY60+BX61-CG60,IF(A61&lt;'Données projet'!$A$114,$BV$205^A61,IF(A61='Données projet'!$A$114,'Données projet'!$B$114,BY60+BX61-CG60)))</f>
        <v>198.79999999999998</v>
      </c>
      <c r="BZ61" s="13">
        <f>BY61*VLOOKUP('Données projet'!$B$12,Paramètres!$A$1:$I$89,3,0)*VLOOKUP('Données projet'!$B$12,Paramètres!$A$1:$I$89,5,0)</f>
        <v>189.17807999999999</v>
      </c>
      <c r="CA61" s="13">
        <f t="shared" si="39"/>
        <v>47.358192185392497</v>
      </c>
      <c r="CB61" s="20">
        <f t="shared" si="10"/>
        <v>411.96734072289183</v>
      </c>
      <c r="CC61" s="57">
        <f t="shared" si="11"/>
        <v>672.08045132158031</v>
      </c>
      <c r="CD61" s="57">
        <f ca="1">AVERAGE(OFFSET($CC$3,0,0,'Données projet'!$E$12+1,1))-AVERAGE(OFFSET($H$3,0,0,'Données projet'!$E$12+1,1))</f>
        <v>479.4551766174892</v>
      </c>
      <c r="CE61" s="57">
        <f t="shared" si="40"/>
        <v>260.29028006191834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10.199999999999999</v>
      </c>
      <c r="CT61" s="12">
        <f>IF('Données projet'!$A$140&gt;35,CT60+CS61-DB60,IF(A61&lt;'Données projet'!$A$140,$CQ$205^A61,IF(A61='Données projet'!$A$140,'Données projet'!$B$140,CT60+CS61-DB60)))</f>
        <v>645.59999999999968</v>
      </c>
      <c r="CU61" s="17">
        <f>CT61*VLOOKUP('Données projet'!$B$13,Paramètres!$A$1:$I$89,3,0)*VLOOKUP('Données projet'!$B$13,Paramètres!$A$1:$I$89,5,0)</f>
        <v>360.89039999999977</v>
      </c>
      <c r="CV61" s="13">
        <f t="shared" si="41"/>
        <v>83.800943075865291</v>
      </c>
      <c r="CW61" s="20">
        <f t="shared" si="13"/>
        <v>774.50408919046504</v>
      </c>
      <c r="CX61" s="57">
        <f t="shared" si="14"/>
        <v>1034.6171997891533</v>
      </c>
      <c r="CY61" s="57">
        <f ca="1">AVERAGE(OFFSET($CX$3,0,0,'Données projet'!$E$13+1,1))-AVERAGE(OFFSET($H$3,0,0,'Données projet'!$E$13+1,1))</f>
        <v>459.83870442974046</v>
      </c>
      <c r="CZ61" s="57">
        <f t="shared" si="42"/>
        <v>565.68976940602215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71.416200426589882</v>
      </c>
      <c r="DG61" s="21">
        <f>EXP(-LN(2)/25)*DG60+(1-EXP(-LN(2)/25))/(LN(2)/25)*Calculateur!DB61*Calculateur!DD61*VLOOKUP('Données projet'!$B$13,Paramètres!$A$1:$I$89,3,0)*0.475*44/12</f>
        <v>20.051940975417217</v>
      </c>
      <c r="DH61" s="21">
        <f>EXP(-LN(2)/2)*DH60+(1-EXP(-LN(2)/2))/(LN(2)/2)*DB61*DE61*VLOOKUP('Données projet'!$B$13,Paramètres!$A$1:$I$89,3,0)*0.475*44/12</f>
        <v>1.3595519731345207</v>
      </c>
      <c r="DI61" s="22">
        <f t="shared" si="15"/>
        <v>92.827693375141607</v>
      </c>
      <c r="DJ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7" t="e">
        <f t="shared" si="17"/>
        <v>#NUM!</v>
      </c>
      <c r="DT61" s="57">
        <f ca="1">AVERAGE(OFFSET($DS$3,0,0,'Données projet'!$E$14+1,1))-AVERAGE(OFFSET($H$3,0,0,'Données projet'!$E$14+1,1))</f>
        <v>315.23504986325418</v>
      </c>
      <c r="DU61" s="57">
        <f t="shared" si="44"/>
        <v>350.52837099886688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146.30846714292758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146.30846714292758</v>
      </c>
      <c r="EE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5.2999999999999989</v>
      </c>
      <c r="EJ61" s="12">
        <f>IF('Données projet'!$A$192&gt;35,EJ60+EI61-ER60,IF(A61&lt;'Données projet'!$A$192,$EG$205^A61,IF(A61='Données projet'!$A$192,'Données projet'!$B$192,EJ60+EI61-ER60)))</f>
        <v>92.199999999999974</v>
      </c>
      <c r="EK61" s="17">
        <f>EJ61*VLOOKUP('Données projet'!$B$15,Paramètres!$A$1:$I$89,3,0)*VLOOKUP('Données projet'!$B$15,Paramètres!$A$1:$I$89,5,0)</f>
        <v>89.17583999999998</v>
      </c>
      <c r="EL61" s="13">
        <f t="shared" si="45"/>
        <v>24.366351150367176</v>
      </c>
      <c r="EM61" s="20">
        <f t="shared" si="19"/>
        <v>197.75264958688945</v>
      </c>
      <c r="EN61" s="57">
        <f t="shared" si="20"/>
        <v>457.86576018557787</v>
      </c>
      <c r="EO61" s="57">
        <f ca="1">AVERAGE(OFFSET($EN$3,0,0,'Données projet'!$E$15+1,1))-AVERAGE(OFFSET($H$3,0,0,'Données projet'!$E$15+1,1))</f>
        <v>328.31200866623891</v>
      </c>
      <c r="EP61" s="57">
        <f t="shared" si="46"/>
        <v>195.52650232917446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>
        <f>FE61*VLOOKUP('Données projet'!$B$16,Paramètres!$A$1:$I$89,3,0)*VLOOKUP('Données projet'!$B$16,Paramètres!$A$1:$I$89,5,0)</f>
        <v>0</v>
      </c>
      <c r="FG61" s="13" t="e">
        <f t="shared" si="47"/>
        <v>#NUM!</v>
      </c>
      <c r="FH61" s="20" t="e">
        <f t="shared" si="22"/>
        <v>#NUM!</v>
      </c>
      <c r="FI61" s="57" t="e">
        <f t="shared" si="23"/>
        <v>#NUM!</v>
      </c>
      <c r="FJ61" s="57">
        <f ca="1">AVERAGE(OFFSET($FI$3,0,0,'Données projet'!$E$16+1,1))-AVERAGE(OFFSET($H$3,0,0,'Données projet'!$E$16+1,1))</f>
        <v>142.88219003619457</v>
      </c>
      <c r="FK61" s="57">
        <f t="shared" si="48"/>
        <v>288.69704547625088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28.197837639949885</v>
      </c>
      <c r="FR61" s="21">
        <f>EXP(-LN(2)/25)*FR60+(1-EXP(-LN(2)/25))/(LN(2)/25)*Calculateur!FM61*Calculateur!FO61*VLOOKUP('Données projet'!$B$16,Paramètres!$A$1:$I$89,3,0)*0.475*44/12</f>
        <v>5.7139749633517667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33.911812603301655</v>
      </c>
      <c r="FU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7" t="e">
        <f t="shared" si="26"/>
        <v>#N/A</v>
      </c>
      <c r="GE61" s="57" t="e">
        <f ca="1">AVERAGE(OFFSET($GD$3,0,0,'Données projet'!$E$17+1,1))-AVERAGE(OFFSET($H$3,0,0,'Données projet'!$E$17+1,1))</f>
        <v>#N/A</v>
      </c>
      <c r="GF61" s="57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7" t="e">
        <f t="shared" si="29"/>
        <v>#N/A</v>
      </c>
      <c r="GZ61" s="57" t="e">
        <f ca="1">AVERAGE(OFFSET($GY$3,0,0,'Données projet'!$E$18+1,1))-AVERAGE(OFFSET($H$3,0,0,'Données projet'!$E$18+1,1))</f>
        <v>#N/A</v>
      </c>
      <c r="HA61" s="57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1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5">
        <f t="shared" si="1"/>
        <v>183.33333333333334</v>
      </c>
      <c r="I62" s="6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238.50527999999997</v>
      </c>
      <c r="P62" s="13">
        <f t="shared" si="33"/>
        <v>58.117817352909881</v>
      </c>
      <c r="Q62" s="20">
        <f t="shared" si="53"/>
        <v>516.61856122298457</v>
      </c>
      <c r="R62" s="57">
        <f t="shared" si="0"/>
        <v>777.30796841682741</v>
      </c>
      <c r="S62" s="57">
        <f ca="1">AVERAGE(OFFSET($R$3,0,0,'Données projet'!$E$9+1,1))-AVERAGE(OFFSET($H$3,0,0,'Données projet'!$E$9+1,1))</f>
        <v>539.63700256763173</v>
      </c>
      <c r="T62" s="57">
        <f t="shared" si="34"/>
        <v>297.32483725004136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222.05663999999999</v>
      </c>
      <c r="AK62" s="13">
        <f t="shared" si="35"/>
        <v>54.561643903321311</v>
      </c>
      <c r="AL62" s="20">
        <f t="shared" si="4"/>
        <v>481.77684446495124</v>
      </c>
      <c r="AM62" s="57">
        <f t="shared" si="5"/>
        <v>742.46625165879402</v>
      </c>
      <c r="AN62" s="57">
        <f ca="1">AVERAGE(OFFSET($AM$3,0,0,'Données projet'!$E$10+1,1))-AVERAGE(OFFSET($H$3,0,0,'Données projet'!$E$10+1,1))</f>
        <v>508.21188526136734</v>
      </c>
      <c r="AO62" s="57">
        <f t="shared" si="36"/>
        <v>281.06176764290592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19.27888888888889</v>
      </c>
      <c r="BD62" s="12">
        <f>IF('Données projet'!$A$88&gt;35,BD61+BC62-BL61,IF(A62&lt;'Données projet'!$A$88,$BA$205^A62,IF(A62='Données projet'!$A$88,'Données projet'!$B$88,BD61+BC62-BL61)))</f>
        <v>600.72111111111087</v>
      </c>
      <c r="BE62" s="13">
        <f>BD62*VLOOKUP('Données projet'!$B$11,Paramètres!$A$1:$I$89,3,0)*VLOOKUP('Données projet'!$B$11,Paramètres!$A$1:$I$89,5,0)</f>
        <v>281.13747999999987</v>
      </c>
      <c r="BF62" s="13">
        <f t="shared" si="37"/>
        <v>67.207334355151403</v>
      </c>
      <c r="BG62" s="20">
        <f t="shared" si="7"/>
        <v>606.70055166855502</v>
      </c>
      <c r="BH62" s="57">
        <f t="shared" si="8"/>
        <v>867.38995886239786</v>
      </c>
      <c r="BI62" s="57">
        <f ca="1">AVERAGE(OFFSET($BH$3,0,0,'Données projet'!$E$11+1,1))-AVERAGE(OFFSET($H$3,0,0,'Données projet'!$E$11+1,1))</f>
        <v>449.50723280509311</v>
      </c>
      <c r="BJ62" s="57">
        <f t="shared" si="38"/>
        <v>281.26353650058275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27.231919721965749</v>
      </c>
      <c r="BQ62" s="21">
        <f>EXP(-LN(2)/25)*BQ61+(1-EXP(-LN(2)/25))/(LN(2)/25)*Calculateur!BL62*Calculateur!BN62*VLOOKUP('Données projet'!$B$11,Paramètres!$A$1:$I$89,3,0)*0.475*44/12</f>
        <v>7.7980204344791977</v>
      </c>
      <c r="BR62" s="21">
        <f>EXP(-LN(2)/2)*BR61+(1-EXP(-LN(2)/2))/(LN(2)/2)*BL62*BO62*VLOOKUP('Données projet'!$B$11,Paramètres!$A$1:$I$89,3,0)*0.475*44/12</f>
        <v>0.21780560140647703</v>
      </c>
      <c r="BS62" s="22">
        <f t="shared" si="9"/>
        <v>35.247745757851419</v>
      </c>
      <c r="BT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7.6</v>
      </c>
      <c r="BY62" s="12">
        <f>IF('Données projet'!$A$114&gt;35,BY61+BX62-CG61,IF(A62&lt;'Données projet'!$A$114,$BV$205^A62,IF(A62='Données projet'!$A$114,'Données projet'!$B$114,BY61+BX62-CG61)))</f>
        <v>206.39999999999998</v>
      </c>
      <c r="BZ62" s="13">
        <f>BY62*VLOOKUP('Données projet'!$B$12,Paramètres!$A$1:$I$89,3,0)*VLOOKUP('Données projet'!$B$12,Paramètres!$A$1:$I$89,5,0)</f>
        <v>196.41023999999999</v>
      </c>
      <c r="CA62" s="13">
        <f t="shared" si="39"/>
        <v>48.954417448783772</v>
      </c>
      <c r="CB62" s="20">
        <f t="shared" si="10"/>
        <v>427.34344505663171</v>
      </c>
      <c r="CC62" s="57">
        <f t="shared" si="11"/>
        <v>688.03285225047443</v>
      </c>
      <c r="CD62" s="57">
        <f ca="1">AVERAGE(OFFSET($CC$3,0,0,'Données projet'!$E$12+1,1))-AVERAGE(OFFSET($H$3,0,0,'Données projet'!$E$12+1,1))</f>
        <v>479.4551766174892</v>
      </c>
      <c r="CE62" s="57">
        <f t="shared" si="40"/>
        <v>260.29028006191834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10.199999999999999</v>
      </c>
      <c r="CT62" s="12">
        <f>IF('Données projet'!$A$140&gt;35,CT61+CS62-DB61,IF(A62&lt;'Données projet'!$A$140,$CQ$205^A62,IF(A62='Données projet'!$A$140,'Données projet'!$B$140,CT61+CS62-DB61)))</f>
        <v>655.79999999999973</v>
      </c>
      <c r="CU62" s="17">
        <f>CT62*VLOOKUP('Données projet'!$B$13,Paramètres!$A$1:$I$89,3,0)*VLOOKUP('Données projet'!$B$13,Paramètres!$A$1:$I$89,5,0)</f>
        <v>366.59219999999982</v>
      </c>
      <c r="CV62" s="13">
        <f t="shared" si="41"/>
        <v>84.969753481055022</v>
      </c>
      <c r="CW62" s="20">
        <f t="shared" si="13"/>
        <v>786.47040231283711</v>
      </c>
      <c r="CX62" s="57">
        <f t="shared" si="14"/>
        <v>1047.1598095066799</v>
      </c>
      <c r="CY62" s="57">
        <f ca="1">AVERAGE(OFFSET($CX$3,0,0,'Données projet'!$E$13+1,1))-AVERAGE(OFFSET($H$3,0,0,'Données projet'!$E$13+1,1))</f>
        <v>459.83870442974046</v>
      </c>
      <c r="CZ62" s="57">
        <f t="shared" si="42"/>
        <v>565.68976940602215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70.015772295805561</v>
      </c>
      <c r="DG62" s="21">
        <f>EXP(-LN(2)/25)*DG61+(1-EXP(-LN(2)/25))/(LN(2)/25)*Calculateur!DB62*Calculateur!DD62*VLOOKUP('Données projet'!$B$13,Paramètres!$A$1:$I$89,3,0)*0.475*44/12</f>
        <v>19.503619594958685</v>
      </c>
      <c r="DH62" s="21">
        <f>EXP(-LN(2)/2)*DH61+(1-EXP(-LN(2)/2))/(LN(2)/2)*DB62*DE62*VLOOKUP('Données projet'!$B$13,Paramètres!$A$1:$I$89,3,0)*0.475*44/12</f>
        <v>0.96134841957897055</v>
      </c>
      <c r="DI62" s="22">
        <f t="shared" si="15"/>
        <v>90.480740310343208</v>
      </c>
      <c r="DJ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7" t="e">
        <f t="shared" si="17"/>
        <v>#NUM!</v>
      </c>
      <c r="DT62" s="57">
        <f ca="1">AVERAGE(OFFSET($DS$3,0,0,'Données projet'!$E$14+1,1))-AVERAGE(OFFSET($H$3,0,0,'Données projet'!$E$14+1,1))</f>
        <v>315.23504986325418</v>
      </c>
      <c r="DU62" s="57">
        <f t="shared" si="44"/>
        <v>350.52837099886688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143.43944734160809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143.43944734160809</v>
      </c>
      <c r="EE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5.2999999999999989</v>
      </c>
      <c r="EJ62" s="12">
        <f>IF('Données projet'!$A$192&gt;35,EJ61+EI62-ER61,IF(A62&lt;'Données projet'!$A$192,$EG$205^A62,IF(A62='Données projet'!$A$192,'Données projet'!$B$192,EJ61+EI62-ER61)))</f>
        <v>97.499999999999972</v>
      </c>
      <c r="EK62" s="17">
        <f>EJ62*VLOOKUP('Données projet'!$B$15,Paramètres!$A$1:$I$89,3,0)*VLOOKUP('Données projet'!$B$15,Paramètres!$A$1:$I$89,5,0)</f>
        <v>94.301999999999978</v>
      </c>
      <c r="EL62" s="13">
        <f t="shared" si="45"/>
        <v>25.599927492506424</v>
      </c>
      <c r="EM62" s="20">
        <f t="shared" si="19"/>
        <v>208.829190382782</v>
      </c>
      <c r="EN62" s="57">
        <f t="shared" si="20"/>
        <v>469.51859757662476</v>
      </c>
      <c r="EO62" s="57">
        <f ca="1">AVERAGE(OFFSET($EN$3,0,0,'Données projet'!$E$15+1,1))-AVERAGE(OFFSET($H$3,0,0,'Données projet'!$E$15+1,1))</f>
        <v>328.31200866623891</v>
      </c>
      <c r="EP62" s="57">
        <f t="shared" si="46"/>
        <v>195.52650232917446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>
        <f>FE62*VLOOKUP('Données projet'!$B$16,Paramètres!$A$1:$I$89,3,0)*VLOOKUP('Données projet'!$B$16,Paramètres!$A$1:$I$89,5,0)</f>
        <v>0</v>
      </c>
      <c r="FG62" s="13" t="e">
        <f t="shared" si="47"/>
        <v>#NUM!</v>
      </c>
      <c r="FH62" s="20" t="e">
        <f t="shared" si="22"/>
        <v>#NUM!</v>
      </c>
      <c r="FI62" s="57" t="e">
        <f t="shared" si="23"/>
        <v>#NUM!</v>
      </c>
      <c r="FJ62" s="57">
        <f ca="1">AVERAGE(OFFSET($FI$3,0,0,'Données projet'!$E$16+1,1))-AVERAGE(OFFSET($H$3,0,0,'Données projet'!$E$16+1,1))</f>
        <v>142.88219003619457</v>
      </c>
      <c r="FK62" s="57">
        <f t="shared" si="48"/>
        <v>288.69704547625088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27.64489524281317</v>
      </c>
      <c r="FR62" s="21">
        <f>EXP(-LN(2)/25)*FR61+(1-EXP(-LN(2)/25))/(LN(2)/25)*Calculateur!FM62*Calculateur!FO62*VLOOKUP('Données projet'!$B$16,Paramètres!$A$1:$I$89,3,0)*0.475*44/12</f>
        <v>5.5577260174940291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33.202621260307197</v>
      </c>
      <c r="FU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7" t="e">
        <f t="shared" si="26"/>
        <v>#N/A</v>
      </c>
      <c r="GE62" s="57" t="e">
        <f ca="1">AVERAGE(OFFSET($GD$3,0,0,'Données projet'!$E$17+1,1))-AVERAGE(OFFSET($H$3,0,0,'Données projet'!$E$17+1,1))</f>
        <v>#N/A</v>
      </c>
      <c r="GF62" s="57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7" t="e">
        <f t="shared" si="29"/>
        <v>#N/A</v>
      </c>
      <c r="GZ62" s="57" t="e">
        <f ca="1">AVERAGE(OFFSET($GY$3,0,0,'Données projet'!$E$18+1,1))-AVERAGE(OFFSET($H$3,0,0,'Données projet'!$E$18+1,1))</f>
        <v>#N/A</v>
      </c>
      <c r="HA62" s="57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1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5">
        <f t="shared" si="1"/>
        <v>183.33333333333334</v>
      </c>
      <c r="I63" s="6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247.01039999999992</v>
      </c>
      <c r="P63" s="13">
        <f t="shared" si="33"/>
        <v>59.945315462121812</v>
      </c>
      <c r="Q63" s="20">
        <f t="shared" si="53"/>
        <v>534.61453776319524</v>
      </c>
      <c r="R63" s="57">
        <f t="shared" si="0"/>
        <v>795.87024409467267</v>
      </c>
      <c r="S63" s="57">
        <f ca="1">AVERAGE(OFFSET($R$3,0,0,'Données projet'!$E$9+1,1))-AVERAGE(OFFSET($H$3,0,0,'Données projet'!$E$9+1,1))</f>
        <v>539.63700256763173</v>
      </c>
      <c r="T63" s="57">
        <f t="shared" si="34"/>
        <v>297.32483725004136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229.9752</v>
      </c>
      <c r="AK63" s="13">
        <f t="shared" si="35"/>
        <v>56.277319157664316</v>
      </c>
      <c r="AL63" s="20">
        <f t="shared" si="4"/>
        <v>498.55647086626527</v>
      </c>
      <c r="AM63" s="57">
        <f t="shared" si="5"/>
        <v>759.81217719774281</v>
      </c>
      <c r="AN63" s="57">
        <f ca="1">AVERAGE(OFFSET($AM$3,0,0,'Données projet'!$E$10+1,1))-AVERAGE(OFFSET($H$3,0,0,'Données projet'!$E$10+1,1))</f>
        <v>508.21188526136734</v>
      </c>
      <c r="AO63" s="57">
        <f t="shared" si="36"/>
        <v>281.06176764290592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620</v>
      </c>
      <c r="BB63" s="12">
        <f>VLOOKUP(A63,'Données projet'!$A$87:$I$107,9,0)</f>
        <v>19.27888888888889</v>
      </c>
      <c r="BC63" s="12">
        <f t="array" ref="BC63">INDEX(BB:BB,MIN(IF(ISNUMBER(BB63:BB259),ROW(BB63:BB259),"")))</f>
        <v>19.27888888888889</v>
      </c>
      <c r="BD63" s="12">
        <f>IF('Données projet'!$A$88&gt;35,BD62+BC63-BL62,IF(A63&lt;'Données projet'!$A$88,$BA$205^A63,IF(A63='Données projet'!$A$88,'Données projet'!$B$88,BD62+BC63-BL62)))</f>
        <v>619.99999999999977</v>
      </c>
      <c r="BE63" s="13">
        <f>BD63*VLOOKUP('Données projet'!$B$11,Paramètres!$A$1:$I$89,3,0)*VLOOKUP('Données projet'!$B$11,Paramètres!$A$1:$I$89,5,0)</f>
        <v>290.15999999999991</v>
      </c>
      <c r="BF63" s="13">
        <f t="shared" si="37"/>
        <v>69.109634717039938</v>
      </c>
      <c r="BG63" s="20">
        <f t="shared" si="7"/>
        <v>625.72794713217775</v>
      </c>
      <c r="BH63" s="57">
        <f t="shared" si="8"/>
        <v>886.98365346365517</v>
      </c>
      <c r="BI63" s="57">
        <f ca="1">AVERAGE(OFFSET($BH$3,0,0,'Données projet'!$E$11+1,1))-AVERAGE(OFFSET($H$3,0,0,'Données projet'!$E$11+1,1))</f>
        <v>449.50723280509311</v>
      </c>
      <c r="BJ63" s="57">
        <f t="shared" si="38"/>
        <v>281.26353650058275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88.535185185185185</v>
      </c>
      <c r="BM63" s="16">
        <f>IF(ISNA(VLOOKUP(A63,'Données projet'!$A$87:$I$107,5,0)),0%,VLOOKUP(A63,'Données projet'!$A$87:$I$107,5,0)*VLOOKUP('Données projet'!$B$11,Paramètres!$A$1:$I$89,7,0))</f>
        <v>0.38500000000000001</v>
      </c>
      <c r="BN63" s="16">
        <f>IF(ISNA(VLOOKUP(A63,'Données projet'!$A$87:$I$107,6,0)),0%,VLOOKUP(A63,'Données projet'!$A$87:$I$107,6,0)*VLOOKUP('Données projet'!$B$11,Paramètres!$A$1:$I$89,7,0))</f>
        <v>9.240000000000001E-2</v>
      </c>
      <c r="BO63" s="16">
        <f>IF(ISNA(VLOOKUP(A63,'Données projet'!$A$87:$I$107,7,0)),0%,VLOOKUP(A63,'Données projet'!$A$87:$I$107,7,0))</f>
        <v>0.13200000000000001</v>
      </c>
      <c r="BP63" s="21">
        <f>EXP(-LN(2)/35)*BP62+(1-EXP(-LN(2)/35))/(LN(2)/35)*BL63*BM63*VLOOKUP('Données projet'!$B$11,Paramètres!$A$1:$I$89,3,0)*0.475*44/12</f>
        <v>47.859632309435312</v>
      </c>
      <c r="BQ63" s="21">
        <f>EXP(-LN(2)/25)*BQ62+(1-EXP(-LN(2)/25))/(LN(2)/25)*Calculateur!BL63*Calculateur!BN63*VLOOKUP('Données projet'!$B$11,Paramètres!$A$1:$I$89,3,0)*0.475*44/12</f>
        <v>12.643597281800254</v>
      </c>
      <c r="BR63" s="21">
        <f>EXP(-LN(2)/2)*BR62+(1-EXP(-LN(2)/2))/(LN(2)/2)*BL63*BO63*VLOOKUP('Données projet'!$B$11,Paramètres!$A$1:$I$89,3,0)*0.475*44/12</f>
        <v>6.3465860813183914</v>
      </c>
      <c r="BS63" s="22">
        <f t="shared" si="9"/>
        <v>66.849815672553959</v>
      </c>
      <c r="BT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214</v>
      </c>
      <c r="BW63" s="12">
        <f>VLOOKUP(A63,'Données projet'!$A$113:$I$133,9,0)</f>
        <v>7.6</v>
      </c>
      <c r="BX63" s="12">
        <f t="array" ref="BX63">INDEX(BW:BW,MIN(IF(ISNUMBER(BW63:BW259),ROW(BW63:BW259),"")))</f>
        <v>7.6</v>
      </c>
      <c r="BY63" s="12">
        <f>IF('Données projet'!$A$114&gt;35,BY62+BX63-CG62,IF(A63&lt;'Données projet'!$A$114,$BV$205^A63,IF(A63='Données projet'!$A$114,'Données projet'!$B$114,BY62+BX63-CG62)))</f>
        <v>213.99999999999997</v>
      </c>
      <c r="BZ63" s="13">
        <f>BY63*VLOOKUP('Données projet'!$B$12,Paramètres!$A$1:$I$89,3,0)*VLOOKUP('Données projet'!$B$12,Paramètres!$A$1:$I$89,5,0)</f>
        <v>203.64239999999998</v>
      </c>
      <c r="CA63" s="13">
        <f t="shared" si="39"/>
        <v>50.543814227115405</v>
      </c>
      <c r="CB63" s="20">
        <f t="shared" si="10"/>
        <v>442.70765644555928</v>
      </c>
      <c r="CC63" s="57">
        <f t="shared" si="11"/>
        <v>703.96336277703676</v>
      </c>
      <c r="CD63" s="57">
        <f ca="1">AVERAGE(OFFSET($CC$3,0,0,'Données projet'!$E$12+1,1))-AVERAGE(OFFSET($H$3,0,0,'Données projet'!$E$12+1,1))</f>
        <v>479.4551766174892</v>
      </c>
      <c r="CE63" s="57">
        <f t="shared" si="40"/>
        <v>260.29028006191834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666</v>
      </c>
      <c r="CR63" s="12">
        <f>VLOOKUP(A63,'Données projet'!$A$139:$I$159,9,0)</f>
        <v>10.199999999999999</v>
      </c>
      <c r="CS63" s="12">
        <f t="array" ref="CS63">INDEX(CR:CR,MIN(IF(ISNUMBER(CR63:CR259),ROW(CR63:CR259),"")))</f>
        <v>10.199999999999999</v>
      </c>
      <c r="CT63" s="12">
        <f>IF('Données projet'!$A$140&gt;35,CT62+CS63-DB62,IF(A63&lt;'Données projet'!$A$140,$CQ$205^A63,IF(A63='Données projet'!$A$140,'Données projet'!$B$140,CT62+CS63-DB62)))</f>
        <v>665.99999999999977</v>
      </c>
      <c r="CU63" s="17">
        <f>CT63*VLOOKUP('Données projet'!$B$13,Paramètres!$A$1:$I$89,3,0)*VLOOKUP('Données projet'!$B$13,Paramètres!$A$1:$I$89,5,0)</f>
        <v>372.29399999999987</v>
      </c>
      <c r="CV63" s="13">
        <f t="shared" si="41"/>
        <v>86.136449661008839</v>
      </c>
      <c r="CW63" s="20">
        <f t="shared" si="13"/>
        <v>798.43303315959008</v>
      </c>
      <c r="CX63" s="57">
        <f t="shared" si="14"/>
        <v>1059.6887394910675</v>
      </c>
      <c r="CY63" s="57">
        <f ca="1">AVERAGE(OFFSET($CX$3,0,0,'Données projet'!$E$13+1,1))-AVERAGE(OFFSET($H$3,0,0,'Données projet'!$E$13+1,1))</f>
        <v>459.83870442974046</v>
      </c>
      <c r="CZ63" s="57">
        <f t="shared" si="42"/>
        <v>565.68976940602215</v>
      </c>
      <c r="DA63" s="15" t="str">
        <f>IF(ISNA(VLOOKUP(A63,'Données projet'!$A$139:$I$159,3,0)),0,VLOOKUP(A63,'Données projet'!$A$139:$I$159,3,0))</f>
        <v>CR</v>
      </c>
      <c r="DB63" s="15">
        <f>IF(ISNA(VLOOKUP(A63,'Données projet'!$A$139:$I$159,4,0)),0,VLOOKUP(A63,'Données projet'!$A$139:$I$159,4,0))</f>
        <v>666</v>
      </c>
      <c r="DC63" s="16">
        <f>IF(ISNA(VLOOKUP(A63,'Données projet'!$A$139:$I$159,5,0)),0%,VLOOKUP(A63,'Données projet'!$A$139:$I$159,5,0)*VLOOKUP('Données projet'!$B$13,Paramètres!$A$1:$I$89,7,0))</f>
        <v>0.38500000000000001</v>
      </c>
      <c r="DD63" s="16">
        <f>IF(ISNA(VLOOKUP(A63,'Données projet'!$A$139:$I$159,6,0)),0%,VLOOKUP(A63,'Données projet'!$A$139:$I$159,6,0)*VLOOKUP('Données projet'!$B$13,Paramètres!$A$1:$I$89,7,0))</f>
        <v>9.240000000000001E-2</v>
      </c>
      <c r="DE63" s="16">
        <f>IF(ISNA(VLOOKUP(A63,'Données projet'!$A$139:$I$159,7,0)),0%,VLOOKUP(A63,'Données projet'!$A$139:$I$159,7,0))</f>
        <v>0.13200000000000001</v>
      </c>
      <c r="DF63" s="21">
        <f>EXP(-LN(2)/35)*DF62+(1-EXP(-LN(2)/35))/(LN(2)/35)*DB63*DC63*VLOOKUP('Données projet'!$B$13,Paramètres!$A$1:$I$89,3,0)*0.475*44/12</f>
        <v>258.78352084525125</v>
      </c>
      <c r="DG63" s="21">
        <f>EXP(-LN(2)/25)*DG62+(1-EXP(-LN(2)/25))/(LN(2)/25)*Calculateur!DB63*Calculateur!DD63*VLOOKUP('Données projet'!$B$13,Paramètres!$A$1:$I$89,3,0)*0.475*44/12</f>
        <v>64.424386178036201</v>
      </c>
      <c r="DH63" s="21">
        <f>EXP(-LN(2)/2)*DH62+(1-EXP(-LN(2)/2))/(LN(2)/2)*DB63*DE63*VLOOKUP('Données projet'!$B$13,Paramètres!$A$1:$I$89,3,0)*0.475*44/12</f>
        <v>56.320850395309243</v>
      </c>
      <c r="DI63" s="22">
        <f t="shared" si="15"/>
        <v>379.52875741859674</v>
      </c>
      <c r="DJ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7" t="e">
        <f t="shared" si="17"/>
        <v>#NUM!</v>
      </c>
      <c r="DT63" s="57">
        <f ca="1">AVERAGE(OFFSET($DS$3,0,0,'Données projet'!$E$14+1,1))-AVERAGE(OFFSET($H$3,0,0,'Données projet'!$E$14+1,1))</f>
        <v>315.23504986325418</v>
      </c>
      <c r="DU63" s="57">
        <f t="shared" si="44"/>
        <v>350.52837099886688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140.62668726866318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140.62668726866318</v>
      </c>
      <c r="EE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5.2999999999999989</v>
      </c>
      <c r="EJ63" s="12">
        <f>IF('Données projet'!$A$192&gt;35,EJ62+EI63-ER62,IF(A63&lt;'Données projet'!$A$192,$EG$205^A63,IF(A63='Données projet'!$A$192,'Données projet'!$B$192,EJ62+EI63-ER62)))</f>
        <v>102.79999999999997</v>
      </c>
      <c r="EK63" s="17">
        <f>EJ63*VLOOKUP('Données projet'!$B$15,Paramètres!$A$1:$I$89,3,0)*VLOOKUP('Données projet'!$B$15,Paramètres!$A$1:$I$89,5,0)</f>
        <v>99.428159999999977</v>
      </c>
      <c r="EL63" s="13">
        <f t="shared" si="45"/>
        <v>26.825719117232499</v>
      </c>
      <c r="EM63" s="20">
        <f t="shared" si="19"/>
        <v>219.89217279584656</v>
      </c>
      <c r="EN63" s="57">
        <f t="shared" si="20"/>
        <v>481.14787912732402</v>
      </c>
      <c r="EO63" s="57">
        <f ca="1">AVERAGE(OFFSET($EN$3,0,0,'Données projet'!$E$15+1,1))-AVERAGE(OFFSET($H$3,0,0,'Données projet'!$E$15+1,1))</f>
        <v>328.31200866623891</v>
      </c>
      <c r="EP63" s="57">
        <f t="shared" si="46"/>
        <v>195.52650232917446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>
        <f>FE63*VLOOKUP('Données projet'!$B$16,Paramètres!$A$1:$I$89,3,0)*VLOOKUP('Données projet'!$B$16,Paramètres!$A$1:$I$89,5,0)</f>
        <v>0</v>
      </c>
      <c r="FG63" s="13" t="e">
        <f t="shared" si="47"/>
        <v>#NUM!</v>
      </c>
      <c r="FH63" s="20" t="e">
        <f t="shared" si="22"/>
        <v>#NUM!</v>
      </c>
      <c r="FI63" s="57" t="e">
        <f t="shared" si="23"/>
        <v>#NUM!</v>
      </c>
      <c r="FJ63" s="57">
        <f ca="1">AVERAGE(OFFSET($FI$3,0,0,'Données projet'!$E$16+1,1))-AVERAGE(OFFSET($H$3,0,0,'Données projet'!$E$16+1,1))</f>
        <v>142.88219003619457</v>
      </c>
      <c r="FK63" s="57">
        <f t="shared" si="48"/>
        <v>288.69704547625088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27.102795708822747</v>
      </c>
      <c r="FR63" s="21">
        <f>EXP(-LN(2)/25)*FR62+(1-EXP(-LN(2)/25))/(LN(2)/25)*Calculateur!FM63*Calculateur!FO63*VLOOKUP('Données projet'!$B$16,Paramètres!$A$1:$I$89,3,0)*0.475*44/12</f>
        <v>5.405749707277546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32.50854541610029</v>
      </c>
      <c r="FU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7" t="e">
        <f t="shared" si="26"/>
        <v>#N/A</v>
      </c>
      <c r="GE63" s="57" t="e">
        <f ca="1">AVERAGE(OFFSET($GD$3,0,0,'Données projet'!$E$17+1,1))-AVERAGE(OFFSET($H$3,0,0,'Données projet'!$E$17+1,1))</f>
        <v>#N/A</v>
      </c>
      <c r="GF63" s="57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7" t="e">
        <f t="shared" si="29"/>
        <v>#N/A</v>
      </c>
      <c r="GZ63" s="57" t="e">
        <f ca="1">AVERAGE(OFFSET($GY$3,0,0,'Données projet'!$E$18+1,1))-AVERAGE(OFFSET($H$3,0,0,'Données projet'!$E$18+1,1))</f>
        <v>#N/A</v>
      </c>
      <c r="HA63" s="57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1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5">
        <f t="shared" si="1"/>
        <v>183.33333333333334</v>
      </c>
      <c r="I64" s="6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229.63823999999994</v>
      </c>
      <c r="P64" s="13">
        <f t="shared" si="33"/>
        <v>56.204453396569633</v>
      </c>
      <c r="Q64" s="20">
        <f t="shared" si="53"/>
        <v>497.84269099902531</v>
      </c>
      <c r="R64" s="57">
        <f t="shared" si="0"/>
        <v>759.65487244415465</v>
      </c>
      <c r="S64" s="57">
        <f ca="1">AVERAGE(OFFSET($R$3,0,0,'Données projet'!$E$9+1,1))-AVERAGE(OFFSET($H$3,0,0,'Données projet'!$E$9+1,1))</f>
        <v>539.63700256763173</v>
      </c>
      <c r="T64" s="57">
        <f t="shared" si="34"/>
        <v>297.32483725004136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213.80112</v>
      </c>
      <c r="AK64" s="13">
        <f t="shared" si="35"/>
        <v>52.765356850602878</v>
      </c>
      <c r="AL64" s="20">
        <f t="shared" si="4"/>
        <v>464.2699471814667</v>
      </c>
      <c r="AM64" s="57">
        <f t="shared" si="5"/>
        <v>726.08212862659605</v>
      </c>
      <c r="AN64" s="57">
        <f ca="1">AVERAGE(OFFSET($AM$3,0,0,'Données projet'!$E$10+1,1))-AVERAGE(OFFSET($H$3,0,0,'Données projet'!$E$10+1,1))</f>
        <v>508.21188526136734</v>
      </c>
      <c r="AO64" s="57">
        <f t="shared" si="36"/>
        <v>281.06176764290592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14.853518518518513</v>
      </c>
      <c r="BD64" s="12">
        <f>IF('Données projet'!$A$88&gt;35,BD63+BC64-BL63,IF(A64&lt;'Données projet'!$A$88,$BA$205^A64,IF(A64='Données projet'!$A$88,'Données projet'!$B$88,BD63+BC64-BL63)))</f>
        <v>546.31833333333316</v>
      </c>
      <c r="BE64" s="13">
        <f>BD64*VLOOKUP('Données projet'!$B$11,Paramètres!$A$1:$I$89,3,0)*VLOOKUP('Données projet'!$B$11,Paramètres!$A$1:$I$89,5,0)</f>
        <v>255.67697999999993</v>
      </c>
      <c r="BF64" s="13">
        <f t="shared" si="37"/>
        <v>61.799987501807287</v>
      </c>
      <c r="BG64" s="20">
        <f t="shared" si="7"/>
        <v>552.93905173231428</v>
      </c>
      <c r="BH64" s="57">
        <f t="shared" si="8"/>
        <v>814.75123317744362</v>
      </c>
      <c r="BI64" s="57">
        <f ca="1">AVERAGE(OFFSET($BH$3,0,0,'Données projet'!$E$11+1,1))-AVERAGE(OFFSET($H$3,0,0,'Données projet'!$E$11+1,1))</f>
        <v>449.50723280509311</v>
      </c>
      <c r="BJ64" s="57">
        <f t="shared" si="38"/>
        <v>281.26353650058275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46.921134111340571</v>
      </c>
      <c r="BQ64" s="21">
        <f>EXP(-LN(2)/25)*BQ63+(1-EXP(-LN(2)/25))/(LN(2)/25)*Calculateur!BL64*Calculateur!BN64*VLOOKUP('Données projet'!$B$11,Paramètres!$A$1:$I$89,3,0)*0.475*44/12</f>
        <v>12.297857449231543</v>
      </c>
      <c r="BR64" s="21">
        <f>EXP(-LN(2)/2)*BR63+(1-EXP(-LN(2)/2))/(LN(2)/2)*BL64*BO64*VLOOKUP('Données projet'!$B$11,Paramètres!$A$1:$I$89,3,0)*0.475*44/12</f>
        <v>4.4877140554843926</v>
      </c>
      <c r="BS64" s="22">
        <f t="shared" si="9"/>
        <v>63.70670561605651</v>
      </c>
      <c r="BT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7.2</v>
      </c>
      <c r="BY64" s="12">
        <f>IF('Données projet'!$A$114&gt;35,BY63+BX64-CG63,IF(A64&lt;'Données projet'!$A$114,$BV$205^A64,IF(A64='Données projet'!$A$114,'Données projet'!$B$114,BY63+BX64-CG63)))</f>
        <v>200.19999999999996</v>
      </c>
      <c r="BZ64" s="13">
        <f>BY64*VLOOKUP('Données projet'!$B$12,Paramètres!$A$1:$I$89,3,0)*VLOOKUP('Données projet'!$B$12,Paramètres!$A$1:$I$89,5,0)</f>
        <v>190.51031999999995</v>
      </c>
      <c r="CA64" s="13">
        <f t="shared" si="39"/>
        <v>47.652759738576151</v>
      </c>
      <c r="CB64" s="20">
        <f t="shared" si="10"/>
        <v>414.80069721135334</v>
      </c>
      <c r="CC64" s="57">
        <f t="shared" si="11"/>
        <v>676.61287865648274</v>
      </c>
      <c r="CD64" s="57">
        <f ca="1">AVERAGE(OFFSET($CC$3,0,0,'Données projet'!$E$12+1,1))-AVERAGE(OFFSET($H$3,0,0,'Données projet'!$E$12+1,1))</f>
        <v>479.4551766174892</v>
      </c>
      <c r="CE64" s="57">
        <f t="shared" si="40"/>
        <v>260.29028006191834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-2.2737367544323206E-13</v>
      </c>
      <c r="CU64" s="17">
        <f>CT64*VLOOKUP('Données projet'!$B$13,Paramètres!$A$1:$I$89,3,0)*VLOOKUP('Données projet'!$B$13,Paramètres!$A$1:$I$89,5,0)</f>
        <v>-1.2710188457276673E-13</v>
      </c>
      <c r="CV64" s="13" t="e">
        <f t="shared" si="41"/>
        <v>#NUM!</v>
      </c>
      <c r="CW64" s="20" t="e">
        <f t="shared" si="13"/>
        <v>#NUM!</v>
      </c>
      <c r="CX64" s="57" t="e">
        <f t="shared" si="14"/>
        <v>#NUM!</v>
      </c>
      <c r="CY64" s="57">
        <f ca="1">AVERAGE(OFFSET($CX$3,0,0,'Données projet'!$E$13+1,1))-AVERAGE(OFFSET($H$3,0,0,'Données projet'!$E$13+1,1))</f>
        <v>459.83870442974046</v>
      </c>
      <c r="CZ64" s="57">
        <f t="shared" si="42"/>
        <v>565.68976940602215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253.70893384383794</v>
      </c>
      <c r="DG64" s="21">
        <f>EXP(-LN(2)/25)*DG63+(1-EXP(-LN(2)/25))/(LN(2)/25)*Calculateur!DB64*Calculateur!DD64*VLOOKUP('Données projet'!$B$13,Paramètres!$A$1:$I$89,3,0)*0.475*44/12</f>
        <v>62.662697950066573</v>
      </c>
      <c r="DH64" s="21">
        <f>EXP(-LN(2)/2)*DH63+(1-EXP(-LN(2)/2))/(LN(2)/2)*DB64*DE64*VLOOKUP('Données projet'!$B$13,Paramètres!$A$1:$I$89,3,0)*0.475*44/12</f>
        <v>39.824855236716218</v>
      </c>
      <c r="DI64" s="22">
        <f t="shared" si="15"/>
        <v>356.19648703062069</v>
      </c>
      <c r="DJ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7" t="e">
        <f t="shared" si="17"/>
        <v>#NUM!</v>
      </c>
      <c r="DT64" s="57">
        <f ca="1">AVERAGE(OFFSET($DS$3,0,0,'Données projet'!$E$14+1,1))-AVERAGE(OFFSET($H$3,0,0,'Données projet'!$E$14+1,1))</f>
        <v>315.23504986325418</v>
      </c>
      <c r="DU64" s="57">
        <f t="shared" si="44"/>
        <v>350.52837099886688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137.86908370513447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137.86908370513447</v>
      </c>
      <c r="EE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5.2999999999999989</v>
      </c>
      <c r="EJ64" s="12">
        <f>IF('Données projet'!$A$192&gt;35,EJ63+EI64-ER63,IF(A64&lt;'Données projet'!$A$192,$EG$205^A64,IF(A64='Données projet'!$A$192,'Données projet'!$B$192,EJ63+EI64-ER63)))</f>
        <v>108.09999999999997</v>
      </c>
      <c r="EK64" s="17">
        <f>EJ64*VLOOKUP('Données projet'!$B$15,Paramètres!$A$1:$I$89,3,0)*VLOOKUP('Données projet'!$B$15,Paramètres!$A$1:$I$89,5,0)</f>
        <v>104.55431999999996</v>
      </c>
      <c r="EL64" s="13">
        <f t="shared" si="45"/>
        <v>28.044173158356262</v>
      </c>
      <c r="EM64" s="20">
        <f t="shared" si="19"/>
        <v>230.94237558413712</v>
      </c>
      <c r="EN64" s="57">
        <f t="shared" si="20"/>
        <v>492.75455702926649</v>
      </c>
      <c r="EO64" s="57">
        <f ca="1">AVERAGE(OFFSET($EN$3,0,0,'Données projet'!$E$15+1,1))-AVERAGE(OFFSET($H$3,0,0,'Données projet'!$E$15+1,1))</f>
        <v>328.31200866623891</v>
      </c>
      <c r="EP64" s="57">
        <f t="shared" si="46"/>
        <v>195.52650232917446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>
        <f>FE64*VLOOKUP('Données projet'!$B$16,Paramètres!$A$1:$I$89,3,0)*VLOOKUP('Données projet'!$B$16,Paramètres!$A$1:$I$89,5,0)</f>
        <v>0</v>
      </c>
      <c r="FG64" s="13" t="e">
        <f t="shared" si="47"/>
        <v>#NUM!</v>
      </c>
      <c r="FH64" s="20" t="e">
        <f t="shared" si="22"/>
        <v>#NUM!</v>
      </c>
      <c r="FI64" s="57" t="e">
        <f t="shared" si="23"/>
        <v>#NUM!</v>
      </c>
      <c r="FJ64" s="57">
        <f ca="1">AVERAGE(OFFSET($FI$3,0,0,'Données projet'!$E$16+1,1))-AVERAGE(OFFSET($H$3,0,0,'Données projet'!$E$16+1,1))</f>
        <v>142.88219003619457</v>
      </c>
      <c r="FK64" s="57">
        <f t="shared" si="48"/>
        <v>288.69704547625088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26.571326416045807</v>
      </c>
      <c r="FR64" s="21">
        <f>EXP(-LN(2)/25)*FR63+(1-EXP(-LN(2)/25))/(LN(2)/25)*Calculateur!FM64*Calculateur!FO64*VLOOKUP('Données projet'!$B$16,Paramètres!$A$1:$I$89,3,0)*0.475*44/12</f>
        <v>5.2579291972560194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31.829255613301825</v>
      </c>
      <c r="FU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7" t="e">
        <f t="shared" si="26"/>
        <v>#N/A</v>
      </c>
      <c r="GE64" s="57" t="e">
        <f ca="1">AVERAGE(OFFSET($GD$3,0,0,'Données projet'!$E$17+1,1))-AVERAGE(OFFSET($H$3,0,0,'Données projet'!$E$17+1,1))</f>
        <v>#N/A</v>
      </c>
      <c r="GF64" s="57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7" t="e">
        <f t="shared" si="29"/>
        <v>#N/A</v>
      </c>
      <c r="GZ64" s="57" t="e">
        <f ca="1">AVERAGE(OFFSET($GY$3,0,0,'Données projet'!$E$18+1,1))-AVERAGE(OFFSET($H$3,0,0,'Données projet'!$E$18+1,1))</f>
        <v>#N/A</v>
      </c>
      <c r="HA64" s="57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1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5">
        <f t="shared" si="1"/>
        <v>183.33333333333334</v>
      </c>
      <c r="I65" s="6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237.60047999999995</v>
      </c>
      <c r="P65" s="13">
        <f t="shared" si="33"/>
        <v>57.922960533442058</v>
      </c>
      <c r="Q65" s="20">
        <f t="shared" si="53"/>
        <v>514.70332559574479</v>
      </c>
      <c r="R65" s="57">
        <f t="shared" si="0"/>
        <v>777.06232855539611</v>
      </c>
      <c r="S65" s="57">
        <f ca="1">AVERAGE(OFFSET($R$3,0,0,'Données projet'!$E$9+1,1))-AVERAGE(OFFSET($H$3,0,0,'Données projet'!$E$9+1,1))</f>
        <v>539.63700256763173</v>
      </c>
      <c r="T65" s="57">
        <f t="shared" si="34"/>
        <v>297.32483725004136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221.21424000000002</v>
      </c>
      <c r="AK65" s="13">
        <f t="shared" si="35"/>
        <v>54.378710185570377</v>
      </c>
      <c r="AL65" s="20">
        <f t="shared" si="4"/>
        <v>479.99105490653511</v>
      </c>
      <c r="AM65" s="57">
        <f t="shared" si="5"/>
        <v>742.35005786618649</v>
      </c>
      <c r="AN65" s="57">
        <f ca="1">AVERAGE(OFFSET($AM$3,0,0,'Données projet'!$E$10+1,1))-AVERAGE(OFFSET($H$3,0,0,'Données projet'!$E$10+1,1))</f>
        <v>508.21188526136734</v>
      </c>
      <c r="AO65" s="57">
        <f t="shared" si="36"/>
        <v>281.06176764290592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14.853518518518513</v>
      </c>
      <c r="BD65" s="12">
        <f>IF('Données projet'!$A$88&gt;35,BD64+BC65-BL64,IF(A65&lt;'Données projet'!$A$88,$BA$205^A65,IF(A65='Données projet'!$A$88,'Données projet'!$B$88,BD64+BC65-BL64)))</f>
        <v>561.17185185185167</v>
      </c>
      <c r="BE65" s="13">
        <f>BD65*VLOOKUP('Données projet'!$B$11,Paramètres!$A$1:$I$89,3,0)*VLOOKUP('Données projet'!$B$11,Paramètres!$A$1:$I$89,5,0)</f>
        <v>262.6284266666666</v>
      </c>
      <c r="BF65" s="13">
        <f t="shared" si="37"/>
        <v>63.28232389309921</v>
      </c>
      <c r="BG65" s="20">
        <f t="shared" si="7"/>
        <v>567.62789055825874</v>
      </c>
      <c r="BH65" s="57">
        <f t="shared" si="8"/>
        <v>829.98689351791006</v>
      </c>
      <c r="BI65" s="57">
        <f ca="1">AVERAGE(OFFSET($BH$3,0,0,'Données projet'!$E$11+1,1))-AVERAGE(OFFSET($H$3,0,0,'Données projet'!$E$11+1,1))</f>
        <v>449.50723280509311</v>
      </c>
      <c r="BJ65" s="57">
        <f t="shared" si="38"/>
        <v>281.26353650058275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46.001039290483092</v>
      </c>
      <c r="BQ65" s="21">
        <f>EXP(-LN(2)/25)*BQ64+(1-EXP(-LN(2)/25))/(LN(2)/25)*Calculateur!BL65*Calculateur!BN65*VLOOKUP('Données projet'!$B$11,Paramètres!$A$1:$I$89,3,0)*0.475*44/12</f>
        <v>11.961571890566091</v>
      </c>
      <c r="BR65" s="21">
        <f>EXP(-LN(2)/2)*BR64+(1-EXP(-LN(2)/2))/(LN(2)/2)*BL65*BO65*VLOOKUP('Données projet'!$B$11,Paramètres!$A$1:$I$89,3,0)*0.475*44/12</f>
        <v>3.1732930406591966</v>
      </c>
      <c r="BS65" s="22">
        <f t="shared" si="9"/>
        <v>61.13590422170838</v>
      </c>
      <c r="BT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7.2</v>
      </c>
      <c r="BY65" s="12">
        <f>IF('Données projet'!$A$114&gt;35,BY64+BX65-CG64,IF(A65&lt;'Données projet'!$A$114,$BV$205^A65,IF(A65='Données projet'!$A$114,'Données projet'!$B$114,BY64+BX65-CG64)))</f>
        <v>207.39999999999995</v>
      </c>
      <c r="BZ65" s="13">
        <f>BY65*VLOOKUP('Données projet'!$B$12,Paramètres!$A$1:$I$89,3,0)*VLOOKUP('Données projet'!$B$12,Paramètres!$A$1:$I$89,5,0)</f>
        <v>197.36183999999994</v>
      </c>
      <c r="CA65" s="13">
        <f t="shared" si="39"/>
        <v>49.163932700585988</v>
      </c>
      <c r="CB65" s="20">
        <f t="shared" si="10"/>
        <v>429.36572078685384</v>
      </c>
      <c r="CC65" s="57">
        <f t="shared" si="11"/>
        <v>691.72472374650511</v>
      </c>
      <c r="CD65" s="57">
        <f ca="1">AVERAGE(OFFSET($CC$3,0,0,'Données projet'!$E$12+1,1))-AVERAGE(OFFSET($H$3,0,0,'Données projet'!$E$12+1,1))</f>
        <v>479.4551766174892</v>
      </c>
      <c r="CE65" s="57">
        <f t="shared" si="40"/>
        <v>260.29028006191834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-2.2737367544323206E-13</v>
      </c>
      <c r="CU65" s="17">
        <f>CT65*VLOOKUP('Données projet'!$B$13,Paramètres!$A$1:$I$89,3,0)*VLOOKUP('Données projet'!$B$13,Paramètres!$A$1:$I$89,5,0)</f>
        <v>-1.2710188457276673E-13</v>
      </c>
      <c r="CV65" s="13" t="e">
        <f t="shared" si="41"/>
        <v>#NUM!</v>
      </c>
      <c r="CW65" s="20" t="e">
        <f t="shared" si="13"/>
        <v>#NUM!</v>
      </c>
      <c r="CX65" s="57" t="e">
        <f t="shared" si="14"/>
        <v>#NUM!</v>
      </c>
      <c r="CY65" s="57">
        <f ca="1">AVERAGE(OFFSET($CX$3,0,0,'Données projet'!$E$13+1,1))-AVERAGE(OFFSET($H$3,0,0,'Données projet'!$E$13+1,1))</f>
        <v>459.83870442974046</v>
      </c>
      <c r="CZ65" s="57">
        <f t="shared" si="42"/>
        <v>565.68976940602215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248.73385639832992</v>
      </c>
      <c r="DG65" s="21">
        <f>EXP(-LN(2)/25)*DG64+(1-EXP(-LN(2)/25))/(LN(2)/25)*Calculateur!DB65*Calculateur!DD65*VLOOKUP('Données projet'!$B$13,Paramètres!$A$1:$I$89,3,0)*0.475*44/12</f>
        <v>60.949183179333936</v>
      </c>
      <c r="DH65" s="21">
        <f>EXP(-LN(2)/2)*DH64+(1-EXP(-LN(2)/2))/(LN(2)/2)*DB65*DE65*VLOOKUP('Données projet'!$B$13,Paramètres!$A$1:$I$89,3,0)*0.475*44/12</f>
        <v>28.160425197654629</v>
      </c>
      <c r="DI65" s="22">
        <f t="shared" si="15"/>
        <v>337.84346477531847</v>
      </c>
      <c r="DJ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7" t="e">
        <f t="shared" si="17"/>
        <v>#NUM!</v>
      </c>
      <c r="DT65" s="57">
        <f ca="1">AVERAGE(OFFSET($DS$3,0,0,'Données projet'!$E$14+1,1))-AVERAGE(OFFSET($H$3,0,0,'Données projet'!$E$14+1,1))</f>
        <v>315.23504986325418</v>
      </c>
      <c r="DU65" s="57">
        <f t="shared" si="44"/>
        <v>350.52837099886688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135.16555506551447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135.16555506551447</v>
      </c>
      <c r="EE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5.2999999999999989</v>
      </c>
      <c r="EJ65" s="12">
        <f>IF('Données projet'!$A$192&gt;35,EJ64+EI65-ER64,IF(A65&lt;'Données projet'!$A$192,$EG$205^A65,IF(A65='Données projet'!$A$192,'Données projet'!$B$192,EJ64+EI65-ER64)))</f>
        <v>113.39999999999996</v>
      </c>
      <c r="EK65" s="17">
        <f>EJ65*VLOOKUP('Données projet'!$B$15,Paramètres!$A$1:$I$89,3,0)*VLOOKUP('Données projet'!$B$15,Paramètres!$A$1:$I$89,5,0)</f>
        <v>109.68047999999997</v>
      </c>
      <c r="EL65" s="13">
        <f t="shared" si="45"/>
        <v>29.255690427909634</v>
      </c>
      <c r="EM65" s="20">
        <f t="shared" si="19"/>
        <v>241.98049682860923</v>
      </c>
      <c r="EN65" s="57">
        <f t="shared" si="20"/>
        <v>504.33949978826058</v>
      </c>
      <c r="EO65" s="57">
        <f ca="1">AVERAGE(OFFSET($EN$3,0,0,'Données projet'!$E$15+1,1))-AVERAGE(OFFSET($H$3,0,0,'Données projet'!$E$15+1,1))</f>
        <v>328.31200866623891</v>
      </c>
      <c r="EP65" s="57">
        <f t="shared" si="46"/>
        <v>195.52650232917446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>
        <f>FE65*VLOOKUP('Données projet'!$B$16,Paramètres!$A$1:$I$89,3,0)*VLOOKUP('Données projet'!$B$16,Paramètres!$A$1:$I$89,5,0)</f>
        <v>0</v>
      </c>
      <c r="FG65" s="13" t="e">
        <f t="shared" si="47"/>
        <v>#NUM!</v>
      </c>
      <c r="FH65" s="20" t="e">
        <f t="shared" si="22"/>
        <v>#NUM!</v>
      </c>
      <c r="FI65" s="57" t="e">
        <f t="shared" si="23"/>
        <v>#NUM!</v>
      </c>
      <c r="FJ65" s="57">
        <f ca="1">AVERAGE(OFFSET($FI$3,0,0,'Données projet'!$E$16+1,1))-AVERAGE(OFFSET($H$3,0,0,'Données projet'!$E$16+1,1))</f>
        <v>142.88219003619457</v>
      </c>
      <c r="FK65" s="57">
        <f t="shared" si="48"/>
        <v>288.69704547625088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26.050278911935962</v>
      </c>
      <c r="FR65" s="21">
        <f>EXP(-LN(2)/25)*FR64+(1-EXP(-LN(2)/25))/(LN(2)/25)*Calculateur!FM65*Calculateur!FO65*VLOOKUP('Données projet'!$B$16,Paramètres!$A$1:$I$89,3,0)*0.475*44/12</f>
        <v>5.1141508468545744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31.164429758790536</v>
      </c>
      <c r="FU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7" t="e">
        <f t="shared" si="26"/>
        <v>#N/A</v>
      </c>
      <c r="GE65" s="57" t="e">
        <f ca="1">AVERAGE(OFFSET($GD$3,0,0,'Données projet'!$E$17+1,1))-AVERAGE(OFFSET($H$3,0,0,'Données projet'!$E$17+1,1))</f>
        <v>#N/A</v>
      </c>
      <c r="GF65" s="57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7" t="e">
        <f t="shared" si="29"/>
        <v>#N/A</v>
      </c>
      <c r="GZ65" s="57" t="e">
        <f ca="1">AVERAGE(OFFSET($GY$3,0,0,'Données projet'!$E$18+1,1))-AVERAGE(OFFSET($H$3,0,0,'Données projet'!$E$18+1,1))</f>
        <v>#N/A</v>
      </c>
      <c r="HA65" s="57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1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5">
        <f t="shared" si="1"/>
        <v>183.33333333333334</v>
      </c>
      <c r="I66" s="6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245.56271999999998</v>
      </c>
      <c r="P66" s="13">
        <f t="shared" si="33"/>
        <v>59.634776048276898</v>
      </c>
      <c r="Q66" s="20">
        <f t="shared" si="53"/>
        <v>531.55230561741564</v>
      </c>
      <c r="R66" s="57">
        <f t="shared" si="0"/>
        <v>794.44864396082176</v>
      </c>
      <c r="S66" s="57">
        <f ca="1">AVERAGE(OFFSET($R$3,0,0,'Données projet'!$E$9+1,1))-AVERAGE(OFFSET($H$3,0,0,'Données projet'!$E$9+1,1))</f>
        <v>539.63700256763173</v>
      </c>
      <c r="T66" s="57">
        <f t="shared" si="34"/>
        <v>297.32483725004136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228.62735999999998</v>
      </c>
      <c r="AK66" s="13">
        <f t="shared" si="35"/>
        <v>55.985781352428695</v>
      </c>
      <c r="AL66" s="20">
        <f t="shared" si="4"/>
        <v>495.70122118881324</v>
      </c>
      <c r="AM66" s="57">
        <f t="shared" si="5"/>
        <v>758.59755953221929</v>
      </c>
      <c r="AN66" s="57">
        <f ca="1">AVERAGE(OFFSET($AM$3,0,0,'Données projet'!$E$10+1,1))-AVERAGE(OFFSET($H$3,0,0,'Données projet'!$E$10+1,1))</f>
        <v>508.21188526136734</v>
      </c>
      <c r="AO66" s="57">
        <f t="shared" si="36"/>
        <v>281.06176764290592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14.853518518518513</v>
      </c>
      <c r="BD66" s="12">
        <f>IF('Données projet'!$A$88&gt;35,BD65+BC66-BL65,IF(A66&lt;'Données projet'!$A$88,$BA$205^A66,IF(A66='Données projet'!$A$88,'Données projet'!$B$88,BD65+BC66-BL65)))</f>
        <v>576.02537037037018</v>
      </c>
      <c r="BE66" s="13">
        <f>BD66*VLOOKUP('Données projet'!$B$11,Paramètres!$A$1:$I$89,3,0)*VLOOKUP('Données projet'!$B$11,Paramètres!$A$1:$I$89,5,0)</f>
        <v>269.57987333333324</v>
      </c>
      <c r="BF66" s="13">
        <f t="shared" si="37"/>
        <v>64.760099726686519</v>
      </c>
      <c r="BG66" s="20">
        <f t="shared" si="7"/>
        <v>582.30878641286779</v>
      </c>
      <c r="BH66" s="57">
        <f t="shared" si="8"/>
        <v>845.2051247562739</v>
      </c>
      <c r="BI66" s="57">
        <f ca="1">AVERAGE(OFFSET($BH$3,0,0,'Données projet'!$E$11+1,1))-AVERAGE(OFFSET($H$3,0,0,'Données projet'!$E$11+1,1))</f>
        <v>449.50723280509311</v>
      </c>
      <c r="BJ66" s="57">
        <f t="shared" si="38"/>
        <v>281.26353650058275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45.098986967860199</v>
      </c>
      <c r="BQ66" s="21">
        <f>EXP(-LN(2)/25)*BQ65+(1-EXP(-LN(2)/25))/(LN(2)/25)*Calculateur!BL66*Calculateur!BN66*VLOOKUP('Données projet'!$B$11,Paramètres!$A$1:$I$89,3,0)*0.475*44/12</f>
        <v>11.634482078186835</v>
      </c>
      <c r="BR66" s="21">
        <f>EXP(-LN(2)/2)*BR65+(1-EXP(-LN(2)/2))/(LN(2)/2)*BL66*BO66*VLOOKUP('Données projet'!$B$11,Paramètres!$A$1:$I$89,3,0)*0.475*44/12</f>
        <v>2.2438570277421968</v>
      </c>
      <c r="BS66" s="22">
        <f t="shared" si="9"/>
        <v>58.977326073789229</v>
      </c>
      <c r="BT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7.2</v>
      </c>
      <c r="BY66" s="12">
        <f>IF('Données projet'!$A$114&gt;35,BY65+BX66-CG65,IF(A66&lt;'Données projet'!$A$114,$BV$205^A66,IF(A66='Données projet'!$A$114,'Données projet'!$B$114,BY65+BX66-CG65)))</f>
        <v>214.59999999999994</v>
      </c>
      <c r="BZ66" s="13">
        <f>BY66*VLOOKUP('Données projet'!$B$12,Paramètres!$A$1:$I$89,3,0)*VLOOKUP('Données projet'!$B$12,Paramètres!$A$1:$I$89,5,0)</f>
        <v>204.21335999999994</v>
      </c>
      <c r="CA66" s="13">
        <f t="shared" si="39"/>
        <v>50.669010210991836</v>
      </c>
      <c r="CB66" s="20">
        <f t="shared" si="10"/>
        <v>443.9201281174773</v>
      </c>
      <c r="CC66" s="57">
        <f t="shared" si="11"/>
        <v>706.81646646088348</v>
      </c>
      <c r="CD66" s="57">
        <f ca="1">AVERAGE(OFFSET($CC$3,0,0,'Données projet'!$E$12+1,1))-AVERAGE(OFFSET($H$3,0,0,'Données projet'!$E$12+1,1))</f>
        <v>479.4551766174892</v>
      </c>
      <c r="CE66" s="57">
        <f t="shared" si="40"/>
        <v>260.29028006191834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-2.2737367544323206E-13</v>
      </c>
      <c r="CU66" s="17">
        <f>CT66*VLOOKUP('Données projet'!$B$13,Paramètres!$A$1:$I$89,3,0)*VLOOKUP('Données projet'!$B$13,Paramètres!$A$1:$I$89,5,0)</f>
        <v>-1.2710188457276673E-13</v>
      </c>
      <c r="CV66" s="13" t="e">
        <f t="shared" si="41"/>
        <v>#NUM!</v>
      </c>
      <c r="CW66" s="20" t="e">
        <f t="shared" si="13"/>
        <v>#NUM!</v>
      </c>
      <c r="CX66" s="57" t="e">
        <f t="shared" si="14"/>
        <v>#NUM!</v>
      </c>
      <c r="CY66" s="57">
        <f ca="1">AVERAGE(OFFSET($CX$3,0,0,'Données projet'!$E$13+1,1))-AVERAGE(OFFSET($H$3,0,0,'Données projet'!$E$13+1,1))</f>
        <v>459.83870442974046</v>
      </c>
      <c r="CZ66" s="57">
        <f t="shared" si="42"/>
        <v>565.68976940602215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243.8563371870307</v>
      </c>
      <c r="DG66" s="21">
        <f>EXP(-LN(2)/25)*DG65+(1-EXP(-LN(2)/25))/(LN(2)/25)*Calculateur!DB66*Calculateur!DD66*VLOOKUP('Données projet'!$B$13,Paramètres!$A$1:$I$89,3,0)*0.475*44/12</f>
        <v>59.282524560116805</v>
      </c>
      <c r="DH66" s="21">
        <f>EXP(-LN(2)/2)*DH65+(1-EXP(-LN(2)/2))/(LN(2)/2)*DB66*DE66*VLOOKUP('Données projet'!$B$13,Paramètres!$A$1:$I$89,3,0)*0.475*44/12</f>
        <v>19.912427618358112</v>
      </c>
      <c r="DI66" s="22">
        <f t="shared" si="15"/>
        <v>323.05128936550562</v>
      </c>
      <c r="DJ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7" t="e">
        <f t="shared" si="17"/>
        <v>#NUM!</v>
      </c>
      <c r="DT66" s="57">
        <f ca="1">AVERAGE(OFFSET($DS$3,0,0,'Données projet'!$E$14+1,1))-AVERAGE(OFFSET($H$3,0,0,'Données projet'!$E$14+1,1))</f>
        <v>315.23504986325418</v>
      </c>
      <c r="DU66" s="57">
        <f t="shared" si="44"/>
        <v>350.52837099886688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132.51504097352776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132.51504097352776</v>
      </c>
      <c r="EE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5.2999999999999989</v>
      </c>
      <c r="EJ66" s="12">
        <f>IF('Données projet'!$A$192&gt;35,EJ65+EI66-ER65,IF(A66&lt;'Données projet'!$A$192,$EG$205^A66,IF(A66='Données projet'!$A$192,'Données projet'!$B$192,EJ65+EI66-ER65)))</f>
        <v>118.69999999999996</v>
      </c>
      <c r="EK66" s="17">
        <f>EJ66*VLOOKUP('Données projet'!$B$15,Paramètres!$A$1:$I$89,3,0)*VLOOKUP('Données projet'!$B$15,Paramètres!$A$1:$I$89,5,0)</f>
        <v>114.80663999999997</v>
      </c>
      <c r="EL66" s="13">
        <f t="shared" si="45"/>
        <v>30.460632154938668</v>
      </c>
      <c r="EM66" s="20">
        <f t="shared" si="19"/>
        <v>253.00716566985147</v>
      </c>
      <c r="EN66" s="57">
        <f t="shared" si="20"/>
        <v>515.90350401325759</v>
      </c>
      <c r="EO66" s="57">
        <f ca="1">AVERAGE(OFFSET($EN$3,0,0,'Données projet'!$E$15+1,1))-AVERAGE(OFFSET($H$3,0,0,'Données projet'!$E$15+1,1))</f>
        <v>328.31200866623891</v>
      </c>
      <c r="EP66" s="57">
        <f t="shared" si="46"/>
        <v>195.52650232917446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>
        <f>FE66*VLOOKUP('Données projet'!$B$16,Paramètres!$A$1:$I$89,3,0)*VLOOKUP('Données projet'!$B$16,Paramètres!$A$1:$I$89,5,0)</f>
        <v>0</v>
      </c>
      <c r="FG66" s="13" t="e">
        <f t="shared" si="47"/>
        <v>#NUM!</v>
      </c>
      <c r="FH66" s="20" t="e">
        <f t="shared" si="22"/>
        <v>#NUM!</v>
      </c>
      <c r="FI66" s="57" t="e">
        <f t="shared" si="23"/>
        <v>#NUM!</v>
      </c>
      <c r="FJ66" s="57">
        <f ca="1">AVERAGE(OFFSET($FI$3,0,0,'Données projet'!$E$16+1,1))-AVERAGE(OFFSET($H$3,0,0,'Données projet'!$E$16+1,1))</f>
        <v>142.88219003619457</v>
      </c>
      <c r="FK66" s="57">
        <f t="shared" si="48"/>
        <v>288.69704547625088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25.539448831574116</v>
      </c>
      <c r="FR66" s="21">
        <f>EXP(-LN(2)/25)*FR65+(1-EXP(-LN(2)/25))/(LN(2)/25)*Calculateur!FM66*Calculateur!FO66*VLOOKUP('Données projet'!$B$16,Paramètres!$A$1:$I$89,3,0)*0.475*44/12</f>
        <v>4.9743041230058314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30.51375295457995</v>
      </c>
      <c r="FU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7" t="e">
        <f t="shared" si="26"/>
        <v>#N/A</v>
      </c>
      <c r="GE66" s="57" t="e">
        <f ca="1">AVERAGE(OFFSET($GD$3,0,0,'Données projet'!$E$17+1,1))-AVERAGE(OFFSET($H$3,0,0,'Données projet'!$E$17+1,1))</f>
        <v>#N/A</v>
      </c>
      <c r="GF66" s="57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7" t="e">
        <f t="shared" si="29"/>
        <v>#N/A</v>
      </c>
      <c r="GZ66" s="57" t="e">
        <f ca="1">AVERAGE(OFFSET($GY$3,0,0,'Données projet'!$E$18+1,1))-AVERAGE(OFFSET($H$3,0,0,'Données projet'!$E$18+1,1))</f>
        <v>#N/A</v>
      </c>
      <c r="HA66" s="57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1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5">
        <f t="shared" si="1"/>
        <v>183.33333333333334</v>
      </c>
      <c r="I67" s="6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253.52495999999999</v>
      </c>
      <c r="P67" s="13">
        <f t="shared" si="33"/>
        <v>61.340141798422209</v>
      </c>
      <c r="Q67" s="20">
        <f t="shared" ref="Q67:Q98" si="54">(O67+P67)*0.475*44/12</f>
        <v>548.39005229891859</v>
      </c>
      <c r="R67" s="57">
        <f t="shared" ref="R67:R130" si="55">Q67+(I67+J67)*44/12</f>
        <v>811.81440445847329</v>
      </c>
      <c r="S67" s="57">
        <f ca="1">AVERAGE(OFFSET($R$3,0,0,'Données projet'!$E$9+1,1))-AVERAGE(OFFSET($H$3,0,0,'Données projet'!$E$9+1,1))</f>
        <v>539.63700256763173</v>
      </c>
      <c r="T67" s="57">
        <f t="shared" si="34"/>
        <v>297.32483725004136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236.04048</v>
      </c>
      <c r="AK67" s="13">
        <f t="shared" si="35"/>
        <v>57.586797409506879</v>
      </c>
      <c r="AL67" s="20">
        <f t="shared" si="4"/>
        <v>511.40084148822439</v>
      </c>
      <c r="AM67" s="57">
        <f t="shared" si="5"/>
        <v>774.82519364777909</v>
      </c>
      <c r="AN67" s="57">
        <f ca="1">AVERAGE(OFFSET($AM$3,0,0,'Données projet'!$E$10+1,1))-AVERAGE(OFFSET($H$3,0,0,'Données projet'!$E$10+1,1))</f>
        <v>508.21188526136734</v>
      </c>
      <c r="AO67" s="57">
        <f t="shared" si="36"/>
        <v>281.06176764290592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14.853518518518513</v>
      </c>
      <c r="BD67" s="12">
        <f>IF('Données projet'!$A$88&gt;35,BD66+BC67-BL66,IF(A67&lt;'Données projet'!$A$88,$BA$205^A67,IF(A67='Données projet'!$A$88,'Données projet'!$B$88,BD66+BC67-BL66)))</f>
        <v>590.8788888888887</v>
      </c>
      <c r="BE67" s="13">
        <f>BD67*VLOOKUP('Données projet'!$B$11,Paramètres!$A$1:$I$89,3,0)*VLOOKUP('Données projet'!$B$11,Paramètres!$A$1:$I$89,5,0)</f>
        <v>276.53131999999994</v>
      </c>
      <c r="BF67" s="13">
        <f t="shared" si="37"/>
        <v>66.233446123287081</v>
      </c>
      <c r="BG67" s="20">
        <f t="shared" si="7"/>
        <v>596.98196766472495</v>
      </c>
      <c r="BH67" s="57">
        <f t="shared" si="8"/>
        <v>860.40631982427976</v>
      </c>
      <c r="BI67" s="57">
        <f ca="1">AVERAGE(OFFSET($BH$3,0,0,'Données projet'!$E$11+1,1))-AVERAGE(OFFSET($H$3,0,0,'Données projet'!$E$11+1,1))</f>
        <v>449.50723280509311</v>
      </c>
      <c r="BJ67" s="57">
        <f t="shared" si="38"/>
        <v>281.26353650058275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44.214623341086352</v>
      </c>
      <c r="BQ67" s="21">
        <f>EXP(-LN(2)/25)*BQ66+(1-EXP(-LN(2)/25))/(LN(2)/25)*Calculateur!BL67*Calculateur!BN67*VLOOKUP('Données projet'!$B$11,Paramètres!$A$1:$I$89,3,0)*0.475*44/12</f>
        <v>11.316336553927995</v>
      </c>
      <c r="BR67" s="21">
        <f>EXP(-LN(2)/2)*BR66+(1-EXP(-LN(2)/2))/(LN(2)/2)*BL67*BO67*VLOOKUP('Données projet'!$B$11,Paramètres!$A$1:$I$89,3,0)*0.475*44/12</f>
        <v>1.5866465203295985</v>
      </c>
      <c r="BS67" s="22">
        <f t="shared" si="9"/>
        <v>57.11760641534395</v>
      </c>
      <c r="BT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7.2</v>
      </c>
      <c r="BY67" s="12">
        <f>IF('Données projet'!$A$114&gt;35,BY66+BX67-CG66,IF(A67&lt;'Données projet'!$A$114,$BV$205^A67,IF(A67='Données projet'!$A$114,'Données projet'!$B$114,BY66+BX67-CG66)))</f>
        <v>221.79999999999993</v>
      </c>
      <c r="BZ67" s="13">
        <f>BY67*VLOOKUP('Données projet'!$B$12,Paramètres!$A$1:$I$89,3,0)*VLOOKUP('Données projet'!$B$12,Paramètres!$A$1:$I$89,5,0)</f>
        <v>211.06487999999993</v>
      </c>
      <c r="CA67" s="13">
        <f t="shared" si="39"/>
        <v>52.168220223304395</v>
      </c>
      <c r="CB67" s="20">
        <f t="shared" si="10"/>
        <v>458.46431622225504</v>
      </c>
      <c r="CC67" s="57">
        <f t="shared" si="11"/>
        <v>721.88866838180979</v>
      </c>
      <c r="CD67" s="57">
        <f ca="1">AVERAGE(OFFSET($CC$3,0,0,'Données projet'!$E$12+1,1))-AVERAGE(OFFSET($H$3,0,0,'Données projet'!$E$12+1,1))</f>
        <v>479.4551766174892</v>
      </c>
      <c r="CE67" s="57">
        <f t="shared" si="40"/>
        <v>260.29028006191834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-2.2737367544323206E-13</v>
      </c>
      <c r="CU67" s="17">
        <f>CT67*VLOOKUP('Données projet'!$B$13,Paramètres!$A$1:$I$89,3,0)*VLOOKUP('Données projet'!$B$13,Paramètres!$A$1:$I$89,5,0)</f>
        <v>-1.2710188457276673E-13</v>
      </c>
      <c r="CV67" s="13" t="e">
        <f t="shared" si="41"/>
        <v>#NUM!</v>
      </c>
      <c r="CW67" s="20" t="e">
        <f t="shared" si="13"/>
        <v>#NUM!</v>
      </c>
      <c r="CX67" s="57" t="e">
        <f t="shared" si="14"/>
        <v>#NUM!</v>
      </c>
      <c r="CY67" s="57">
        <f ca="1">AVERAGE(OFFSET($CX$3,0,0,'Données projet'!$E$13+1,1))-AVERAGE(OFFSET($H$3,0,0,'Données projet'!$E$13+1,1))</f>
        <v>459.83870442974046</v>
      </c>
      <c r="CZ67" s="57">
        <f t="shared" si="42"/>
        <v>565.68976940602215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239.07446315247208</v>
      </c>
      <c r="DG67" s="21">
        <f>EXP(-LN(2)/25)*DG66+(1-EXP(-LN(2)/25))/(LN(2)/25)*Calculateur!DB67*Calculateur!DD67*VLOOKUP('Données projet'!$B$13,Paramètres!$A$1:$I$89,3,0)*0.475*44/12</f>
        <v>57.661440808487939</v>
      </c>
      <c r="DH67" s="21">
        <f>EXP(-LN(2)/2)*DH66+(1-EXP(-LN(2)/2))/(LN(2)/2)*DB67*DE67*VLOOKUP('Données projet'!$B$13,Paramètres!$A$1:$I$89,3,0)*0.475*44/12</f>
        <v>14.080212598827316</v>
      </c>
      <c r="DI67" s="22">
        <f t="shared" si="15"/>
        <v>310.8161165597873</v>
      </c>
      <c r="DJ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7" t="e">
        <f t="shared" si="17"/>
        <v>#NUM!</v>
      </c>
      <c r="DT67" s="57">
        <f ca="1">AVERAGE(OFFSET($DS$3,0,0,'Données projet'!$E$14+1,1))-AVERAGE(OFFSET($H$3,0,0,'Données projet'!$E$14+1,1))</f>
        <v>315.23504986325418</v>
      </c>
      <c r="DU67" s="57">
        <f t="shared" si="44"/>
        <v>350.52837099886688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129.91650184623094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129.91650184623094</v>
      </c>
      <c r="EE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>
        <f>VLOOKUP(A67,'Données projet'!$A$191:$I$211,2,0)</f>
        <v>124</v>
      </c>
      <c r="EH67" s="12">
        <f>VLOOKUP(A67,'Données projet'!$A$191:$I$211,9,0)</f>
        <v>5.2999999999999989</v>
      </c>
      <c r="EI67" s="12">
        <f t="array" ref="EI67">INDEX(EH:EH,MIN(IF(ISNUMBER(EH67:EH263),ROW(EH67:EH263),"")))</f>
        <v>5.2999999999999989</v>
      </c>
      <c r="EJ67" s="12">
        <f>IF('Données projet'!$A$192&gt;35,EJ66+EI67-ER66,IF(A67&lt;'Données projet'!$A$192,$EG$205^A67,IF(A67='Données projet'!$A$192,'Données projet'!$B$192,EJ66+EI67-ER66)))</f>
        <v>123.99999999999996</v>
      </c>
      <c r="EK67" s="17">
        <f>EJ67*VLOOKUP('Données projet'!$B$15,Paramètres!$A$1:$I$89,3,0)*VLOOKUP('Données projet'!$B$15,Paramètres!$A$1:$I$89,5,0)</f>
        <v>119.93279999999996</v>
      </c>
      <c r="EL67" s="13">
        <f t="shared" si="45"/>
        <v>31.659325486741739</v>
      </c>
      <c r="EM67" s="20">
        <f t="shared" si="19"/>
        <v>264.02295188940849</v>
      </c>
      <c r="EN67" s="57">
        <f t="shared" si="20"/>
        <v>527.44730404896325</v>
      </c>
      <c r="EO67" s="57">
        <f ca="1">AVERAGE(OFFSET($EN$3,0,0,'Données projet'!$E$15+1,1))-AVERAGE(OFFSET($H$3,0,0,'Données projet'!$E$15+1,1))</f>
        <v>328.31200866623891</v>
      </c>
      <c r="EP67" s="57">
        <f t="shared" si="46"/>
        <v>195.52650232917446</v>
      </c>
      <c r="EQ67" s="15">
        <f>IF(ISNA(VLOOKUP(A67,'Données projet'!$A$191:$I$211,3,0)),0,VLOOKUP(A67,'Données projet'!$A$191:$I$211,3,0))</f>
        <v>4</v>
      </c>
      <c r="ER67" s="15">
        <f>IF(ISNA(VLOOKUP(A67,'Données projet'!$A$191:$I$211,4,0)),0,VLOOKUP(A67,'Données projet'!$A$191:$I$211,4,0))</f>
        <v>32.800000000000004</v>
      </c>
      <c r="ES67" s="16">
        <f>IF(ISNA(VLOOKUP(A67,'Données projet'!$A$191:$I$211,5,0)),0%,VLOOKUP(A67,'Données projet'!$A$191:$I$211,5,0)*VLOOKUP('Données projet'!$B$15,Paramètres!$A$1:$I$89,7,0))</f>
        <v>0.30099999999999999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10.556105877864775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10.556105877864775</v>
      </c>
      <c r="EZ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>
        <f>FE67*VLOOKUP('Données projet'!$B$16,Paramètres!$A$1:$I$89,3,0)*VLOOKUP('Données projet'!$B$16,Paramètres!$A$1:$I$89,5,0)</f>
        <v>0</v>
      </c>
      <c r="FG67" s="13" t="e">
        <f t="shared" si="47"/>
        <v>#NUM!</v>
      </c>
      <c r="FH67" s="20" t="e">
        <f t="shared" si="22"/>
        <v>#NUM!</v>
      </c>
      <c r="FI67" s="57" t="e">
        <f t="shared" si="23"/>
        <v>#NUM!</v>
      </c>
      <c r="FJ67" s="57">
        <f ca="1">AVERAGE(OFFSET($FI$3,0,0,'Données projet'!$E$16+1,1))-AVERAGE(OFFSET($H$3,0,0,'Données projet'!$E$16+1,1))</f>
        <v>142.88219003619457</v>
      </c>
      <c r="FK67" s="57">
        <f t="shared" si="48"/>
        <v>288.69704547625088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25.038635817512581</v>
      </c>
      <c r="FR67" s="21">
        <f>EXP(-LN(2)/25)*FR66+(1-EXP(-LN(2)/25))/(LN(2)/25)*Calculateur!FM67*Calculateur!FO67*VLOOKUP('Données projet'!$B$16,Paramètres!$A$1:$I$89,3,0)*0.475*44/12</f>
        <v>4.8382815151749519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29.876917332687533</v>
      </c>
      <c r="FU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7" t="e">
        <f t="shared" si="26"/>
        <v>#N/A</v>
      </c>
      <c r="GE67" s="57" t="e">
        <f ca="1">AVERAGE(OFFSET($GD$3,0,0,'Données projet'!$E$17+1,1))-AVERAGE(OFFSET($H$3,0,0,'Données projet'!$E$17+1,1))</f>
        <v>#N/A</v>
      </c>
      <c r="GF67" s="57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7" t="e">
        <f t="shared" si="29"/>
        <v>#N/A</v>
      </c>
      <c r="GZ67" s="57" t="e">
        <f ca="1">AVERAGE(OFFSET($GY$3,0,0,'Données projet'!$E$18+1,1))-AVERAGE(OFFSET($H$3,0,0,'Données projet'!$E$18+1,1))</f>
        <v>#N/A</v>
      </c>
      <c r="HA67" s="57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1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5">
        <f t="shared" ref="H68:H131" si="56">(B68+E68+F68)*44/12+(C68+D68)*0.475*44/12</f>
        <v>183.33333333333334</v>
      </c>
      <c r="I68" s="6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261.48719999999997</v>
      </c>
      <c r="P68" s="13">
        <f t="shared" si="33"/>
        <v>63.039283586802391</v>
      </c>
      <c r="Q68" s="20">
        <f t="shared" si="54"/>
        <v>565.21695891368086</v>
      </c>
      <c r="R68" s="57">
        <f t="shared" si="55"/>
        <v>829.16016503013611</v>
      </c>
      <c r="S68" s="57">
        <f ca="1">AVERAGE(OFFSET($R$3,0,0,'Données projet'!$E$9+1,1))-AVERAGE(OFFSET($H$3,0,0,'Données projet'!$E$9+1,1))</f>
        <v>539.63700256763173</v>
      </c>
      <c r="T68" s="57">
        <f t="shared" si="34"/>
        <v>297.32483725004136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243.45360000000002</v>
      </c>
      <c r="AK68" s="13">
        <f t="shared" si="35"/>
        <v>59.181970343065316</v>
      </c>
      <c r="AL68" s="20">
        <f t="shared" ref="AL68:AL131" si="58">(AJ68+AK68)*0.475*44/12</f>
        <v>527.09028501417208</v>
      </c>
      <c r="AM68" s="57">
        <f t="shared" ref="AM68:AM131" si="59">AL68+(AD68+AE68)*44/12</f>
        <v>791.03349113062723</v>
      </c>
      <c r="AN68" s="57">
        <f ca="1">AVERAGE(OFFSET($AM$3,0,0,'Données projet'!$E$10+1,1))-AVERAGE(OFFSET($H$3,0,0,'Données projet'!$E$10+1,1))</f>
        <v>508.21188526136734</v>
      </c>
      <c r="AO68" s="57">
        <f t="shared" si="36"/>
        <v>281.06176764290592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14.853518518518513</v>
      </c>
      <c r="BD68" s="12">
        <f>IF('Données projet'!$A$88&gt;35,BD67+BC68-BL67,IF(A68&lt;'Données projet'!$A$88,$BA$205^A68,IF(A68='Données projet'!$A$88,'Données projet'!$B$88,BD67+BC68-BL67)))</f>
        <v>605.73240740740721</v>
      </c>
      <c r="BE68" s="13">
        <f>BD68*VLOOKUP('Données projet'!$B$11,Paramètres!$A$1:$I$89,3,0)*VLOOKUP('Données projet'!$B$11,Paramètres!$A$1:$I$89,5,0)</f>
        <v>283.48276666666658</v>
      </c>
      <c r="BF68" s="13">
        <f t="shared" si="37"/>
        <v>67.702487235707395</v>
      </c>
      <c r="BG68" s="20">
        <f t="shared" ref="BG68:BG131" si="61">(BE68+BF68)*0.475*44/12</f>
        <v>611.64765054663462</v>
      </c>
      <c r="BH68" s="57">
        <f t="shared" ref="BH68:BH131" si="62">BG68+(AY68+AZ68)*44/12</f>
        <v>875.59085666308988</v>
      </c>
      <c r="BI68" s="57">
        <f ca="1">AVERAGE(OFFSET($BH$3,0,0,'Données projet'!$E$11+1,1))-AVERAGE(OFFSET($H$3,0,0,'Données projet'!$E$11+1,1))</f>
        <v>449.50723280509311</v>
      </c>
      <c r="BJ68" s="57">
        <f t="shared" si="38"/>
        <v>281.26353650058275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43.34760154562499</v>
      </c>
      <c r="BQ68" s="21">
        <f>EXP(-LN(2)/25)*BQ67+(1-EXP(-LN(2)/25))/(LN(2)/25)*Calculateur!BL68*Calculateur!BN68*VLOOKUP('Données projet'!$B$11,Paramètres!$A$1:$I$89,3,0)*0.475*44/12</f>
        <v>11.006890735760559</v>
      </c>
      <c r="BR68" s="21">
        <f>EXP(-LN(2)/2)*BR67+(1-EXP(-LN(2)/2))/(LN(2)/2)*BL68*BO68*VLOOKUP('Données projet'!$B$11,Paramètres!$A$1:$I$89,3,0)*0.475*44/12</f>
        <v>1.1219285138710986</v>
      </c>
      <c r="BS68" s="22">
        <f t="shared" ref="BS68:BS131" si="63">SUM(BP68:BR68)</f>
        <v>55.476420795256644</v>
      </c>
      <c r="BT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229</v>
      </c>
      <c r="BW68" s="12">
        <f>VLOOKUP(A68,'Données projet'!$A$113:$I$133,9,0)</f>
        <v>7.2</v>
      </c>
      <c r="BX68" s="12">
        <f t="array" ref="BX68">INDEX(BW:BW,MIN(IF(ISNUMBER(BW68:BW264),ROW(BW68:BW264),"")))</f>
        <v>7.2</v>
      </c>
      <c r="BY68" s="12">
        <f>IF('Données projet'!$A$114&gt;35,BY67+BX68-CG67,IF(A68&lt;'Données projet'!$A$114,$BV$205^A68,IF(A68='Données projet'!$A$114,'Données projet'!$B$114,BY67+BX68-CG67)))</f>
        <v>228.99999999999991</v>
      </c>
      <c r="BZ68" s="13">
        <f>BY68*VLOOKUP('Données projet'!$B$12,Paramètres!$A$1:$I$89,3,0)*VLOOKUP('Données projet'!$B$12,Paramètres!$A$1:$I$89,5,0)</f>
        <v>217.91639999999992</v>
      </c>
      <c r="CA68" s="13">
        <f t="shared" si="39"/>
        <v>53.661775051402536</v>
      </c>
      <c r="CB68" s="20">
        <f t="shared" ref="CB68:CB131" si="64">(BZ68+CA68)*0.475*44/12</f>
        <v>472.99865488119258</v>
      </c>
      <c r="CC68" s="57">
        <f t="shared" ref="CC68:CC131" si="65">CB68+(BT68+BU68)*44/12</f>
        <v>736.94186099764784</v>
      </c>
      <c r="CD68" s="57">
        <f ca="1">AVERAGE(OFFSET($CC$3,0,0,'Données projet'!$E$12+1,1))-AVERAGE(OFFSET($H$3,0,0,'Données projet'!$E$12+1,1))</f>
        <v>479.4551766174892</v>
      </c>
      <c r="CE68" s="57">
        <f t="shared" si="40"/>
        <v>260.29028006191834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21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-2.2737367544323206E-13</v>
      </c>
      <c r="CU68" s="17">
        <f>CT68*VLOOKUP('Données projet'!$B$13,Paramètres!$A$1:$I$89,3,0)*VLOOKUP('Données projet'!$B$13,Paramètres!$A$1:$I$89,5,0)</f>
        <v>-1.2710188457276673E-13</v>
      </c>
      <c r="CV68" s="13" t="e">
        <f t="shared" si="41"/>
        <v>#NUM!</v>
      </c>
      <c r="CW68" s="20" t="e">
        <f t="shared" ref="CW68:CW131" si="67">(CU68+CV68)*0.475*44/12</f>
        <v>#NUM!</v>
      </c>
      <c r="CX68" s="57" t="e">
        <f t="shared" ref="CX68:CX131" si="68">CW68+(CO68+CP68)*44/12</f>
        <v>#NUM!</v>
      </c>
      <c r="CY68" s="57">
        <f ca="1">AVERAGE(OFFSET($CX$3,0,0,'Données projet'!$E$13+1,1))-AVERAGE(OFFSET($H$3,0,0,'Données projet'!$E$13+1,1))</f>
        <v>459.83870442974046</v>
      </c>
      <c r="CZ68" s="57">
        <f t="shared" si="42"/>
        <v>565.68976940602215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234.38635875107599</v>
      </c>
      <c r="DG68" s="21">
        <f>EXP(-LN(2)/25)*DG67+(1-EXP(-LN(2)/25))/(LN(2)/25)*Calculateur!DB68*Calculateur!DD68*VLOOKUP('Données projet'!$B$13,Paramètres!$A$1:$I$89,3,0)*0.475*44/12</f>
        <v>56.084685677296449</v>
      </c>
      <c r="DH68" s="21">
        <f>EXP(-LN(2)/2)*DH67+(1-EXP(-LN(2)/2))/(LN(2)/2)*DB68*DE68*VLOOKUP('Données projet'!$B$13,Paramètres!$A$1:$I$89,3,0)*0.475*44/12</f>
        <v>9.956213809179058</v>
      </c>
      <c r="DI68" s="22">
        <f t="shared" ref="DI68:DI131" si="69">SUM(DF68:DH68)</f>
        <v>300.42725823755154</v>
      </c>
      <c r="DJ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7" t="e">
        <f t="shared" ref="DS68:DS131" si="71">DR68+(DJ68+DK68)*44/12</f>
        <v>#NUM!</v>
      </c>
      <c r="DT68" s="57">
        <f ca="1">AVERAGE(OFFSET($DS$3,0,0,'Données projet'!$E$14+1,1))-AVERAGE(OFFSET($H$3,0,0,'Données projet'!$E$14+1,1))</f>
        <v>315.23504986325418</v>
      </c>
      <c r="DU68" s="57">
        <f t="shared" si="44"/>
        <v>350.52837099886688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127.36891848626806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127.36891848626806</v>
      </c>
      <c r="EE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4.6000000000000014</v>
      </c>
      <c r="EJ68" s="12">
        <f>IF('Données projet'!$A$192&gt;35,EJ67+EI68-ER67,IF(A68&lt;'Données projet'!$A$192,$EG$205^A68,IF(A68='Données projet'!$A$192,'Données projet'!$B$192,EJ67+EI68-ER67)))</f>
        <v>95.799999999999955</v>
      </c>
      <c r="EK68" s="17">
        <f>EJ68*VLOOKUP('Données projet'!$B$15,Paramètres!$A$1:$I$89,3,0)*VLOOKUP('Données projet'!$B$15,Paramètres!$A$1:$I$89,5,0)</f>
        <v>92.657759999999953</v>
      </c>
      <c r="EL68" s="13">
        <f t="shared" si="45"/>
        <v>25.205122972074609</v>
      </c>
      <c r="EM68" s="20">
        <f t="shared" ref="EM68:EM131" si="73">(EK68+EL68)*0.475*44/12</f>
        <v>205.27785450969648</v>
      </c>
      <c r="EN68" s="57">
        <f t="shared" ref="EN68:EN131" si="74">EM68+(EE68+EF68)*44/12</f>
        <v>469.22106062615171</v>
      </c>
      <c r="EO68" s="57">
        <f ca="1">AVERAGE(OFFSET($EN$3,0,0,'Données projet'!$E$15+1,1))-AVERAGE(OFFSET($H$3,0,0,'Données projet'!$E$15+1,1))</f>
        <v>328.31200866623891</v>
      </c>
      <c r="EP68" s="57">
        <f t="shared" si="46"/>
        <v>195.52650232917446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10.349107080188675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10.349107080188675</v>
      </c>
      <c r="EZ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>
        <f>FE68*VLOOKUP('Données projet'!$B$16,Paramètres!$A$1:$I$89,3,0)*VLOOKUP('Données projet'!$B$16,Paramètres!$A$1:$I$89,5,0)</f>
        <v>0</v>
      </c>
      <c r="FG68" s="13" t="e">
        <f t="shared" si="47"/>
        <v>#NUM!</v>
      </c>
      <c r="FH68" s="20" t="e">
        <f t="shared" ref="FH68:FH131" si="76">(FF68+FG68)*0.475*44/12</f>
        <v>#NUM!</v>
      </c>
      <c r="FI68" s="57" t="e">
        <f t="shared" ref="FI68:FI131" si="77">FH68+(EZ68+FA68)*44/12</f>
        <v>#NUM!</v>
      </c>
      <c r="FJ68" s="57">
        <f ca="1">AVERAGE(OFFSET($FI$3,0,0,'Données projet'!$E$16+1,1))-AVERAGE(OFFSET($H$3,0,0,'Données projet'!$E$16+1,1))</f>
        <v>142.88219003619457</v>
      </c>
      <c r="FK68" s="57">
        <f t="shared" si="48"/>
        <v>288.69704547625088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24.547643441191017</v>
      </c>
      <c r="FR68" s="21">
        <f>EXP(-LN(2)/25)*FR67+(1-EXP(-LN(2)/25))/(LN(2)/25)*Calculateur!FM68*Calculateur!FO68*VLOOKUP('Données projet'!$B$16,Paramètres!$A$1:$I$89,3,0)*0.475*44/12</f>
        <v>4.7059784527083259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29.253621893899343</v>
      </c>
      <c r="FU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7" t="e">
        <f t="shared" ref="GD68:GD131" si="80">GC68+(FU68+FV68)*44/12</f>
        <v>#N/A</v>
      </c>
      <c r="GE68" s="57" t="e">
        <f ca="1">AVERAGE(OFFSET($GD$3,0,0,'Données projet'!$E$17+1,1))-AVERAGE(OFFSET($H$3,0,0,'Données projet'!$E$17+1,1))</f>
        <v>#N/A</v>
      </c>
      <c r="GF68" s="57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7" t="e">
        <f t="shared" ref="GY68:GY131" si="83">GX68+(GP68+GQ68)*44/12</f>
        <v>#N/A</v>
      </c>
      <c r="GZ68" s="57" t="e">
        <f ca="1">AVERAGE(OFFSET($GY$3,0,0,'Données projet'!$E$18+1,1))-AVERAGE(OFFSET($H$3,0,0,'Données projet'!$E$18+1,1))</f>
        <v>#N/A</v>
      </c>
      <c r="HA68" s="57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1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5">
        <f t="shared" si="56"/>
        <v>183.33333333333334</v>
      </c>
      <c r="I69" s="6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243.57216</v>
      </c>
      <c r="P69" s="13">
        <f t="shared" ref="P69:P132" si="87">EXP(-1.0587+0.8836*LN(O69)+0.284)</f>
        <v>59.207435995642292</v>
      </c>
      <c r="Q69" s="20">
        <f t="shared" si="54"/>
        <v>527.34112969241028</v>
      </c>
      <c r="R69" s="57">
        <f t="shared" si="55"/>
        <v>791.79418880959736</v>
      </c>
      <c r="S69" s="57">
        <f ca="1">AVERAGE(OFFSET($R$3,0,0,'Données projet'!$E$9+1,1))-AVERAGE(OFFSET($H$3,0,0,'Données projet'!$E$9+1,1))</f>
        <v>539.63700256763173</v>
      </c>
      <c r="T69" s="57">
        <f t="shared" ref="T69:T132" si="88">$T$3</f>
        <v>297.32483725004136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226.77408</v>
      </c>
      <c r="AK69" s="13">
        <f t="shared" ref="AK69:AK132" si="89">EXP(-1.0587+0.8836*LN(AJ69)+0.284)</f>
        <v>55.584589827360034</v>
      </c>
      <c r="AL69" s="20">
        <f t="shared" si="58"/>
        <v>491.77468328265195</v>
      </c>
      <c r="AM69" s="57">
        <f t="shared" si="59"/>
        <v>756.22774239983903</v>
      </c>
      <c r="AN69" s="57">
        <f ca="1">AVERAGE(OFFSET($AM$3,0,0,'Données projet'!$E$10+1,1))-AVERAGE(OFFSET($H$3,0,0,'Données projet'!$E$10+1,1))</f>
        <v>508.21188526136734</v>
      </c>
      <c r="AO69" s="57">
        <f t="shared" ref="AO69:AO132" si="90">$AO$3</f>
        <v>281.06176764290592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14.853518518518513</v>
      </c>
      <c r="BD69" s="12">
        <f>IF('Données projet'!$A$88&gt;35,BD68+BC69-BL68,IF(A69&lt;'Données projet'!$A$88,$BA$205^A69,IF(A69='Données projet'!$A$88,'Données projet'!$B$88,BD68+BC69-BL68)))</f>
        <v>620.58592592592572</v>
      </c>
      <c r="BE69" s="13">
        <f>BD69*VLOOKUP('Données projet'!$B$11,Paramètres!$A$1:$I$89,3,0)*VLOOKUP('Données projet'!$B$11,Paramètres!$A$1:$I$89,5,0)</f>
        <v>290.43421333333322</v>
      </c>
      <c r="BF69" s="13">
        <f t="shared" ref="BF69:BF132" si="91">EXP(-1.0587+0.8836*LN(BE69)+0.284)</f>
        <v>69.167340780778872</v>
      </c>
      <c r="BG69" s="20">
        <f t="shared" si="61"/>
        <v>626.30604008207854</v>
      </c>
      <c r="BH69" s="57">
        <f t="shared" si="62"/>
        <v>890.75909919926562</v>
      </c>
      <c r="BI69" s="57">
        <f ca="1">AVERAGE(OFFSET($BH$3,0,0,'Données projet'!$E$11+1,1))-AVERAGE(OFFSET($H$3,0,0,'Données projet'!$E$11+1,1))</f>
        <v>449.50723280509311</v>
      </c>
      <c r="BJ69" s="57">
        <f t="shared" ref="BJ69:BJ132" si="92">$BJ$3</f>
        <v>281.26353650058275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42.497581518741548</v>
      </c>
      <c r="BQ69" s="21">
        <f>EXP(-LN(2)/25)*BQ68+(1-EXP(-LN(2)/25))/(LN(2)/25)*Calculateur!BL69*Calculateur!BN69*VLOOKUP('Données projet'!$B$11,Paramètres!$A$1:$I$89,3,0)*0.475*44/12</f>
        <v>10.705906729763958</v>
      </c>
      <c r="BR69" s="21">
        <f>EXP(-LN(2)/2)*BR68+(1-EXP(-LN(2)/2))/(LN(2)/2)*BL69*BO69*VLOOKUP('Données projet'!$B$11,Paramètres!$A$1:$I$89,3,0)*0.475*44/12</f>
        <v>0.79332326016479937</v>
      </c>
      <c r="BS69" s="22">
        <f t="shared" si="63"/>
        <v>53.996811508670305</v>
      </c>
      <c r="BT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</v>
      </c>
      <c r="BY69" s="12">
        <f>IF('Données projet'!$A$114&gt;35,BY68+BX69-CG68,IF(A69&lt;'Données projet'!$A$114,$BV$205^A69,IF(A69='Données projet'!$A$114,'Données projet'!$B$114,BY68+BX69-CG68)))</f>
        <v>214.79999999999993</v>
      </c>
      <c r="BZ69" s="13">
        <f>BY69*VLOOKUP('Données projet'!$B$12,Paramètres!$A$1:$I$89,3,0)*VLOOKUP('Données projet'!$B$12,Paramètres!$A$1:$I$89,5,0)</f>
        <v>204.40367999999995</v>
      </c>
      <c r="CA69" s="13">
        <f t="shared" ref="CA69:CA132" si="93">EXP(-1.0587+0.8836*LN(BZ69)+0.284)</f>
        <v>50.710733146553501</v>
      </c>
      <c r="CB69" s="20">
        <f t="shared" si="64"/>
        <v>444.32426956358057</v>
      </c>
      <c r="CC69" s="57">
        <f t="shared" si="65"/>
        <v>708.7773286807676</v>
      </c>
      <c r="CD69" s="57">
        <f ca="1">AVERAGE(OFFSET($CC$3,0,0,'Données projet'!$E$12+1,1))-AVERAGE(OFFSET($H$3,0,0,'Données projet'!$E$12+1,1))</f>
        <v>479.4551766174892</v>
      </c>
      <c r="CE69" s="57">
        <f t="shared" ref="CE69:CE132" si="94">$CE$3</f>
        <v>260.29028006191834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-2.2737367544323206E-13</v>
      </c>
      <c r="CU69" s="17">
        <f>CT69*VLOOKUP('Données projet'!$B$13,Paramètres!$A$1:$I$89,3,0)*VLOOKUP('Données projet'!$B$13,Paramètres!$A$1:$I$89,5,0)</f>
        <v>-1.2710188457276673E-13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7" t="e">
        <f t="shared" si="68"/>
        <v>#NUM!</v>
      </c>
      <c r="CY69" s="57">
        <f ca="1">AVERAGE(OFFSET($CX$3,0,0,'Données projet'!$E$13+1,1))-AVERAGE(OFFSET($H$3,0,0,'Données projet'!$E$13+1,1))</f>
        <v>459.83870442974046</v>
      </c>
      <c r="CZ69" s="57">
        <f t="shared" ref="CZ69:CZ132" si="96">$CZ$3</f>
        <v>565.68976940602215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229.79018521752994</v>
      </c>
      <c r="DG69" s="21">
        <f>EXP(-LN(2)/25)*DG68+(1-EXP(-LN(2)/25))/(LN(2)/25)*Calculateur!DB69*Calculateur!DD69*VLOOKUP('Données projet'!$B$13,Paramètres!$A$1:$I$89,3,0)*0.475*44/12</f>
        <v>54.55104699808534</v>
      </c>
      <c r="DH69" s="21">
        <f>EXP(-LN(2)/2)*DH68+(1-EXP(-LN(2)/2))/(LN(2)/2)*DB69*DE69*VLOOKUP('Données projet'!$B$13,Paramètres!$A$1:$I$89,3,0)*0.475*44/12</f>
        <v>7.0401062994136598</v>
      </c>
      <c r="DI69" s="22">
        <f t="shared" si="69"/>
        <v>291.38133851502892</v>
      </c>
      <c r="DJ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7" t="e">
        <f t="shared" si="71"/>
        <v>#NUM!</v>
      </c>
      <c r="DT69" s="57">
        <f ca="1">AVERAGE(OFFSET($DS$3,0,0,'Données projet'!$E$14+1,1))-AVERAGE(OFFSET($H$3,0,0,'Données projet'!$E$14+1,1))</f>
        <v>315.23504986325418</v>
      </c>
      <c r="DU69" s="57">
        <f t="shared" ref="DU69:DU132" si="98">$DU$3</f>
        <v>350.52837099886688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124.87129168212162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124.87129168212162</v>
      </c>
      <c r="EE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4.6000000000000014</v>
      </c>
      <c r="EJ69" s="12">
        <f>IF('Données projet'!$A$192&gt;35,EJ68+EI69-ER68,IF(A69&lt;'Données projet'!$A$192,$EG$205^A69,IF(A69='Données projet'!$A$192,'Données projet'!$B$192,EJ68+EI69-ER68)))</f>
        <v>100.39999999999995</v>
      </c>
      <c r="EK69" s="17">
        <f>EJ69*VLOOKUP('Données projet'!$B$15,Paramètres!$A$1:$I$89,3,0)*VLOOKUP('Données projet'!$B$15,Paramètres!$A$1:$I$89,5,0)</f>
        <v>97.106879999999961</v>
      </c>
      <c r="EL69" s="13">
        <f t="shared" ref="EL69:EL132" si="99">EXP(-1.0587+0.8836*LN(EK69)+0.284)</f>
        <v>26.271578364481066</v>
      </c>
      <c r="EM69" s="20">
        <f t="shared" si="73"/>
        <v>214.88414831813779</v>
      </c>
      <c r="EN69" s="57">
        <f t="shared" si="74"/>
        <v>479.3372074353249</v>
      </c>
      <c r="EO69" s="57">
        <f ca="1">AVERAGE(OFFSET($EN$3,0,0,'Données projet'!$E$15+1,1))-AVERAGE(OFFSET($H$3,0,0,'Données projet'!$E$15+1,1))</f>
        <v>328.31200866623891</v>
      </c>
      <c r="EP69" s="57">
        <f t="shared" ref="EP69:EP132" si="100">$EP$3</f>
        <v>195.52650232917446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10.146167402678204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10.146167402678204</v>
      </c>
      <c r="EZ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>
        <f>FE69*VLOOKUP('Données projet'!$B$16,Paramètres!$A$1:$I$89,3,0)*VLOOKUP('Données projet'!$B$16,Paramètres!$A$1:$I$89,5,0)</f>
        <v>0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7" t="e">
        <f t="shared" si="77"/>
        <v>#NUM!</v>
      </c>
      <c r="FJ69" s="57">
        <f ca="1">AVERAGE(OFFSET($FI$3,0,0,'Données projet'!$E$16+1,1))-AVERAGE(OFFSET($H$3,0,0,'Données projet'!$E$16+1,1))</f>
        <v>142.88219003619457</v>
      </c>
      <c r="FK69" s="57">
        <f t="shared" ref="FK69:FK132" si="102">$FK$3</f>
        <v>288.69704547625088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24.066279125893342</v>
      </c>
      <c r="FR69" s="21">
        <f>EXP(-LN(2)/25)*FR68+(1-EXP(-LN(2)/25))/(LN(2)/25)*Calculateur!FM69*Calculateur!FO69*VLOOKUP('Données projet'!$B$16,Paramètres!$A$1:$I$89,3,0)*0.475*44/12</f>
        <v>4.5772932244423652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28.643572350335706</v>
      </c>
      <c r="FU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7" t="e">
        <f t="shared" si="80"/>
        <v>#N/A</v>
      </c>
      <c r="GE69" s="57" t="e">
        <f ca="1">AVERAGE(OFFSET($GD$3,0,0,'Données projet'!$E$17+1,1))-AVERAGE(OFFSET($H$3,0,0,'Données projet'!$E$17+1,1))</f>
        <v>#N/A</v>
      </c>
      <c r="GF69" s="57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7" t="e">
        <f t="shared" si="83"/>
        <v>#N/A</v>
      </c>
      <c r="GZ69" s="57" t="e">
        <f ca="1">AVERAGE(OFFSET($GY$3,0,0,'Données projet'!$E$18+1,1))-AVERAGE(OFFSET($H$3,0,0,'Données projet'!$E$18+1,1))</f>
        <v>#N/A</v>
      </c>
      <c r="HA69" s="57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1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5">
        <f t="shared" si="56"/>
        <v>183.33333333333334</v>
      </c>
      <c r="I70" s="6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250.99151999999995</v>
      </c>
      <c r="P70" s="13">
        <f t="shared" si="87"/>
        <v>60.798211000769406</v>
      </c>
      <c r="Q70" s="20">
        <f t="shared" si="54"/>
        <v>543.03378149300659</v>
      </c>
      <c r="R70" s="57">
        <f t="shared" si="55"/>
        <v>807.98784880122344</v>
      </c>
      <c r="S70" s="57">
        <f ca="1">AVERAGE(OFFSET($R$3,0,0,'Données projet'!$E$9+1,1))-AVERAGE(OFFSET($H$3,0,0,'Données projet'!$E$9+1,1))</f>
        <v>539.63700256763173</v>
      </c>
      <c r="T70" s="57">
        <f t="shared" si="88"/>
        <v>297.32483725004136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233.68176</v>
      </c>
      <c r="AK70" s="13">
        <f t="shared" si="89"/>
        <v>57.078026837098335</v>
      </c>
      <c r="AL70" s="20">
        <f t="shared" si="58"/>
        <v>506.40662874127952</v>
      </c>
      <c r="AM70" s="57">
        <f t="shared" si="59"/>
        <v>771.36069604949648</v>
      </c>
      <c r="AN70" s="57">
        <f ca="1">AVERAGE(OFFSET($AM$3,0,0,'Données projet'!$E$10+1,1))-AVERAGE(OFFSET($H$3,0,0,'Données projet'!$E$10+1,1))</f>
        <v>508.21188526136734</v>
      </c>
      <c r="AO70" s="57">
        <f t="shared" si="90"/>
        <v>281.06176764290592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14.853518518518513</v>
      </c>
      <c r="BD70" s="12">
        <f>IF('Données projet'!$A$88&gt;35,BD69+BC70-BL69,IF(A70&lt;'Données projet'!$A$88,$BA$205^A70,IF(A70='Données projet'!$A$88,'Données projet'!$B$88,BD69+BC70-BL69)))</f>
        <v>635.43944444444423</v>
      </c>
      <c r="BE70" s="13">
        <f>BD70*VLOOKUP('Données projet'!$B$11,Paramètres!$A$1:$I$89,3,0)*VLOOKUP('Données projet'!$B$11,Paramètres!$A$1:$I$89,5,0)</f>
        <v>297.38565999999986</v>
      </c>
      <c r="BF70" s="13">
        <f t="shared" si="91"/>
        <v>70.628118518933903</v>
      </c>
      <c r="BG70" s="20">
        <f t="shared" si="61"/>
        <v>640.95733092047624</v>
      </c>
      <c r="BH70" s="57">
        <f t="shared" si="62"/>
        <v>905.91139822869309</v>
      </c>
      <c r="BI70" s="57">
        <f ca="1">AVERAGE(OFFSET($BH$3,0,0,'Données projet'!$E$11+1,1))-AVERAGE(OFFSET($H$3,0,0,'Données projet'!$E$11+1,1))</f>
        <v>449.50723280509311</v>
      </c>
      <c r="BJ70" s="57">
        <f t="shared" si="92"/>
        <v>281.26353650058275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41.664229866124266</v>
      </c>
      <c r="BQ70" s="21">
        <f>EXP(-LN(2)/25)*BQ69+(1-EXP(-LN(2)/25))/(LN(2)/25)*Calculateur!BL70*Calculateur!BN70*VLOOKUP('Données projet'!$B$11,Paramètres!$A$1:$I$89,3,0)*0.475*44/12</f>
        <v>10.413153147239397</v>
      </c>
      <c r="BR70" s="21">
        <f>EXP(-LN(2)/2)*BR69+(1-EXP(-LN(2)/2))/(LN(2)/2)*BL70*BO70*VLOOKUP('Données projet'!$B$11,Paramètres!$A$1:$I$89,3,0)*0.475*44/12</f>
        <v>0.5609642569355493</v>
      </c>
      <c r="BS70" s="22">
        <f t="shared" si="63"/>
        <v>52.638347270299214</v>
      </c>
      <c r="BT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</v>
      </c>
      <c r="BY70" s="12">
        <f>IF('Données projet'!$A$114&gt;35,BY69+BX70-CG69,IF(A70&lt;'Données projet'!$A$114,$BV$205^A70,IF(A70='Données projet'!$A$114,'Données projet'!$B$114,BY69+BX70-CG69)))</f>
        <v>221.59999999999994</v>
      </c>
      <c r="BZ70" s="13">
        <f>BY70*VLOOKUP('Données projet'!$B$12,Paramètres!$A$1:$I$89,3,0)*VLOOKUP('Données projet'!$B$12,Paramètres!$A$1:$I$89,5,0)</f>
        <v>210.87455999999995</v>
      </c>
      <c r="CA70" s="13">
        <f t="shared" si="93"/>
        <v>52.126652811854591</v>
      </c>
      <c r="CB70" s="20">
        <f t="shared" si="64"/>
        <v>458.06044564731332</v>
      </c>
      <c r="CC70" s="57">
        <f t="shared" si="65"/>
        <v>723.01451295553022</v>
      </c>
      <c r="CD70" s="57">
        <f ca="1">AVERAGE(OFFSET($CC$3,0,0,'Données projet'!$E$12+1,1))-AVERAGE(OFFSET($H$3,0,0,'Données projet'!$E$12+1,1))</f>
        <v>479.4551766174892</v>
      </c>
      <c r="CE70" s="57">
        <f t="shared" si="94"/>
        <v>260.29028006191834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-2.2737367544323206E-13</v>
      </c>
      <c r="CU70" s="17">
        <f>CT70*VLOOKUP('Données projet'!$B$13,Paramètres!$A$1:$I$89,3,0)*VLOOKUP('Données projet'!$B$13,Paramètres!$A$1:$I$89,5,0)</f>
        <v>-1.2710188457276673E-13</v>
      </c>
      <c r="CV70" s="13" t="e">
        <f t="shared" si="95"/>
        <v>#NUM!</v>
      </c>
      <c r="CW70" s="20" t="e">
        <f t="shared" si="67"/>
        <v>#NUM!</v>
      </c>
      <c r="CX70" s="57" t="e">
        <f t="shared" si="68"/>
        <v>#NUM!</v>
      </c>
      <c r="CY70" s="57">
        <f ca="1">AVERAGE(OFFSET($CX$3,0,0,'Données projet'!$E$13+1,1))-AVERAGE(OFFSET($H$3,0,0,'Données projet'!$E$13+1,1))</f>
        <v>459.83870442974046</v>
      </c>
      <c r="CZ70" s="57">
        <f t="shared" si="96"/>
        <v>565.68976940602215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225.2841398435877</v>
      </c>
      <c r="DG70" s="21">
        <f>EXP(-LN(2)/25)*DG69+(1-EXP(-LN(2)/25))/(LN(2)/25)*Calculateur!DB70*Calculateur!DD70*VLOOKUP('Données projet'!$B$13,Paramètres!$A$1:$I$89,3,0)*0.475*44/12</f>
        <v>53.059345749207814</v>
      </c>
      <c r="DH70" s="21">
        <f>EXP(-LN(2)/2)*DH69+(1-EXP(-LN(2)/2))/(LN(2)/2)*DB70*DE70*VLOOKUP('Données projet'!$B$13,Paramètres!$A$1:$I$89,3,0)*0.475*44/12</f>
        <v>4.9781069045895299</v>
      </c>
      <c r="DI70" s="22">
        <f t="shared" si="69"/>
        <v>283.32159249738504</v>
      </c>
      <c r="DJ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7" t="e">
        <f t="shared" si="71"/>
        <v>#NUM!</v>
      </c>
      <c r="DT70" s="57">
        <f ca="1">AVERAGE(OFFSET($DS$3,0,0,'Données projet'!$E$14+1,1))-AVERAGE(OFFSET($H$3,0,0,'Données projet'!$E$14+1,1))</f>
        <v>315.23504986325418</v>
      </c>
      <c r="DU70" s="57">
        <f t="shared" si="98"/>
        <v>350.52837099886688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122.42264181620257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122.42264181620257</v>
      </c>
      <c r="EE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4.6000000000000014</v>
      </c>
      <c r="EJ70" s="12">
        <f>IF('Données projet'!$A$192&gt;35,EJ69+EI70-ER69,IF(A70&lt;'Données projet'!$A$192,$EG$205^A70,IF(A70='Données projet'!$A$192,'Données projet'!$B$192,EJ69+EI70-ER69)))</f>
        <v>104.99999999999994</v>
      </c>
      <c r="EK70" s="17">
        <f>EJ70*VLOOKUP('Données projet'!$B$15,Paramètres!$A$1:$I$89,3,0)*VLOOKUP('Données projet'!$B$15,Paramètres!$A$1:$I$89,5,0)</f>
        <v>101.55599999999995</v>
      </c>
      <c r="EL70" s="13">
        <f t="shared" si="99"/>
        <v>27.332359320696909</v>
      </c>
      <c r="EM70" s="20">
        <f t="shared" si="73"/>
        <v>224.48055915021368</v>
      </c>
      <c r="EN70" s="57">
        <f t="shared" si="74"/>
        <v>489.43462645843056</v>
      </c>
      <c r="EO70" s="57">
        <f ca="1">AVERAGE(OFFSET($EN$3,0,0,'Données projet'!$E$15+1,1))-AVERAGE(OFFSET($H$3,0,0,'Données projet'!$E$15+1,1))</f>
        <v>328.31200866623891</v>
      </c>
      <c r="EP70" s="57">
        <f t="shared" si="100"/>
        <v>195.52650232917446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9.9472072484627319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9.9472072484627319</v>
      </c>
      <c r="EZ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>
        <f>FE70*VLOOKUP('Données projet'!$B$16,Paramètres!$A$1:$I$89,3,0)*VLOOKUP('Données projet'!$B$16,Paramètres!$A$1:$I$89,5,0)</f>
        <v>0</v>
      </c>
      <c r="FG70" s="13" t="e">
        <f t="shared" si="101"/>
        <v>#NUM!</v>
      </c>
      <c r="FH70" s="20" t="e">
        <f t="shared" si="76"/>
        <v>#NUM!</v>
      </c>
      <c r="FI70" s="57" t="e">
        <f t="shared" si="77"/>
        <v>#NUM!</v>
      </c>
      <c r="FJ70" s="57">
        <f ca="1">AVERAGE(OFFSET($FI$3,0,0,'Données projet'!$E$16+1,1))-AVERAGE(OFFSET($H$3,0,0,'Données projet'!$E$16+1,1))</f>
        <v>142.88219003619457</v>
      </c>
      <c r="FK70" s="57">
        <f t="shared" si="102"/>
        <v>288.69704547625088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23.59435407121541</v>
      </c>
      <c r="FR70" s="21">
        <f>EXP(-LN(2)/25)*FR69+(1-EXP(-LN(2)/25))/(LN(2)/25)*Calculateur!FM70*Calculateur!FO70*VLOOKUP('Données projet'!$B$16,Paramètres!$A$1:$I$89,3,0)*0.475*44/12</f>
        <v>4.4521269005105992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28.046480971726009</v>
      </c>
      <c r="FU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7" t="e">
        <f t="shared" si="80"/>
        <v>#N/A</v>
      </c>
      <c r="GE70" s="57" t="e">
        <f ca="1">AVERAGE(OFFSET($GD$3,0,0,'Données projet'!$E$17+1,1))-AVERAGE(OFFSET($H$3,0,0,'Données projet'!$E$17+1,1))</f>
        <v>#N/A</v>
      </c>
      <c r="GF70" s="57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7" t="e">
        <f t="shared" si="83"/>
        <v>#N/A</v>
      </c>
      <c r="GZ70" s="57" t="e">
        <f ca="1">AVERAGE(OFFSET($GY$3,0,0,'Données projet'!$E$18+1,1))-AVERAGE(OFFSET($H$3,0,0,'Données projet'!$E$18+1,1))</f>
        <v>#N/A</v>
      </c>
      <c r="HA70" s="57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1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5">
        <f t="shared" si="56"/>
        <v>183.33333333333334</v>
      </c>
      <c r="I71" s="6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258.41087999999996</v>
      </c>
      <c r="P71" s="13">
        <f t="shared" si="87"/>
        <v>62.383521020316756</v>
      </c>
      <c r="Q71" s="20">
        <f t="shared" si="54"/>
        <v>558.71691511038489</v>
      </c>
      <c r="R71" s="57">
        <f t="shared" si="55"/>
        <v>824.16329923760372</v>
      </c>
      <c r="S71" s="57">
        <f ca="1">AVERAGE(OFFSET($R$3,0,0,'Données projet'!$E$9+1,1))-AVERAGE(OFFSET($H$3,0,0,'Données projet'!$E$9+1,1))</f>
        <v>539.63700256763173</v>
      </c>
      <c r="T71" s="57">
        <f t="shared" si="88"/>
        <v>297.32483725004136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240.58944</v>
      </c>
      <c r="AK71" s="13">
        <f t="shared" si="89"/>
        <v>58.56633325847811</v>
      </c>
      <c r="AL71" s="20">
        <f t="shared" si="58"/>
        <v>521.02963842518272</v>
      </c>
      <c r="AM71" s="57">
        <f t="shared" si="59"/>
        <v>786.47602255240156</v>
      </c>
      <c r="AN71" s="57">
        <f ca="1">AVERAGE(OFFSET($AM$3,0,0,'Données projet'!$E$10+1,1))-AVERAGE(OFFSET($H$3,0,0,'Données projet'!$E$10+1,1))</f>
        <v>508.21188526136734</v>
      </c>
      <c r="AO71" s="57">
        <f t="shared" si="90"/>
        <v>281.06176764290592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14.853518518518513</v>
      </c>
      <c r="BD71" s="12">
        <f>IF('Données projet'!$A$88&gt;35,BD70+BC71-BL70,IF(A71&lt;'Données projet'!$A$88,$BA$205^A71,IF(A71='Données projet'!$A$88,'Données projet'!$B$88,BD70+BC71-BL70)))</f>
        <v>650.29296296296275</v>
      </c>
      <c r="BE71" s="13">
        <f>BD71*VLOOKUP('Données projet'!$B$11,Paramètres!$A$1:$I$89,3,0)*VLOOKUP('Données projet'!$B$11,Paramètres!$A$1:$I$89,5,0)</f>
        <v>304.33710666666656</v>
      </c>
      <c r="BF71" s="13">
        <f t="shared" si="91"/>
        <v>72.084926687677097</v>
      </c>
      <c r="BG71" s="20">
        <f t="shared" si="61"/>
        <v>655.60170809214844</v>
      </c>
      <c r="BH71" s="57">
        <f t="shared" si="62"/>
        <v>921.04809221936728</v>
      </c>
      <c r="BI71" s="57">
        <f ca="1">AVERAGE(OFFSET($BH$3,0,0,'Données projet'!$E$11+1,1))-AVERAGE(OFFSET($H$3,0,0,'Données projet'!$E$11+1,1))</f>
        <v>449.50723280509311</v>
      </c>
      <c r="BJ71" s="57">
        <f t="shared" si="92"/>
        <v>281.26353650058275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40.847219731120497</v>
      </c>
      <c r="BQ71" s="21">
        <f>EXP(-LN(2)/25)*BQ70+(1-EXP(-LN(2)/25))/(LN(2)/25)*Calculateur!BL71*Calculateur!BN71*VLOOKUP('Données projet'!$B$11,Paramètres!$A$1:$I$89,3,0)*0.475*44/12</f>
        <v>10.128404926824212</v>
      </c>
      <c r="BR71" s="21">
        <f>EXP(-LN(2)/2)*BR70+(1-EXP(-LN(2)/2))/(LN(2)/2)*BL71*BO71*VLOOKUP('Données projet'!$B$11,Paramètres!$A$1:$I$89,3,0)*0.475*44/12</f>
        <v>0.39666163008239969</v>
      </c>
      <c r="BS71" s="22">
        <f t="shared" si="63"/>
        <v>51.372286288027105</v>
      </c>
      <c r="BT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</v>
      </c>
      <c r="BY71" s="12">
        <f>IF('Données projet'!$A$114&gt;35,BY70+BX71-CG70,IF(A71&lt;'Données projet'!$A$114,$BV$205^A71,IF(A71='Données projet'!$A$114,'Données projet'!$B$114,BY70+BX71-CG70)))</f>
        <v>228.39999999999995</v>
      </c>
      <c r="BZ71" s="13">
        <f>BY71*VLOOKUP('Données projet'!$B$12,Paramètres!$A$1:$I$89,3,0)*VLOOKUP('Données projet'!$B$12,Paramètres!$A$1:$I$89,5,0)</f>
        <v>217.34543999999994</v>
      </c>
      <c r="CA71" s="13">
        <f t="shared" si="93"/>
        <v>53.537523221233471</v>
      </c>
      <c r="CB71" s="20">
        <f t="shared" si="64"/>
        <v>471.78782761031488</v>
      </c>
      <c r="CC71" s="57">
        <f t="shared" si="65"/>
        <v>737.23421173753377</v>
      </c>
      <c r="CD71" s="57">
        <f ca="1">AVERAGE(OFFSET($CC$3,0,0,'Données projet'!$E$12+1,1))-AVERAGE(OFFSET($H$3,0,0,'Données projet'!$E$12+1,1))</f>
        <v>479.4551766174892</v>
      </c>
      <c r="CE71" s="57">
        <f t="shared" si="94"/>
        <v>260.29028006191834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-2.2737367544323206E-13</v>
      </c>
      <c r="CU71" s="17">
        <f>CT71*VLOOKUP('Données projet'!$B$13,Paramètres!$A$1:$I$89,3,0)*VLOOKUP('Données projet'!$B$13,Paramètres!$A$1:$I$89,5,0)</f>
        <v>-1.2710188457276673E-13</v>
      </c>
      <c r="CV71" s="13" t="e">
        <f t="shared" si="95"/>
        <v>#NUM!</v>
      </c>
      <c r="CW71" s="20" t="e">
        <f t="shared" si="67"/>
        <v>#NUM!</v>
      </c>
      <c r="CX71" s="57" t="e">
        <f t="shared" si="68"/>
        <v>#NUM!</v>
      </c>
      <c r="CY71" s="57">
        <f ca="1">AVERAGE(OFFSET($CX$3,0,0,'Données projet'!$E$13+1,1))-AVERAGE(OFFSET($H$3,0,0,'Données projet'!$E$13+1,1))</f>
        <v>459.83870442974046</v>
      </c>
      <c r="CZ71" s="57">
        <f t="shared" si="96"/>
        <v>565.68976940602215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220.86645527101217</v>
      </c>
      <c r="DG71" s="21">
        <f>EXP(-LN(2)/25)*DG70+(1-EXP(-LN(2)/25))/(LN(2)/25)*Calculateur!DB71*Calculateur!DD71*VLOOKUP('Données projet'!$B$13,Paramètres!$A$1:$I$89,3,0)*0.475*44/12</f>
        <v>51.608435149426001</v>
      </c>
      <c r="DH71" s="21">
        <f>EXP(-LN(2)/2)*DH70+(1-EXP(-LN(2)/2))/(LN(2)/2)*DB71*DE71*VLOOKUP('Données projet'!$B$13,Paramètres!$A$1:$I$89,3,0)*0.475*44/12</f>
        <v>3.5200531497068304</v>
      </c>
      <c r="DI71" s="22">
        <f t="shared" si="69"/>
        <v>275.99494357014498</v>
      </c>
      <c r="DJ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7" t="e">
        <f t="shared" si="71"/>
        <v>#NUM!</v>
      </c>
      <c r="DT71" s="57">
        <f ca="1">AVERAGE(OFFSET($DS$3,0,0,'Données projet'!$E$14+1,1))-AVERAGE(OFFSET($H$3,0,0,'Données projet'!$E$14+1,1))</f>
        <v>315.23504986325418</v>
      </c>
      <c r="DU71" s="57">
        <f t="shared" si="98"/>
        <v>350.52837099886688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120.02200848062526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120.02200848062526</v>
      </c>
      <c r="EE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4.6000000000000014</v>
      </c>
      <c r="EJ71" s="12">
        <f>IF('Données projet'!$A$192&gt;35,EJ70+EI71-ER70,IF(A71&lt;'Données projet'!$A$192,$EG$205^A71,IF(A71='Données projet'!$A$192,'Données projet'!$B$192,EJ70+EI71-ER70)))</f>
        <v>109.59999999999994</v>
      </c>
      <c r="EK71" s="17">
        <f>EJ71*VLOOKUP('Données projet'!$B$15,Paramètres!$A$1:$I$89,3,0)*VLOOKUP('Données projet'!$B$15,Paramètres!$A$1:$I$89,5,0)</f>
        <v>106.00511999999993</v>
      </c>
      <c r="EL71" s="13">
        <f t="shared" si="99"/>
        <v>28.387742845944089</v>
      </c>
      <c r="EM71" s="20">
        <f t="shared" si="73"/>
        <v>234.06756945668585</v>
      </c>
      <c r="EN71" s="57">
        <f t="shared" si="74"/>
        <v>499.51395358390471</v>
      </c>
      <c r="EO71" s="57">
        <f ca="1">AVERAGE(OFFSET($EN$3,0,0,'Données projet'!$E$15+1,1))-AVERAGE(OFFSET($H$3,0,0,'Données projet'!$E$15+1,1))</f>
        <v>328.31200866623891</v>
      </c>
      <c r="EP71" s="57">
        <f t="shared" si="100"/>
        <v>195.52650232917446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9.752148581517714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9.752148581517714</v>
      </c>
      <c r="EZ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>
        <f>FE71*VLOOKUP('Données projet'!$B$16,Paramètres!$A$1:$I$89,3,0)*VLOOKUP('Données projet'!$B$16,Paramètres!$A$1:$I$89,5,0)</f>
        <v>0</v>
      </c>
      <c r="FG71" s="13" t="e">
        <f t="shared" si="101"/>
        <v>#NUM!</v>
      </c>
      <c r="FH71" s="20" t="e">
        <f t="shared" si="76"/>
        <v>#NUM!</v>
      </c>
      <c r="FI71" s="57" t="e">
        <f t="shared" si="77"/>
        <v>#NUM!</v>
      </c>
      <c r="FJ71" s="57">
        <f ca="1">AVERAGE(OFFSET($FI$3,0,0,'Données projet'!$E$16+1,1))-AVERAGE(OFFSET($H$3,0,0,'Données projet'!$E$16+1,1))</f>
        <v>142.88219003619457</v>
      </c>
      <c r="FK71" s="57">
        <f t="shared" si="102"/>
        <v>288.69704547625088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23.131683179013852</v>
      </c>
      <c r="FR71" s="21">
        <f>EXP(-LN(2)/25)*FR70+(1-EXP(-LN(2)/25))/(LN(2)/25)*Calculateur!FM71*Calculateur!FO71*VLOOKUP('Données projet'!$B$16,Paramètres!$A$1:$I$89,3,0)*0.475*44/12</f>
        <v>4.3303832562889584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27.462066435302809</v>
      </c>
      <c r="FU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7" t="e">
        <f t="shared" si="80"/>
        <v>#N/A</v>
      </c>
      <c r="GE71" s="57" t="e">
        <f ca="1">AVERAGE(OFFSET($GD$3,0,0,'Données projet'!$E$17+1,1))-AVERAGE(OFFSET($H$3,0,0,'Données projet'!$E$17+1,1))</f>
        <v>#N/A</v>
      </c>
      <c r="GF71" s="57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7" t="e">
        <f t="shared" si="83"/>
        <v>#N/A</v>
      </c>
      <c r="GZ71" s="57" t="e">
        <f ca="1">AVERAGE(OFFSET($GY$3,0,0,'Données projet'!$E$18+1,1))-AVERAGE(OFFSET($H$3,0,0,'Données projet'!$E$18+1,1))</f>
        <v>#N/A</v>
      </c>
      <c r="HA71" s="57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1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5">
        <f t="shared" si="56"/>
        <v>183.33333333333334</v>
      </c>
      <c r="I72" s="6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265.83023999999995</v>
      </c>
      <c r="P72" s="13">
        <f t="shared" si="87"/>
        <v>63.963540982526439</v>
      </c>
      <c r="Q72" s="20">
        <f t="shared" si="54"/>
        <v>574.39083521123348</v>
      </c>
      <c r="R72" s="57">
        <f t="shared" si="55"/>
        <v>840.32099556130004</v>
      </c>
      <c r="S72" s="57">
        <f ca="1">AVERAGE(OFFSET($R$3,0,0,'Données projet'!$E$9+1,1))-AVERAGE(OFFSET($H$3,0,0,'Données projet'!$E$9+1,1))</f>
        <v>539.63700256763173</v>
      </c>
      <c r="T72" s="57">
        <f t="shared" si="88"/>
        <v>297.32483725004136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247.49712</v>
      </c>
      <c r="AK72" s="13">
        <f t="shared" si="89"/>
        <v>60.049673316050104</v>
      </c>
      <c r="AL72" s="20">
        <f t="shared" si="58"/>
        <v>535.64399835878714</v>
      </c>
      <c r="AM72" s="57">
        <f t="shared" si="59"/>
        <v>801.5741587088537</v>
      </c>
      <c r="AN72" s="57">
        <f ca="1">AVERAGE(OFFSET($AM$3,0,0,'Données projet'!$E$10+1,1))-AVERAGE(OFFSET($H$3,0,0,'Données projet'!$E$10+1,1))</f>
        <v>508.21188526136734</v>
      </c>
      <c r="AO72" s="57">
        <f t="shared" si="90"/>
        <v>281.06176764290592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14.853518518518513</v>
      </c>
      <c r="BD72" s="12">
        <f>IF('Données projet'!$A$88&gt;35,BD71+BC72-BL71,IF(A72&lt;'Données projet'!$A$88,$BA$205^A72,IF(A72='Données projet'!$A$88,'Données projet'!$B$88,BD71+BC72-BL71)))</f>
        <v>665.14648148148126</v>
      </c>
      <c r="BE72" s="13">
        <f>BD72*VLOOKUP('Données projet'!$B$11,Paramètres!$A$1:$I$89,3,0)*VLOOKUP('Données projet'!$B$11,Paramètres!$A$1:$I$89,5,0)</f>
        <v>311.2885533333332</v>
      </c>
      <c r="BF72" s="13">
        <f t="shared" si="91"/>
        <v>73.537866394336561</v>
      </c>
      <c r="BG72" s="20">
        <f t="shared" si="61"/>
        <v>670.23934769235814</v>
      </c>
      <c r="BH72" s="57">
        <f t="shared" si="62"/>
        <v>936.1695080424247</v>
      </c>
      <c r="BI72" s="57">
        <f ca="1">AVERAGE(OFFSET($BH$3,0,0,'Données projet'!$E$11+1,1))-AVERAGE(OFFSET($H$3,0,0,'Données projet'!$E$11+1,1))</f>
        <v>449.50723280509311</v>
      </c>
      <c r="BJ72" s="57">
        <f t="shared" si="92"/>
        <v>281.26353650058275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40.04623066653717</v>
      </c>
      <c r="BQ72" s="21">
        <f>EXP(-LN(2)/25)*BQ71+(1-EXP(-LN(2)/25))/(LN(2)/25)*Calculateur!BL72*Calculateur!BN72*VLOOKUP('Données projet'!$B$11,Paramètres!$A$1:$I$89,3,0)*0.475*44/12</f>
        <v>9.851443161470538</v>
      </c>
      <c r="BR72" s="21">
        <f>EXP(-LN(2)/2)*BR71+(1-EXP(-LN(2)/2))/(LN(2)/2)*BL72*BO72*VLOOKUP('Données projet'!$B$11,Paramètres!$A$1:$I$89,3,0)*0.475*44/12</f>
        <v>0.28048212846777465</v>
      </c>
      <c r="BS72" s="22">
        <f t="shared" si="63"/>
        <v>50.178155956475486</v>
      </c>
      <c r="BT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</v>
      </c>
      <c r="BY72" s="12">
        <f>IF('Données projet'!$A$114&gt;35,BY71+BX72-CG71,IF(A72&lt;'Données projet'!$A$114,$BV$205^A72,IF(A72='Données projet'!$A$114,'Données projet'!$B$114,BY71+BX72-CG71)))</f>
        <v>235.19999999999996</v>
      </c>
      <c r="BZ72" s="13">
        <f>BY72*VLOOKUP('Données projet'!$B$12,Paramètres!$A$1:$I$89,3,0)*VLOOKUP('Données projet'!$B$12,Paramètres!$A$1:$I$89,5,0)</f>
        <v>223.81631999999999</v>
      </c>
      <c r="CA72" s="13">
        <f t="shared" si="93"/>
        <v>54.94351196072666</v>
      </c>
      <c r="CB72" s="20">
        <f t="shared" si="64"/>
        <v>485.50670733159899</v>
      </c>
      <c r="CC72" s="57">
        <f t="shared" si="65"/>
        <v>751.43686768166549</v>
      </c>
      <c r="CD72" s="57">
        <f ca="1">AVERAGE(OFFSET($CC$3,0,0,'Données projet'!$E$12+1,1))-AVERAGE(OFFSET($H$3,0,0,'Données projet'!$E$12+1,1))</f>
        <v>479.4551766174892</v>
      </c>
      <c r="CE72" s="57">
        <f t="shared" si="94"/>
        <v>260.29028006191834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-2.2737367544323206E-13</v>
      </c>
      <c r="CU72" s="17">
        <f>CT72*VLOOKUP('Données projet'!$B$13,Paramètres!$A$1:$I$89,3,0)*VLOOKUP('Données projet'!$B$13,Paramètres!$A$1:$I$89,5,0)</f>
        <v>-1.2710188457276673E-13</v>
      </c>
      <c r="CV72" s="13" t="e">
        <f t="shared" si="95"/>
        <v>#NUM!</v>
      </c>
      <c r="CW72" s="20" t="e">
        <f t="shared" si="67"/>
        <v>#NUM!</v>
      </c>
      <c r="CX72" s="57" t="e">
        <f t="shared" si="68"/>
        <v>#NUM!</v>
      </c>
      <c r="CY72" s="57">
        <f ca="1">AVERAGE(OFFSET($CX$3,0,0,'Données projet'!$E$13+1,1))-AVERAGE(OFFSET($H$3,0,0,'Données projet'!$E$13+1,1))</f>
        <v>459.83870442974046</v>
      </c>
      <c r="CZ72" s="57">
        <f t="shared" si="96"/>
        <v>565.68976940602215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216.53539879838331</v>
      </c>
      <c r="DG72" s="21">
        <f>EXP(-LN(2)/25)*DG71+(1-EXP(-LN(2)/25))/(LN(2)/25)*Calculateur!DB72*Calculateur!DD72*VLOOKUP('Données projet'!$B$13,Paramètres!$A$1:$I$89,3,0)*0.475*44/12</f>
        <v>50.197199776295292</v>
      </c>
      <c r="DH72" s="21">
        <f>EXP(-LN(2)/2)*DH71+(1-EXP(-LN(2)/2))/(LN(2)/2)*DB72*DE72*VLOOKUP('Données projet'!$B$13,Paramètres!$A$1:$I$89,3,0)*0.475*44/12</f>
        <v>2.4890534522947654</v>
      </c>
      <c r="DI72" s="22">
        <f t="shared" si="69"/>
        <v>269.22165202697335</v>
      </c>
      <c r="DJ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7" t="e">
        <f t="shared" si="71"/>
        <v>#NUM!</v>
      </c>
      <c r="DT72" s="57">
        <f ca="1">AVERAGE(OFFSET($DS$3,0,0,'Données projet'!$E$14+1,1))-AVERAGE(OFFSET($H$3,0,0,'Données projet'!$E$14+1,1))</f>
        <v>315.23504986325418</v>
      </c>
      <c r="DU72" s="57">
        <f t="shared" si="98"/>
        <v>350.52837099886688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117.66845010051686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117.66845010051686</v>
      </c>
      <c r="EE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4.6000000000000014</v>
      </c>
      <c r="EJ72" s="12">
        <f>IF('Données projet'!$A$192&gt;35,EJ71+EI72-ER71,IF(A72&lt;'Données projet'!$A$192,$EG$205^A72,IF(A72='Données projet'!$A$192,'Données projet'!$B$192,EJ71+EI72-ER71)))</f>
        <v>114.19999999999993</v>
      </c>
      <c r="EK72" s="17">
        <f>EJ72*VLOOKUP('Données projet'!$B$15,Paramètres!$A$1:$I$89,3,0)*VLOOKUP('Données projet'!$B$15,Paramètres!$A$1:$I$89,5,0)</f>
        <v>110.45423999999994</v>
      </c>
      <c r="EL72" s="13">
        <f t="shared" si="99"/>
        <v>29.437981377770335</v>
      </c>
      <c r="EM72" s="20">
        <f t="shared" si="73"/>
        <v>243.64561889961655</v>
      </c>
      <c r="EN72" s="57">
        <f t="shared" si="74"/>
        <v>509.57577924968314</v>
      </c>
      <c r="EO72" s="57">
        <f ca="1">AVERAGE(OFFSET($EN$3,0,0,'Données projet'!$E$15+1,1))-AVERAGE(OFFSET($H$3,0,0,'Données projet'!$E$15+1,1))</f>
        <v>328.31200866623891</v>
      </c>
      <c r="EP72" s="57">
        <f t="shared" si="100"/>
        <v>195.52650232917446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9.5609148960574473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9.5609148960574473</v>
      </c>
      <c r="EZ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>
        <f>FE72*VLOOKUP('Données projet'!$B$16,Paramètres!$A$1:$I$89,3,0)*VLOOKUP('Données projet'!$B$16,Paramètres!$A$1:$I$89,5,0)</f>
        <v>0</v>
      </c>
      <c r="FG72" s="13" t="e">
        <f t="shared" si="101"/>
        <v>#NUM!</v>
      </c>
      <c r="FH72" s="20" t="e">
        <f t="shared" si="76"/>
        <v>#NUM!</v>
      </c>
      <c r="FI72" s="57" t="e">
        <f t="shared" si="77"/>
        <v>#NUM!</v>
      </c>
      <c r="FJ72" s="57">
        <f ca="1">AVERAGE(OFFSET($FI$3,0,0,'Données projet'!$E$16+1,1))-AVERAGE(OFFSET($H$3,0,0,'Données projet'!$E$16+1,1))</f>
        <v>142.88219003619457</v>
      </c>
      <c r="FK72" s="57">
        <f t="shared" si="102"/>
        <v>288.69704547625088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22.678084980806986</v>
      </c>
      <c r="FR72" s="21">
        <f>EXP(-LN(2)/25)*FR71+(1-EXP(-LN(2)/25))/(LN(2)/25)*Calculateur!FM72*Calculateur!FO72*VLOOKUP('Données projet'!$B$16,Paramètres!$A$1:$I$89,3,0)*0.475*44/12</f>
        <v>4.2119686984207787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26.890053679227766</v>
      </c>
      <c r="FU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7" t="e">
        <f t="shared" si="80"/>
        <v>#N/A</v>
      </c>
      <c r="GE72" s="57" t="e">
        <f ca="1">AVERAGE(OFFSET($GD$3,0,0,'Données projet'!$E$17+1,1))-AVERAGE(OFFSET($H$3,0,0,'Données projet'!$E$17+1,1))</f>
        <v>#N/A</v>
      </c>
      <c r="GF72" s="57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7" t="e">
        <f t="shared" si="83"/>
        <v>#N/A</v>
      </c>
      <c r="GZ72" s="57" t="e">
        <f ca="1">AVERAGE(OFFSET($GY$3,0,0,'Données projet'!$E$18+1,1))-AVERAGE(OFFSET($H$3,0,0,'Données projet'!$E$18+1,1))</f>
        <v>#N/A</v>
      </c>
      <c r="HA72" s="57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1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5">
        <f t="shared" si="56"/>
        <v>183.33333333333334</v>
      </c>
      <c r="I73" s="6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273.24959999999999</v>
      </c>
      <c r="P73" s="13">
        <f t="shared" si="87"/>
        <v>65.538435495514321</v>
      </c>
      <c r="Q73" s="20">
        <f t="shared" si="54"/>
        <v>590.05582848802067</v>
      </c>
      <c r="R73" s="57">
        <f t="shared" si="55"/>
        <v>856.46137262503021</v>
      </c>
      <c r="S73" s="57">
        <f ca="1">AVERAGE(OFFSET($R$3,0,0,'Données projet'!$E$9+1,1))-AVERAGE(OFFSET($H$3,0,0,'Données projet'!$E$9+1,1))</f>
        <v>539.63700256763173</v>
      </c>
      <c r="T73" s="57">
        <f t="shared" si="88"/>
        <v>297.32483725004136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254.40479999999999</v>
      </c>
      <c r="AK73" s="13">
        <f t="shared" si="89"/>
        <v>61.52820154571765</v>
      </c>
      <c r="AL73" s="20">
        <f t="shared" si="58"/>
        <v>550.24997769212484</v>
      </c>
      <c r="AM73" s="57">
        <f t="shared" si="59"/>
        <v>816.65552182913439</v>
      </c>
      <c r="AN73" s="57">
        <f ca="1">AVERAGE(OFFSET($AM$3,0,0,'Données projet'!$E$10+1,1))-AVERAGE(OFFSET($H$3,0,0,'Données projet'!$E$10+1,1))</f>
        <v>508.21188526136734</v>
      </c>
      <c r="AO73" s="57">
        <f t="shared" si="90"/>
        <v>281.06176764290592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680</v>
      </c>
      <c r="BB73" s="12">
        <f>VLOOKUP(A73,'Données projet'!$A$87:$I$107,9,0)</f>
        <v>14.853518518518513</v>
      </c>
      <c r="BC73" s="12">
        <f t="array" ref="BC73">INDEX(BB:BB,MIN(IF(ISNUMBER(BB73:BB269),ROW(BB73:BB269),"")))</f>
        <v>14.853518518518513</v>
      </c>
      <c r="BD73" s="12">
        <f>IF('Données projet'!$A$88&gt;35,BD72+BC73-BL72,IF(A73&lt;'Données projet'!$A$88,$BA$205^A73,IF(A73='Données projet'!$A$88,'Données projet'!$B$88,BD72+BC73-BL72)))</f>
        <v>679.99999999999977</v>
      </c>
      <c r="BE73" s="13">
        <f>BD73*VLOOKUP('Données projet'!$B$11,Paramètres!$A$1:$I$89,3,0)*VLOOKUP('Données projet'!$B$11,Paramètres!$A$1:$I$89,5,0)</f>
        <v>318.2399999999999</v>
      </c>
      <c r="BF73" s="13">
        <f t="shared" si="91"/>
        <v>74.987033972743831</v>
      </c>
      <c r="BG73" s="20">
        <f t="shared" si="61"/>
        <v>684.87041750252865</v>
      </c>
      <c r="BH73" s="57">
        <f t="shared" si="62"/>
        <v>951.27596163953808</v>
      </c>
      <c r="BI73" s="57">
        <f ca="1">AVERAGE(OFFSET($BH$3,0,0,'Données projet'!$E$11+1,1))-AVERAGE(OFFSET($H$3,0,0,'Données projet'!$E$11+1,1))</f>
        <v>449.50723280509311</v>
      </c>
      <c r="BJ73" s="57">
        <f t="shared" si="92"/>
        <v>281.26353650058275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111.0774691358025</v>
      </c>
      <c r="BM73" s="16">
        <f>IF(ISNA(VLOOKUP(A73,'Données projet'!$A$87:$I$107,5,0)),0%,VLOOKUP(A73,'Données projet'!$A$87:$I$107,5,0)*VLOOKUP('Données projet'!$B$11,Paramètres!$A$1:$I$89,7,0))</f>
        <v>0.38500000000000001</v>
      </c>
      <c r="BN73" s="16">
        <f>IF(ISNA(VLOOKUP(A73,'Données projet'!$A$87:$I$107,6,0)),0%,VLOOKUP(A73,'Données projet'!$A$87:$I$107,6,0)*VLOOKUP('Données projet'!$B$11,Paramètres!$A$1:$I$89,7,0))</f>
        <v>9.240000000000001E-2</v>
      </c>
      <c r="BO73" s="16">
        <f>IF(ISNA(VLOOKUP(A73,'Données projet'!$A$87:$I$107,7,0)),0%,VLOOKUP(A73,'Données projet'!$A$87:$I$107,7,0))</f>
        <v>0.13200000000000001</v>
      </c>
      <c r="BP73" s="21">
        <f>EXP(-LN(2)/35)*BP72+(1-EXP(-LN(2)/35))/(LN(2)/35)*BL73*BM73*VLOOKUP('Données projet'!$B$11,Paramètres!$A$1:$I$89,3,0)*0.475*44/12</f>
        <v>65.810727789012134</v>
      </c>
      <c r="BQ73" s="21">
        <f>EXP(-LN(2)/25)*BQ72+(1-EXP(-LN(2)/25))/(LN(2)/25)*Calculateur!BL73*Calculateur!BN73*VLOOKUP('Données projet'!$B$11,Paramètres!$A$1:$I$89,3,0)*0.475*44/12</f>
        <v>15.928913174020602</v>
      </c>
      <c r="BR73" s="21">
        <f>EXP(-LN(2)/2)*BR72+(1-EXP(-LN(2)/2))/(LN(2)/2)*BL73*BO73*VLOOKUP('Données projet'!$B$11,Paramètres!$A$1:$I$89,3,0)*0.475*44/12</f>
        <v>7.9676202246199921</v>
      </c>
      <c r="BS73" s="22">
        <f t="shared" si="63"/>
        <v>89.707261187652733</v>
      </c>
      <c r="BT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242</v>
      </c>
      <c r="BW73" s="12">
        <f>VLOOKUP(A73,'Données projet'!$A$113:$I$133,9,0)</f>
        <v>6.8</v>
      </c>
      <c r="BX73" s="12">
        <f t="array" ref="BX73">INDEX(BW:BW,MIN(IF(ISNUMBER(BW73:BW269),ROW(BW73:BW269),"")))</f>
        <v>6.8</v>
      </c>
      <c r="BY73" s="12">
        <f>IF('Données projet'!$A$114&gt;35,BY72+BX73-CG72,IF(A73&lt;'Données projet'!$A$114,$BV$205^A73,IF(A73='Données projet'!$A$114,'Données projet'!$B$114,BY72+BX73-CG72)))</f>
        <v>241.99999999999997</v>
      </c>
      <c r="BZ73" s="13">
        <f>BY73*VLOOKUP('Données projet'!$B$12,Paramètres!$A$1:$I$89,3,0)*VLOOKUP('Données projet'!$B$12,Paramètres!$A$1:$I$89,5,0)</f>
        <v>230.28719999999998</v>
      </c>
      <c r="CA73" s="13">
        <f t="shared" si="93"/>
        <v>56.344776374959956</v>
      </c>
      <c r="CB73" s="20">
        <f t="shared" si="64"/>
        <v>499.2173588530552</v>
      </c>
      <c r="CC73" s="57">
        <f t="shared" si="65"/>
        <v>765.62290299006463</v>
      </c>
      <c r="CD73" s="57">
        <f ca="1">AVERAGE(OFFSET($CC$3,0,0,'Données projet'!$E$12+1,1))-AVERAGE(OFFSET($H$3,0,0,'Données projet'!$E$12+1,1))</f>
        <v>479.4551766174892</v>
      </c>
      <c r="CE73" s="57">
        <f t="shared" si="94"/>
        <v>260.29028006191834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-2.2737367544323206E-13</v>
      </c>
      <c r="CU73" s="17">
        <f>CT73*VLOOKUP('Données projet'!$B$13,Paramètres!$A$1:$I$89,3,0)*VLOOKUP('Données projet'!$B$13,Paramètres!$A$1:$I$89,5,0)</f>
        <v>-1.2710188457276673E-13</v>
      </c>
      <c r="CV73" s="13" t="e">
        <f t="shared" si="95"/>
        <v>#NUM!</v>
      </c>
      <c r="CW73" s="20" t="e">
        <f t="shared" si="67"/>
        <v>#NUM!</v>
      </c>
      <c r="CX73" s="57" t="e">
        <f t="shared" si="68"/>
        <v>#NUM!</v>
      </c>
      <c r="CY73" s="57">
        <f ca="1">AVERAGE(OFFSET($CX$3,0,0,'Données projet'!$E$13+1,1))-AVERAGE(OFFSET($H$3,0,0,'Données projet'!$E$13+1,1))</f>
        <v>459.83870442974046</v>
      </c>
      <c r="CZ73" s="57">
        <f t="shared" si="96"/>
        <v>565.68976940602215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212.2892717014991</v>
      </c>
      <c r="DG73" s="21">
        <f>EXP(-LN(2)/25)*DG72+(1-EXP(-LN(2)/25))/(LN(2)/25)*Calculateur!DB73*Calculateur!DD73*VLOOKUP('Données projet'!$B$13,Paramètres!$A$1:$I$89,3,0)*0.475*44/12</f>
        <v>48.824554708656486</v>
      </c>
      <c r="DH73" s="21">
        <f>EXP(-LN(2)/2)*DH72+(1-EXP(-LN(2)/2))/(LN(2)/2)*DB73*DE73*VLOOKUP('Données projet'!$B$13,Paramètres!$A$1:$I$89,3,0)*0.475*44/12</f>
        <v>1.7600265748534154</v>
      </c>
      <c r="DI73" s="22">
        <f t="shared" si="69"/>
        <v>262.87385298500902</v>
      </c>
      <c r="DJ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7" t="e">
        <f t="shared" si="71"/>
        <v>#NUM!</v>
      </c>
      <c r="DT73" s="57">
        <f ca="1">AVERAGE(OFFSET($DS$3,0,0,'Données projet'!$E$14+1,1))-AVERAGE(OFFSET($H$3,0,0,'Données projet'!$E$14+1,1))</f>
        <v>315.23504986325418</v>
      </c>
      <c r="DU73" s="57">
        <f t="shared" si="98"/>
        <v>350.52837099886688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115.36104356471353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115.36104356471353</v>
      </c>
      <c r="EE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4.6000000000000014</v>
      </c>
      <c r="EJ73" s="12">
        <f>IF('Données projet'!$A$192&gt;35,EJ72+EI73-ER72,IF(A73&lt;'Données projet'!$A$192,$EG$205^A73,IF(A73='Données projet'!$A$192,'Données projet'!$B$192,EJ72+EI73-ER72)))</f>
        <v>118.79999999999993</v>
      </c>
      <c r="EK73" s="17">
        <f>EJ73*VLOOKUP('Données projet'!$B$15,Paramètres!$A$1:$I$89,3,0)*VLOOKUP('Données projet'!$B$15,Paramètres!$A$1:$I$89,5,0)</f>
        <v>114.90335999999992</v>
      </c>
      <c r="EL73" s="13">
        <f t="shared" si="99"/>
        <v>30.483305866236858</v>
      </c>
      <c r="EM73" s="20">
        <f t="shared" si="73"/>
        <v>253.21510971702904</v>
      </c>
      <c r="EN73" s="57">
        <f t="shared" si="74"/>
        <v>519.62065385403855</v>
      </c>
      <c r="EO73" s="57">
        <f ca="1">AVERAGE(OFFSET($EN$3,0,0,'Données projet'!$E$15+1,1))-AVERAGE(OFFSET($H$3,0,0,'Données projet'!$E$15+1,1))</f>
        <v>328.31200866623891</v>
      </c>
      <c r="EP73" s="57">
        <f t="shared" si="100"/>
        <v>195.52650232917446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9.3734311865280269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9.3734311865280269</v>
      </c>
      <c r="EZ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>
        <f>FE73*VLOOKUP('Données projet'!$B$16,Paramètres!$A$1:$I$89,3,0)*VLOOKUP('Données projet'!$B$16,Paramètres!$A$1:$I$89,5,0)</f>
        <v>0</v>
      </c>
      <c r="FG73" s="13" t="e">
        <f t="shared" si="101"/>
        <v>#NUM!</v>
      </c>
      <c r="FH73" s="20" t="e">
        <f t="shared" si="76"/>
        <v>#NUM!</v>
      </c>
      <c r="FI73" s="57" t="e">
        <f t="shared" si="77"/>
        <v>#NUM!</v>
      </c>
      <c r="FJ73" s="57">
        <f ca="1">AVERAGE(OFFSET($FI$3,0,0,'Données projet'!$E$16+1,1))-AVERAGE(OFFSET($H$3,0,0,'Données projet'!$E$16+1,1))</f>
        <v>142.88219003619457</v>
      </c>
      <c r="FK73" s="57">
        <f t="shared" si="102"/>
        <v>288.69704547625088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22.233381566599377</v>
      </c>
      <c r="FR73" s="21">
        <f>EXP(-LN(2)/25)*FR72+(1-EXP(-LN(2)/25))/(LN(2)/25)*Calculateur!FM73*Calculateur!FO73*VLOOKUP('Données projet'!$B$16,Paramètres!$A$1:$I$89,3,0)*0.475*44/12</f>
        <v>4.0967921928646556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26.330173759464031</v>
      </c>
      <c r="FU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7" t="e">
        <f t="shared" si="80"/>
        <v>#N/A</v>
      </c>
      <c r="GE73" s="57" t="e">
        <f ca="1">AVERAGE(OFFSET($GD$3,0,0,'Données projet'!$E$17+1,1))-AVERAGE(OFFSET($H$3,0,0,'Données projet'!$E$17+1,1))</f>
        <v>#N/A</v>
      </c>
      <c r="GF73" s="57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7" t="e">
        <f t="shared" si="83"/>
        <v>#N/A</v>
      </c>
      <c r="GZ73" s="57" t="e">
        <f ca="1">AVERAGE(OFFSET($GY$3,0,0,'Données projet'!$E$18+1,1))-AVERAGE(OFFSET($H$3,0,0,'Données projet'!$E$18+1,1))</f>
        <v>#N/A</v>
      </c>
      <c r="HA73" s="57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1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5">
        <f t="shared" si="56"/>
        <v>183.33333333333334</v>
      </c>
      <c r="I74" s="6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254.79167999999996</v>
      </c>
      <c r="P74" s="13">
        <f t="shared" si="87"/>
        <v>61.610870508448471</v>
      </c>
      <c r="Q74" s="20">
        <f t="shared" si="54"/>
        <v>551.067775468881</v>
      </c>
      <c r="R74" s="57">
        <f t="shared" si="55"/>
        <v>817.940456546929</v>
      </c>
      <c r="S74" s="57">
        <f ca="1">AVERAGE(OFFSET($R$3,0,0,'Données projet'!$E$9+1,1))-AVERAGE(OFFSET($H$3,0,0,'Données projet'!$E$9+1,1))</f>
        <v>539.63700256763173</v>
      </c>
      <c r="T74" s="57">
        <f t="shared" si="88"/>
        <v>297.32483725004136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237.21984</v>
      </c>
      <c r="AK74" s="13">
        <f t="shared" si="89"/>
        <v>57.840960489671517</v>
      </c>
      <c r="AL74" s="20">
        <f t="shared" si="58"/>
        <v>513.89756085284455</v>
      </c>
      <c r="AM74" s="57">
        <f t="shared" si="59"/>
        <v>780.77024193089255</v>
      </c>
      <c r="AN74" s="57">
        <f ca="1">AVERAGE(OFFSET($AM$3,0,0,'Données projet'!$E$10+1,1))-AVERAGE(OFFSET($H$3,0,0,'Données projet'!$E$10+1,1))</f>
        <v>508.21188526136734</v>
      </c>
      <c r="AO74" s="57">
        <f t="shared" si="90"/>
        <v>281.06176764290592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13.107746913580252</v>
      </c>
      <c r="BD74" s="12">
        <f>IF('Données projet'!$A$88&gt;35,BD73+BC74-BL73,IF(A74&lt;'Données projet'!$A$88,$BA$205^A74,IF(A74='Données projet'!$A$88,'Données projet'!$B$88,BD73+BC74-BL73)))</f>
        <v>582.03027777777754</v>
      </c>
      <c r="BE74" s="13">
        <f>BD74*VLOOKUP('Données projet'!$B$11,Paramètres!$A$1:$I$89,3,0)*VLOOKUP('Données projet'!$B$11,Paramètres!$A$1:$I$89,5,0)</f>
        <v>272.3901699999999</v>
      </c>
      <c r="BF74" s="13">
        <f t="shared" si="91"/>
        <v>65.356263197838587</v>
      </c>
      <c r="BG74" s="20">
        <f t="shared" si="61"/>
        <v>588.24170448623534</v>
      </c>
      <c r="BH74" s="57">
        <f t="shared" si="62"/>
        <v>855.11438556428334</v>
      </c>
      <c r="BI74" s="57">
        <f ca="1">AVERAGE(OFFSET($BH$3,0,0,'Données projet'!$E$11+1,1))-AVERAGE(OFFSET($H$3,0,0,'Données projet'!$E$11+1,1))</f>
        <v>449.50723280509311</v>
      </c>
      <c r="BJ74" s="57">
        <f t="shared" si="92"/>
        <v>281.26353650058275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64.520219557650009</v>
      </c>
      <c r="BQ74" s="21">
        <f>EXP(-LN(2)/25)*BQ73+(1-EXP(-LN(2)/25))/(LN(2)/25)*Calculateur!BL74*Calculateur!BN74*VLOOKUP('Données projet'!$B$11,Paramètres!$A$1:$I$89,3,0)*0.475*44/12</f>
        <v>15.493336205611872</v>
      </c>
      <c r="BR74" s="21">
        <f>EXP(-LN(2)/2)*BR73+(1-EXP(-LN(2)/2))/(LN(2)/2)*BL74*BO74*VLOOKUP('Données projet'!$B$11,Paramètres!$A$1:$I$89,3,0)*0.475*44/12</f>
        <v>5.6339582907478798</v>
      </c>
      <c r="BS74" s="22">
        <f t="shared" si="63"/>
        <v>85.647514054009761</v>
      </c>
      <c r="BT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6.2</v>
      </c>
      <c r="BY74" s="12">
        <f>IF('Données projet'!$A$114&gt;35,BY73+BX74-CG73,IF(A74&lt;'Données projet'!$A$114,$BV$205^A74,IF(A74='Données projet'!$A$114,'Données projet'!$B$114,BY73+BX74-CG73)))</f>
        <v>227.19999999999996</v>
      </c>
      <c r="BZ74" s="13">
        <f>BY74*VLOOKUP('Données projet'!$B$12,Paramètres!$A$1:$I$89,3,0)*VLOOKUP('Données projet'!$B$12,Paramètres!$A$1:$I$89,5,0)</f>
        <v>216.20351999999997</v>
      </c>
      <c r="CA74" s="13">
        <f t="shared" si="93"/>
        <v>53.288905450648613</v>
      </c>
      <c r="CB74" s="20">
        <f t="shared" si="64"/>
        <v>469.36597432654622</v>
      </c>
      <c r="CC74" s="57">
        <f t="shared" si="65"/>
        <v>736.23865540459417</v>
      </c>
      <c r="CD74" s="57">
        <f ca="1">AVERAGE(OFFSET($CC$3,0,0,'Données projet'!$E$12+1,1))-AVERAGE(OFFSET($H$3,0,0,'Données projet'!$E$12+1,1))</f>
        <v>479.4551766174892</v>
      </c>
      <c r="CE74" s="57">
        <f t="shared" si="94"/>
        <v>260.29028006191834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-2.2737367544323206E-13</v>
      </c>
      <c r="CU74" s="17">
        <f>CT74*VLOOKUP('Données projet'!$B$13,Paramètres!$A$1:$I$89,3,0)*VLOOKUP('Données projet'!$B$13,Paramètres!$A$1:$I$89,5,0)</f>
        <v>-1.2710188457276673E-13</v>
      </c>
      <c r="CV74" s="13" t="e">
        <f t="shared" si="95"/>
        <v>#NUM!</v>
      </c>
      <c r="CW74" s="20" t="e">
        <f t="shared" si="67"/>
        <v>#NUM!</v>
      </c>
      <c r="CX74" s="57" t="e">
        <f t="shared" si="68"/>
        <v>#NUM!</v>
      </c>
      <c r="CY74" s="57">
        <f ca="1">AVERAGE(OFFSET($CX$3,0,0,'Données projet'!$E$13+1,1))-AVERAGE(OFFSET($H$3,0,0,'Données projet'!$E$13+1,1))</f>
        <v>459.83870442974046</v>
      </c>
      <c r="CZ74" s="57">
        <f t="shared" si="96"/>
        <v>565.68976940602215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208.126408567103</v>
      </c>
      <c r="DG74" s="21">
        <f>EXP(-LN(2)/25)*DG73+(1-EXP(-LN(2)/25))/(LN(2)/25)*Calculateur!DB74*Calculateur!DD74*VLOOKUP('Données projet'!$B$13,Paramètres!$A$1:$I$89,3,0)*0.475*44/12</f>
        <v>47.489444692576534</v>
      </c>
      <c r="DH74" s="21">
        <f>EXP(-LN(2)/2)*DH73+(1-EXP(-LN(2)/2))/(LN(2)/2)*DB74*DE74*VLOOKUP('Données projet'!$B$13,Paramètres!$A$1:$I$89,3,0)*0.475*44/12</f>
        <v>1.2445267261473827</v>
      </c>
      <c r="DI74" s="22">
        <f t="shared" si="69"/>
        <v>256.86037998582691</v>
      </c>
      <c r="DJ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7" t="e">
        <f t="shared" si="71"/>
        <v>#NUM!</v>
      </c>
      <c r="DT74" s="57">
        <f ca="1">AVERAGE(OFFSET($DS$3,0,0,'Données projet'!$E$14+1,1))-AVERAGE(OFFSET($H$3,0,0,'Données projet'!$E$14+1,1))</f>
        <v>315.23504986325418</v>
      </c>
      <c r="DU74" s="57">
        <f t="shared" si="98"/>
        <v>350.52837099886688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113.09888386369828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113.09888386369828</v>
      </c>
      <c r="EE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4.6000000000000014</v>
      </c>
      <c r="EJ74" s="12">
        <f>IF('Données projet'!$A$192&gt;35,EJ73+EI74-ER73,IF(A74&lt;'Données projet'!$A$192,$EG$205^A74,IF(A74='Données projet'!$A$192,'Données projet'!$B$192,EJ73+EI74-ER73)))</f>
        <v>123.39999999999992</v>
      </c>
      <c r="EK74" s="17">
        <f>EJ74*VLOOKUP('Données projet'!$B$15,Paramètres!$A$1:$I$89,3,0)*VLOOKUP('Données projet'!$B$15,Paramètres!$A$1:$I$89,5,0)</f>
        <v>119.35247999999993</v>
      </c>
      <c r="EL74" s="13">
        <f t="shared" si="99"/>
        <v>31.523928363619937</v>
      </c>
      <c r="EM74" s="20">
        <f t="shared" si="73"/>
        <v>262.7764112333046</v>
      </c>
      <c r="EN74" s="57">
        <f t="shared" si="74"/>
        <v>529.64909231135255</v>
      </c>
      <c r="EO74" s="57">
        <f ca="1">AVERAGE(OFFSET($EN$3,0,0,'Données projet'!$E$15+1,1))-AVERAGE(OFFSET($H$3,0,0,'Données projet'!$E$15+1,1))</f>
        <v>328.31200866623891</v>
      </c>
      <c r="EP74" s="57">
        <f t="shared" si="100"/>
        <v>195.52650232917446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9.1896239181887065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9.1896239181887065</v>
      </c>
      <c r="EZ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>
        <f>FE74*VLOOKUP('Données projet'!$B$16,Paramètres!$A$1:$I$89,3,0)*VLOOKUP('Données projet'!$B$16,Paramètres!$A$1:$I$89,5,0)</f>
        <v>0</v>
      </c>
      <c r="FG74" s="13" t="e">
        <f t="shared" si="101"/>
        <v>#NUM!</v>
      </c>
      <c r="FH74" s="20" t="e">
        <f t="shared" si="76"/>
        <v>#NUM!</v>
      </c>
      <c r="FI74" s="57" t="e">
        <f t="shared" si="77"/>
        <v>#NUM!</v>
      </c>
      <c r="FJ74" s="57">
        <f ca="1">AVERAGE(OFFSET($FI$3,0,0,'Données projet'!$E$16+1,1))-AVERAGE(OFFSET($H$3,0,0,'Données projet'!$E$16+1,1))</f>
        <v>142.88219003619457</v>
      </c>
      <c r="FK74" s="57">
        <f t="shared" si="102"/>
        <v>288.69704547625088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21.797398515102078</v>
      </c>
      <c r="FR74" s="21">
        <f>EXP(-LN(2)/25)*FR73+(1-EXP(-LN(2)/25))/(LN(2)/25)*Calculateur!FM74*Calculateur!FO74*VLOOKUP('Données projet'!$B$16,Paramètres!$A$1:$I$89,3,0)*0.475*44/12</f>
        <v>3.9847651949098335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25.782163710011911</v>
      </c>
      <c r="FU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7" t="e">
        <f t="shared" si="80"/>
        <v>#N/A</v>
      </c>
      <c r="GE74" s="57" t="e">
        <f ca="1">AVERAGE(OFFSET($GD$3,0,0,'Données projet'!$E$17+1,1))-AVERAGE(OFFSET($H$3,0,0,'Données projet'!$E$17+1,1))</f>
        <v>#N/A</v>
      </c>
      <c r="GF74" s="57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7" t="e">
        <f t="shared" si="83"/>
        <v>#N/A</v>
      </c>
      <c r="GZ74" s="57" t="e">
        <f ca="1">AVERAGE(OFFSET($GY$3,0,0,'Données projet'!$E$18+1,1))-AVERAGE(OFFSET($H$3,0,0,'Données projet'!$E$18+1,1))</f>
        <v>#N/A</v>
      </c>
      <c r="HA74" s="57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1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5">
        <f t="shared" si="56"/>
        <v>183.33333333333334</v>
      </c>
      <c r="I75" s="6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261.66816</v>
      </c>
      <c r="P75" s="13">
        <f t="shared" si="87"/>
        <v>63.077829793082856</v>
      </c>
      <c r="Q75" s="20">
        <f t="shared" si="54"/>
        <v>565.5992655562859</v>
      </c>
      <c r="R75" s="57">
        <f t="shared" si="55"/>
        <v>832.93097979380696</v>
      </c>
      <c r="S75" s="57">
        <f ca="1">AVERAGE(OFFSET($R$3,0,0,'Données projet'!$E$9+1,1))-AVERAGE(OFFSET($H$3,0,0,'Données projet'!$E$9+1,1))</f>
        <v>539.63700256763173</v>
      </c>
      <c r="T75" s="57">
        <f t="shared" si="88"/>
        <v>297.32483725004136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243.62208000000001</v>
      </c>
      <c r="AK75" s="13">
        <f t="shared" si="89"/>
        <v>59.218157943988587</v>
      </c>
      <c r="AL75" s="20">
        <f t="shared" si="58"/>
        <v>527.44674775244675</v>
      </c>
      <c r="AM75" s="57">
        <f t="shared" si="59"/>
        <v>794.77846198996781</v>
      </c>
      <c r="AN75" s="57">
        <f ca="1">AVERAGE(OFFSET($AM$3,0,0,'Données projet'!$E$10+1,1))-AVERAGE(OFFSET($H$3,0,0,'Données projet'!$E$10+1,1))</f>
        <v>508.21188526136734</v>
      </c>
      <c r="AO75" s="57">
        <f t="shared" si="90"/>
        <v>281.06176764290592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13.107746913580252</v>
      </c>
      <c r="BD75" s="12">
        <f>IF('Données projet'!$A$88&gt;35,BD74+BC75-BL74,IF(A75&lt;'Données projet'!$A$88,$BA$205^A75,IF(A75='Données projet'!$A$88,'Données projet'!$B$88,BD74+BC75-BL74)))</f>
        <v>595.13802469135783</v>
      </c>
      <c r="BE75" s="13">
        <f>BD75*VLOOKUP('Données projet'!$B$11,Paramètres!$A$1:$I$89,3,0)*VLOOKUP('Données projet'!$B$11,Paramètres!$A$1:$I$89,5,0)</f>
        <v>278.52459555555549</v>
      </c>
      <c r="BF75" s="13">
        <f t="shared" si="91"/>
        <v>66.65511770178415</v>
      </c>
      <c r="BG75" s="20">
        <f t="shared" si="61"/>
        <v>601.18800058986642</v>
      </c>
      <c r="BH75" s="57">
        <f t="shared" si="62"/>
        <v>868.51971482738759</v>
      </c>
      <c r="BI75" s="57">
        <f ca="1">AVERAGE(OFFSET($BH$3,0,0,'Données projet'!$E$11+1,1))-AVERAGE(OFFSET($H$3,0,0,'Données projet'!$E$11+1,1))</f>
        <v>449.50723280509311</v>
      </c>
      <c r="BJ75" s="57">
        <f t="shared" si="92"/>
        <v>281.26353650058275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63.255017405572595</v>
      </c>
      <c r="BQ75" s="21">
        <f>EXP(-LN(2)/25)*BQ74+(1-EXP(-LN(2)/25))/(LN(2)/25)*Calculateur!BL75*Calculateur!BN75*VLOOKUP('Données projet'!$B$11,Paramètres!$A$1:$I$89,3,0)*0.475*44/12</f>
        <v>15.069670112310275</v>
      </c>
      <c r="BR75" s="21">
        <f>EXP(-LN(2)/2)*BR74+(1-EXP(-LN(2)/2))/(LN(2)/2)*BL75*BO75*VLOOKUP('Données projet'!$B$11,Paramètres!$A$1:$I$89,3,0)*0.475*44/12</f>
        <v>3.9838101123099965</v>
      </c>
      <c r="BS75" s="22">
        <f t="shared" si="63"/>
        <v>82.308497630192861</v>
      </c>
      <c r="BT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6.2</v>
      </c>
      <c r="BY75" s="12">
        <f>IF('Données projet'!$A$114&gt;35,BY74+BX75-CG74,IF(A75&lt;'Données projet'!$A$114,$BV$205^A75,IF(A75='Données projet'!$A$114,'Données projet'!$B$114,BY74+BX75-CG74)))</f>
        <v>233.39999999999995</v>
      </c>
      <c r="BZ75" s="13">
        <f>BY75*VLOOKUP('Données projet'!$B$12,Paramètres!$A$1:$I$89,3,0)*VLOOKUP('Données projet'!$B$12,Paramètres!$A$1:$I$89,5,0)</f>
        <v>222.10343999999995</v>
      </c>
      <c r="CA75" s="13">
        <f t="shared" si="93"/>
        <v>54.571804516465022</v>
      </c>
      <c r="CB75" s="20">
        <f t="shared" si="64"/>
        <v>481.87605086617651</v>
      </c>
      <c r="CC75" s="57">
        <f t="shared" si="65"/>
        <v>749.20776510369762</v>
      </c>
      <c r="CD75" s="57">
        <f ca="1">AVERAGE(OFFSET($CC$3,0,0,'Données projet'!$E$12+1,1))-AVERAGE(OFFSET($H$3,0,0,'Données projet'!$E$12+1,1))</f>
        <v>479.4551766174892</v>
      </c>
      <c r="CE75" s="57">
        <f t="shared" si="94"/>
        <v>260.29028006191834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-2.2737367544323206E-13</v>
      </c>
      <c r="CU75" s="17">
        <f>CT75*VLOOKUP('Données projet'!$B$13,Paramètres!$A$1:$I$89,3,0)*VLOOKUP('Données projet'!$B$13,Paramètres!$A$1:$I$89,5,0)</f>
        <v>-1.2710188457276673E-13</v>
      </c>
      <c r="CV75" s="13" t="e">
        <f t="shared" si="95"/>
        <v>#NUM!</v>
      </c>
      <c r="CW75" s="20" t="e">
        <f t="shared" si="67"/>
        <v>#NUM!</v>
      </c>
      <c r="CX75" s="57" t="e">
        <f t="shared" si="68"/>
        <v>#NUM!</v>
      </c>
      <c r="CY75" s="57">
        <f ca="1">AVERAGE(OFFSET($CX$3,0,0,'Données projet'!$E$13+1,1))-AVERAGE(OFFSET($H$3,0,0,'Données projet'!$E$13+1,1))</f>
        <v>459.83870442974046</v>
      </c>
      <c r="CZ75" s="57">
        <f t="shared" si="96"/>
        <v>565.68976940602215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204.04517663967661</v>
      </c>
      <c r="DG75" s="21">
        <f>EXP(-LN(2)/25)*DG74+(1-EXP(-LN(2)/25))/(LN(2)/25)*Calculateur!DB75*Calculateur!DD75*VLOOKUP('Données projet'!$B$13,Paramètres!$A$1:$I$89,3,0)*0.475*44/12</f>
        <v>46.190843330096669</v>
      </c>
      <c r="DH75" s="21">
        <f>EXP(-LN(2)/2)*DH74+(1-EXP(-LN(2)/2))/(LN(2)/2)*DB75*DE75*VLOOKUP('Données projet'!$B$13,Paramètres!$A$1:$I$89,3,0)*0.475*44/12</f>
        <v>0.8800132874267077</v>
      </c>
      <c r="DI75" s="22">
        <f t="shared" si="69"/>
        <v>251.1160332572</v>
      </c>
      <c r="DJ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7" t="e">
        <f t="shared" si="71"/>
        <v>#NUM!</v>
      </c>
      <c r="DT75" s="57">
        <f ca="1">AVERAGE(OFFSET($DS$3,0,0,'Données projet'!$E$14+1,1))-AVERAGE(OFFSET($H$3,0,0,'Données projet'!$E$14+1,1))</f>
        <v>315.23504986325418</v>
      </c>
      <c r="DU75" s="57">
        <f t="shared" si="98"/>
        <v>350.52837099886688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110.88108373463875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110.88108373463875</v>
      </c>
      <c r="EE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>
        <f>VLOOKUP(A75,'Données projet'!$A$191:$I$211,2,0)</f>
        <v>128</v>
      </c>
      <c r="EH75" s="12">
        <f>VLOOKUP(A75,'Données projet'!$A$191:$I$211,9,0)</f>
        <v>4.6000000000000014</v>
      </c>
      <c r="EI75" s="12">
        <f t="array" ref="EI75">INDEX(EH:EH,MIN(IF(ISNUMBER(EH75:EH271),ROW(EH75:EH271),"")))</f>
        <v>4.6000000000000014</v>
      </c>
      <c r="EJ75" s="12">
        <f>IF('Données projet'!$A$192&gt;35,EJ74+EI75-ER74,IF(A75&lt;'Données projet'!$A$192,$EG$205^A75,IF(A75='Données projet'!$A$192,'Données projet'!$B$192,EJ74+EI75-ER74)))</f>
        <v>127.99999999999991</v>
      </c>
      <c r="EK75" s="17">
        <f>EJ75*VLOOKUP('Données projet'!$B$15,Paramètres!$A$1:$I$89,3,0)*VLOOKUP('Données projet'!$B$15,Paramètres!$A$1:$I$89,5,0)</f>
        <v>123.80159999999991</v>
      </c>
      <c r="EL75" s="13">
        <f t="shared" si="99"/>
        <v>32.560044217109514</v>
      </c>
      <c r="EM75" s="20">
        <f t="shared" si="73"/>
        <v>272.32986367813226</v>
      </c>
      <c r="EN75" s="57">
        <f t="shared" si="74"/>
        <v>539.66157791565342</v>
      </c>
      <c r="EO75" s="57">
        <f ca="1">AVERAGE(OFFSET($EN$3,0,0,'Données projet'!$E$15+1,1))-AVERAGE(OFFSET($H$3,0,0,'Données projet'!$E$15+1,1))</f>
        <v>328.31200866623891</v>
      </c>
      <c r="EP75" s="57">
        <f t="shared" si="100"/>
        <v>195.52650232917446</v>
      </c>
      <c r="EQ75" s="15">
        <f>IF(ISNA(VLOOKUP(A75,'Données projet'!$A$191:$I$211,3,0)),0,VLOOKUP(A75,'Données projet'!$A$191:$I$211,3,0))</f>
        <v>5</v>
      </c>
      <c r="ER75" s="15">
        <f>IF(ISNA(VLOOKUP(A75,'Données projet'!$A$191:$I$211,4,0)),0,VLOOKUP(A75,'Données projet'!$A$191:$I$211,4,0))</f>
        <v>25.6</v>
      </c>
      <c r="ES75" s="16">
        <f>IF(ISNA(VLOOKUP(A75,'Données projet'!$A$191:$I$211,5,0)),0%,VLOOKUP(A75,'Données projet'!$A$191:$I$211,5,0)*VLOOKUP('Données projet'!$B$15,Paramètres!$A$1:$I$89,7,0))</f>
        <v>0.30099999999999999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17.248332902945105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17.248332902945105</v>
      </c>
      <c r="EZ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>
        <f>FE75*VLOOKUP('Données projet'!$B$16,Paramètres!$A$1:$I$89,3,0)*VLOOKUP('Données projet'!$B$16,Paramètres!$A$1:$I$89,5,0)</f>
        <v>0</v>
      </c>
      <c r="FG75" s="13" t="e">
        <f t="shared" si="101"/>
        <v>#NUM!</v>
      </c>
      <c r="FH75" s="20" t="e">
        <f t="shared" si="76"/>
        <v>#NUM!</v>
      </c>
      <c r="FI75" s="57" t="e">
        <f t="shared" si="77"/>
        <v>#NUM!</v>
      </c>
      <c r="FJ75" s="57">
        <f ca="1">AVERAGE(OFFSET($FI$3,0,0,'Données projet'!$E$16+1,1))-AVERAGE(OFFSET($H$3,0,0,'Données projet'!$E$16+1,1))</f>
        <v>142.88219003619457</v>
      </c>
      <c r="FK75" s="57">
        <f t="shared" si="102"/>
        <v>288.69704547625088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21.369964825321237</v>
      </c>
      <c r="FR75" s="21">
        <f>EXP(-LN(2)/25)*FR74+(1-EXP(-LN(2)/25))/(LN(2)/25)*Calculateur!FM75*Calculateur!FO75*VLOOKUP('Données projet'!$B$16,Paramètres!$A$1:$I$89,3,0)*0.475*44/12</f>
        <v>3.8758015811053297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25.245766406426565</v>
      </c>
      <c r="FU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7" t="e">
        <f t="shared" si="80"/>
        <v>#N/A</v>
      </c>
      <c r="GE75" s="57" t="e">
        <f ca="1">AVERAGE(OFFSET($GD$3,0,0,'Données projet'!$E$17+1,1))-AVERAGE(OFFSET($H$3,0,0,'Données projet'!$E$17+1,1))</f>
        <v>#N/A</v>
      </c>
      <c r="GF75" s="57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7" t="e">
        <f t="shared" si="83"/>
        <v>#N/A</v>
      </c>
      <c r="GZ75" s="57" t="e">
        <f ca="1">AVERAGE(OFFSET($GY$3,0,0,'Données projet'!$E$18+1,1))-AVERAGE(OFFSET($H$3,0,0,'Données projet'!$E$18+1,1))</f>
        <v>#N/A</v>
      </c>
      <c r="HA75" s="57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1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5">
        <f t="shared" si="56"/>
        <v>183.33333333333334</v>
      </c>
      <c r="I76" s="6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268.54464000000002</v>
      </c>
      <c r="P76" s="13">
        <f t="shared" si="87"/>
        <v>64.54030807605065</v>
      </c>
      <c r="Q76" s="20">
        <f t="shared" si="54"/>
        <v>580.12295123245474</v>
      </c>
      <c r="R76" s="57">
        <f t="shared" si="55"/>
        <v>847.90573543037658</v>
      </c>
      <c r="S76" s="57">
        <f ca="1">AVERAGE(OFFSET($R$3,0,0,'Données projet'!$E$9+1,1))-AVERAGE(OFFSET($H$3,0,0,'Données projet'!$E$9+1,1))</f>
        <v>539.63700256763173</v>
      </c>
      <c r="T76" s="57">
        <f t="shared" si="88"/>
        <v>297.32483725004136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250.02432000000005</v>
      </c>
      <c r="AK76" s="13">
        <f t="shared" si="89"/>
        <v>60.591148584829206</v>
      </c>
      <c r="AL76" s="20">
        <f t="shared" si="58"/>
        <v>540.9886077852442</v>
      </c>
      <c r="AM76" s="57">
        <f t="shared" si="59"/>
        <v>808.77139198316604</v>
      </c>
      <c r="AN76" s="57">
        <f ca="1">AVERAGE(OFFSET($AM$3,0,0,'Données projet'!$E$10+1,1))-AVERAGE(OFFSET($H$3,0,0,'Données projet'!$E$10+1,1))</f>
        <v>508.21188526136734</v>
      </c>
      <c r="AO76" s="57">
        <f t="shared" si="90"/>
        <v>281.06176764290592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13.107746913580252</v>
      </c>
      <c r="BD76" s="12">
        <f>IF('Données projet'!$A$88&gt;35,BD75+BC76-BL75,IF(A76&lt;'Données projet'!$A$88,$BA$205^A76,IF(A76='Données projet'!$A$88,'Données projet'!$B$88,BD75+BC76-BL75)))</f>
        <v>608.24577160493811</v>
      </c>
      <c r="BE76" s="13">
        <f>BD76*VLOOKUP('Données projet'!$B$11,Paramètres!$A$1:$I$89,3,0)*VLOOKUP('Données projet'!$B$11,Paramètres!$A$1:$I$89,5,0)</f>
        <v>284.65902111111103</v>
      </c>
      <c r="BF76" s="13">
        <f t="shared" si="91"/>
        <v>67.950646342616906</v>
      </c>
      <c r="BG76" s="20">
        <f t="shared" si="61"/>
        <v>614.1285041485761</v>
      </c>
      <c r="BH76" s="57">
        <f t="shared" si="62"/>
        <v>881.91128834649794</v>
      </c>
      <c r="BI76" s="57">
        <f ca="1">AVERAGE(OFFSET($BH$3,0,0,'Données projet'!$E$11+1,1))-AVERAGE(OFFSET($H$3,0,0,'Données projet'!$E$11+1,1))</f>
        <v>449.50723280509311</v>
      </c>
      <c r="BJ76" s="57">
        <f t="shared" si="92"/>
        <v>281.26353650058275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62.014625096000302</v>
      </c>
      <c r="BQ76" s="21">
        <f>EXP(-LN(2)/25)*BQ75+(1-EXP(-LN(2)/25))/(LN(2)/25)*Calculateur!BL76*Calculateur!BN76*VLOOKUP('Données projet'!$B$11,Paramètres!$A$1:$I$89,3,0)*0.475*44/12</f>
        <v>14.657589190609642</v>
      </c>
      <c r="BR76" s="21">
        <f>EXP(-LN(2)/2)*BR75+(1-EXP(-LN(2)/2))/(LN(2)/2)*BL76*BO76*VLOOKUP('Données projet'!$B$11,Paramètres!$A$1:$I$89,3,0)*0.475*44/12</f>
        <v>2.8169791453739403</v>
      </c>
      <c r="BS76" s="22">
        <f t="shared" si="63"/>
        <v>79.489193431983878</v>
      </c>
      <c r="BT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6.2</v>
      </c>
      <c r="BY76" s="12">
        <f>IF('Données projet'!$A$114&gt;35,BY75+BX76-CG75,IF(A76&lt;'Données projet'!$A$114,$BV$205^A76,IF(A76='Données projet'!$A$114,'Données projet'!$B$114,BY75+BX76-CG75)))</f>
        <v>239.59999999999994</v>
      </c>
      <c r="BZ76" s="13">
        <f>BY76*VLOOKUP('Données projet'!$B$12,Paramètres!$A$1:$I$89,3,0)*VLOOKUP('Données projet'!$B$12,Paramètres!$A$1:$I$89,5,0)</f>
        <v>228.00335999999993</v>
      </c>
      <c r="CA76" s="13">
        <f t="shared" si="93"/>
        <v>55.850742452867522</v>
      </c>
      <c r="CB76" s="20">
        <f t="shared" si="64"/>
        <v>494.37922843874412</v>
      </c>
      <c r="CC76" s="57">
        <f t="shared" si="65"/>
        <v>762.16201263666585</v>
      </c>
      <c r="CD76" s="57">
        <f ca="1">AVERAGE(OFFSET($CC$3,0,0,'Données projet'!$E$12+1,1))-AVERAGE(OFFSET($H$3,0,0,'Données projet'!$E$12+1,1))</f>
        <v>479.4551766174892</v>
      </c>
      <c r="CE76" s="57">
        <f t="shared" si="94"/>
        <v>260.29028006191834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-2.2737367544323206E-13</v>
      </c>
      <c r="CU76" s="17">
        <f>CT76*VLOOKUP('Données projet'!$B$13,Paramètres!$A$1:$I$89,3,0)*VLOOKUP('Données projet'!$B$13,Paramètres!$A$1:$I$89,5,0)</f>
        <v>-1.2710188457276673E-13</v>
      </c>
      <c r="CV76" s="13" t="e">
        <f t="shared" si="95"/>
        <v>#NUM!</v>
      </c>
      <c r="CW76" s="20" t="e">
        <f t="shared" si="67"/>
        <v>#NUM!</v>
      </c>
      <c r="CX76" s="57" t="e">
        <f t="shared" si="68"/>
        <v>#NUM!</v>
      </c>
      <c r="CY76" s="57">
        <f ca="1">AVERAGE(OFFSET($CX$3,0,0,'Données projet'!$E$13+1,1))-AVERAGE(OFFSET($H$3,0,0,'Données projet'!$E$13+1,1))</f>
        <v>459.83870442974046</v>
      </c>
      <c r="CZ76" s="57">
        <f t="shared" si="96"/>
        <v>565.68976940602215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200.04397518104136</v>
      </c>
      <c r="DG76" s="21">
        <f>EXP(-LN(2)/25)*DG75+(1-EXP(-LN(2)/25))/(LN(2)/25)*Calculateur!DB76*Calculateur!DD76*VLOOKUP('Données projet'!$B$13,Paramètres!$A$1:$I$89,3,0)*0.475*44/12</f>
        <v>44.927752290164293</v>
      </c>
      <c r="DH76" s="21">
        <f>EXP(-LN(2)/2)*DH75+(1-EXP(-LN(2)/2))/(LN(2)/2)*DB76*DE76*VLOOKUP('Données projet'!$B$13,Paramètres!$A$1:$I$89,3,0)*0.475*44/12</f>
        <v>0.62226336307369134</v>
      </c>
      <c r="DI76" s="22">
        <f t="shared" si="69"/>
        <v>245.59399083427937</v>
      </c>
      <c r="DJ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7" t="e">
        <f t="shared" si="71"/>
        <v>#NUM!</v>
      </c>
      <c r="DT76" s="57">
        <f ca="1">AVERAGE(OFFSET($DS$3,0,0,'Données projet'!$E$14+1,1))-AVERAGE(OFFSET($H$3,0,0,'Données projet'!$E$14+1,1))</f>
        <v>315.23504986325418</v>
      </c>
      <c r="DU76" s="57">
        <f t="shared" si="98"/>
        <v>350.52837099886688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108.70677331338558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108.70677331338558</v>
      </c>
      <c r="EE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3.9111111111111097</v>
      </c>
      <c r="EJ76" s="12">
        <f>IF('Données projet'!$A$192&gt;35,EJ75+EI76-ER75,IF(A76&lt;'Données projet'!$A$192,$EG$205^A76,IF(A76='Données projet'!$A$192,'Données projet'!$B$192,EJ75+EI76-ER75)))</f>
        <v>106.31111111111102</v>
      </c>
      <c r="EK76" s="17">
        <f>EJ76*VLOOKUP('Données projet'!$B$15,Paramètres!$A$1:$I$89,3,0)*VLOOKUP('Données projet'!$B$15,Paramètres!$A$1:$I$89,5,0)</f>
        <v>102.82410666666658</v>
      </c>
      <c r="EL76" s="13">
        <f t="shared" si="99"/>
        <v>27.6337076276623</v>
      </c>
      <c r="EM76" s="20">
        <f t="shared" si="73"/>
        <v>227.21402656262276</v>
      </c>
      <c r="EN76" s="57">
        <f t="shared" si="74"/>
        <v>494.99681076054458</v>
      </c>
      <c r="EO76" s="57">
        <f ca="1">AVERAGE(OFFSET($EN$3,0,0,'Données projet'!$E$15+1,1))-AVERAGE(OFFSET($H$3,0,0,'Données projet'!$E$15+1,1))</f>
        <v>328.31200866623891</v>
      </c>
      <c r="EP76" s="57">
        <f t="shared" si="100"/>
        <v>195.52650232917446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16.910103615162615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16.910103615162615</v>
      </c>
      <c r="EZ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>
        <f>FE76*VLOOKUP('Données projet'!$B$16,Paramètres!$A$1:$I$89,3,0)*VLOOKUP('Données projet'!$B$16,Paramètres!$A$1:$I$89,5,0)</f>
        <v>0</v>
      </c>
      <c r="FG76" s="13" t="e">
        <f t="shared" si="101"/>
        <v>#NUM!</v>
      </c>
      <c r="FH76" s="20" t="e">
        <f t="shared" si="76"/>
        <v>#NUM!</v>
      </c>
      <c r="FI76" s="57" t="e">
        <f t="shared" si="77"/>
        <v>#NUM!</v>
      </c>
      <c r="FJ76" s="57">
        <f ca="1">AVERAGE(OFFSET($FI$3,0,0,'Données projet'!$E$16+1,1))-AVERAGE(OFFSET($H$3,0,0,'Données projet'!$E$16+1,1))</f>
        <v>142.88219003619457</v>
      </c>
      <c r="FK76" s="57">
        <f t="shared" si="102"/>
        <v>288.69704547625088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20.950912849488191</v>
      </c>
      <c r="FR76" s="21">
        <f>EXP(-LN(2)/25)*FR75+(1-EXP(-LN(2)/25))/(LN(2)/25)*Calculateur!FM76*Calculateur!FO76*VLOOKUP('Données projet'!$B$16,Paramètres!$A$1:$I$89,3,0)*0.475*44/12</f>
        <v>3.7698175830504574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24.720730432538648</v>
      </c>
      <c r="FU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7" t="e">
        <f t="shared" si="80"/>
        <v>#N/A</v>
      </c>
      <c r="GE76" s="57" t="e">
        <f ca="1">AVERAGE(OFFSET($GD$3,0,0,'Données projet'!$E$17+1,1))-AVERAGE(OFFSET($H$3,0,0,'Données projet'!$E$17+1,1))</f>
        <v>#N/A</v>
      </c>
      <c r="GF76" s="57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7" t="e">
        <f t="shared" si="83"/>
        <v>#N/A</v>
      </c>
      <c r="GZ76" s="57" t="e">
        <f ca="1">AVERAGE(OFFSET($GY$3,0,0,'Données projet'!$E$18+1,1))-AVERAGE(OFFSET($H$3,0,0,'Données projet'!$E$18+1,1))</f>
        <v>#N/A</v>
      </c>
      <c r="HA76" s="57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1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5">
        <f t="shared" si="56"/>
        <v>183.33333333333334</v>
      </c>
      <c r="I77" s="6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275.42112000000003</v>
      </c>
      <c r="P77" s="13">
        <f t="shared" si="87"/>
        <v>65.998433293601067</v>
      </c>
      <c r="Q77" s="20">
        <f t="shared" si="54"/>
        <v>594.63905531968851</v>
      </c>
      <c r="R77" s="57">
        <f t="shared" si="55"/>
        <v>862.86508442263937</v>
      </c>
      <c r="S77" s="57">
        <f ca="1">AVERAGE(OFFSET($R$3,0,0,'Données projet'!$E$9+1,1))-AVERAGE(OFFSET($H$3,0,0,'Données projet'!$E$9+1,1))</f>
        <v>539.63700256763173</v>
      </c>
      <c r="T77" s="57">
        <f t="shared" si="88"/>
        <v>297.32483725004136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256.42656000000005</v>
      </c>
      <c r="AK77" s="13">
        <f t="shared" si="89"/>
        <v>61.960052520146306</v>
      </c>
      <c r="AL77" s="20">
        <f t="shared" si="58"/>
        <v>554.52335013925483</v>
      </c>
      <c r="AM77" s="57">
        <f t="shared" si="59"/>
        <v>822.74937924220569</v>
      </c>
      <c r="AN77" s="57">
        <f ca="1">AVERAGE(OFFSET($AM$3,0,0,'Données projet'!$E$10+1,1))-AVERAGE(OFFSET($H$3,0,0,'Données projet'!$E$10+1,1))</f>
        <v>508.21188526136734</v>
      </c>
      <c r="AO77" s="57">
        <f t="shared" si="90"/>
        <v>281.06176764290592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13.107746913580252</v>
      </c>
      <c r="BD77" s="12">
        <f>IF('Données projet'!$A$88&gt;35,BD76+BC77-BL76,IF(A77&lt;'Données projet'!$A$88,$BA$205^A77,IF(A77='Données projet'!$A$88,'Données projet'!$B$88,BD76+BC77-BL76)))</f>
        <v>621.3535185185184</v>
      </c>
      <c r="BE77" s="13">
        <f>BD77*VLOOKUP('Données projet'!$B$11,Paramètres!$A$1:$I$89,3,0)*VLOOKUP('Données projet'!$B$11,Paramètres!$A$1:$I$89,5,0)</f>
        <v>290.79344666666657</v>
      </c>
      <c r="BF77" s="13">
        <f t="shared" si="91"/>
        <v>69.242929047879286</v>
      </c>
      <c r="BG77" s="20">
        <f t="shared" si="61"/>
        <v>627.06335436950064</v>
      </c>
      <c r="BH77" s="57">
        <f t="shared" si="62"/>
        <v>895.2893834724515</v>
      </c>
      <c r="BI77" s="57">
        <f ca="1">AVERAGE(OFFSET($BH$3,0,0,'Données projet'!$E$11+1,1))-AVERAGE(OFFSET($H$3,0,0,'Données projet'!$E$11+1,1))</f>
        <v>449.50723280509311</v>
      </c>
      <c r="BJ77" s="57">
        <f t="shared" si="92"/>
        <v>281.26353650058275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60.798556123054119</v>
      </c>
      <c r="BQ77" s="21">
        <f>EXP(-LN(2)/25)*BQ76+(1-EXP(-LN(2)/25))/(LN(2)/25)*Calculateur!BL77*Calculateur!BN77*VLOOKUP('Données projet'!$B$11,Paramètres!$A$1:$I$89,3,0)*0.475*44/12</f>
        <v>14.256776643383306</v>
      </c>
      <c r="BR77" s="21">
        <f>EXP(-LN(2)/2)*BR76+(1-EXP(-LN(2)/2))/(LN(2)/2)*BL77*BO77*VLOOKUP('Données projet'!$B$11,Paramètres!$A$1:$I$89,3,0)*0.475*44/12</f>
        <v>1.9919050561549987</v>
      </c>
      <c r="BS77" s="22">
        <f t="shared" si="63"/>
        <v>77.047237822592436</v>
      </c>
      <c r="BT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6.2</v>
      </c>
      <c r="BY77" s="12">
        <f>IF('Données projet'!$A$114&gt;35,BY76+BX77-CG76,IF(A77&lt;'Données projet'!$A$114,$BV$205^A77,IF(A77='Données projet'!$A$114,'Données projet'!$B$114,BY76+BX77-CG76)))</f>
        <v>245.79999999999993</v>
      </c>
      <c r="BZ77" s="13">
        <f>BY77*VLOOKUP('Données projet'!$B$12,Paramètres!$A$1:$I$89,3,0)*VLOOKUP('Données projet'!$B$12,Paramètres!$A$1:$I$89,5,0)</f>
        <v>233.90327999999994</v>
      </c>
      <c r="CA77" s="13">
        <f t="shared" si="93"/>
        <v>57.125833544518095</v>
      </c>
      <c r="CB77" s="20">
        <f t="shared" si="64"/>
        <v>506.87570609003552</v>
      </c>
      <c r="CC77" s="57">
        <f t="shared" si="65"/>
        <v>775.10173519298633</v>
      </c>
      <c r="CD77" s="57">
        <f ca="1">AVERAGE(OFFSET($CC$3,0,0,'Données projet'!$E$12+1,1))-AVERAGE(OFFSET($H$3,0,0,'Données projet'!$E$12+1,1))</f>
        <v>479.4551766174892</v>
      </c>
      <c r="CE77" s="57">
        <f t="shared" si="94"/>
        <v>260.29028006191834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-2.2737367544323206E-13</v>
      </c>
      <c r="CU77" s="17">
        <f>CT77*VLOOKUP('Données projet'!$B$13,Paramètres!$A$1:$I$89,3,0)*VLOOKUP('Données projet'!$B$13,Paramètres!$A$1:$I$89,5,0)</f>
        <v>-1.2710188457276673E-13</v>
      </c>
      <c r="CV77" s="13" t="e">
        <f t="shared" si="95"/>
        <v>#NUM!</v>
      </c>
      <c r="CW77" s="20" t="e">
        <f t="shared" si="67"/>
        <v>#NUM!</v>
      </c>
      <c r="CX77" s="57" t="e">
        <f t="shared" si="68"/>
        <v>#NUM!</v>
      </c>
      <c r="CY77" s="57">
        <f ca="1">AVERAGE(OFFSET($CX$3,0,0,'Données projet'!$E$13+1,1))-AVERAGE(OFFSET($H$3,0,0,'Données projet'!$E$13+1,1))</f>
        <v>459.83870442974046</v>
      </c>
      <c r="CZ77" s="57">
        <f t="shared" si="96"/>
        <v>565.68976940602215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196.12123484251805</v>
      </c>
      <c r="DG77" s="21">
        <f>EXP(-LN(2)/25)*DG76+(1-EXP(-LN(2)/25))/(LN(2)/25)*Calculateur!DB77*Calculateur!DD77*VLOOKUP('Données projet'!$B$13,Paramètres!$A$1:$I$89,3,0)*0.475*44/12</f>
        <v>43.699200541141941</v>
      </c>
      <c r="DH77" s="21">
        <f>EXP(-LN(2)/2)*DH76+(1-EXP(-LN(2)/2))/(LN(2)/2)*DB77*DE77*VLOOKUP('Données projet'!$B$13,Paramètres!$A$1:$I$89,3,0)*0.475*44/12</f>
        <v>0.44000664371335385</v>
      </c>
      <c r="DI77" s="22">
        <f t="shared" si="69"/>
        <v>240.26044202737336</v>
      </c>
      <c r="DJ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7" t="e">
        <f t="shared" si="71"/>
        <v>#NUM!</v>
      </c>
      <c r="DT77" s="57">
        <f ca="1">AVERAGE(OFFSET($DS$3,0,0,'Données projet'!$E$14+1,1))-AVERAGE(OFFSET($H$3,0,0,'Données projet'!$E$14+1,1))</f>
        <v>315.23504986325418</v>
      </c>
      <c r="DU77" s="57">
        <f t="shared" si="98"/>
        <v>350.52837099886688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106.57509979329478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106.57509979329478</v>
      </c>
      <c r="EE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3.9111111111111097</v>
      </c>
      <c r="EJ77" s="12">
        <f>IF('Données projet'!$A$192&gt;35,EJ76+EI77-ER76,IF(A77&lt;'Données projet'!$A$192,$EG$205^A77,IF(A77='Données projet'!$A$192,'Données projet'!$B$192,EJ76+EI77-ER76)))</f>
        <v>110.22222222222213</v>
      </c>
      <c r="EK77" s="17">
        <f>EJ77*VLOOKUP('Données projet'!$B$15,Paramètres!$A$1:$I$89,3,0)*VLOOKUP('Données projet'!$B$15,Paramètres!$A$1:$I$89,5,0)</f>
        <v>106.60693333333325</v>
      </c>
      <c r="EL77" s="13">
        <f t="shared" si="99"/>
        <v>28.530099678019941</v>
      </c>
      <c r="EM77" s="20">
        <f t="shared" si="73"/>
        <v>235.36366582810683</v>
      </c>
      <c r="EN77" s="57">
        <f t="shared" si="74"/>
        <v>503.58969493105769</v>
      </c>
      <c r="EO77" s="57">
        <f ca="1">AVERAGE(OFFSET($EN$3,0,0,'Données projet'!$E$15+1,1))-AVERAGE(OFFSET($H$3,0,0,'Données projet'!$E$15+1,1))</f>
        <v>328.31200866623891</v>
      </c>
      <c r="EP77" s="57">
        <f t="shared" si="100"/>
        <v>195.52650232917446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16.578506797414043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16.578506797414043</v>
      </c>
      <c r="EZ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>
        <f>FE77*VLOOKUP('Données projet'!$B$16,Paramètres!$A$1:$I$89,3,0)*VLOOKUP('Données projet'!$B$16,Paramètres!$A$1:$I$89,5,0)</f>
        <v>0</v>
      </c>
      <c r="FG77" s="13" t="e">
        <f t="shared" si="101"/>
        <v>#NUM!</v>
      </c>
      <c r="FH77" s="20" t="e">
        <f t="shared" si="76"/>
        <v>#NUM!</v>
      </c>
      <c r="FI77" s="57" t="e">
        <f t="shared" si="77"/>
        <v>#NUM!</v>
      </c>
      <c r="FJ77" s="57">
        <f ca="1">AVERAGE(OFFSET($FI$3,0,0,'Données projet'!$E$16+1,1))-AVERAGE(OFFSET($H$3,0,0,'Données projet'!$E$16+1,1))</f>
        <v>142.88219003619457</v>
      </c>
      <c r="FK77" s="57">
        <f t="shared" si="102"/>
        <v>288.69704547625088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20.540078227304765</v>
      </c>
      <c r="FR77" s="21">
        <f>EXP(-LN(2)/25)*FR76+(1-EXP(-LN(2)/25))/(LN(2)/25)*Calculateur!FM77*Calculateur!FO77*VLOOKUP('Données projet'!$B$16,Paramètres!$A$1:$I$89,3,0)*0.475*44/12</f>
        <v>3.666731722995852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24.206809950300617</v>
      </c>
      <c r="FU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7" t="e">
        <f t="shared" si="80"/>
        <v>#N/A</v>
      </c>
      <c r="GE77" s="57" t="e">
        <f ca="1">AVERAGE(OFFSET($GD$3,0,0,'Données projet'!$E$17+1,1))-AVERAGE(OFFSET($H$3,0,0,'Données projet'!$E$17+1,1))</f>
        <v>#N/A</v>
      </c>
      <c r="GF77" s="57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7" t="e">
        <f t="shared" si="83"/>
        <v>#N/A</v>
      </c>
      <c r="GZ77" s="57" t="e">
        <f ca="1">AVERAGE(OFFSET($GY$3,0,0,'Données projet'!$E$18+1,1))-AVERAGE(OFFSET($H$3,0,0,'Données projet'!$E$18+1,1))</f>
        <v>#N/A</v>
      </c>
      <c r="HA77" s="57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1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5">
        <f t="shared" si="56"/>
        <v>183.33333333333334</v>
      </c>
      <c r="I78" s="6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282.29760000000005</v>
      </c>
      <c r="P78" s="13">
        <f t="shared" si="87"/>
        <v>67.452326629470178</v>
      </c>
      <c r="Q78" s="20">
        <f t="shared" si="54"/>
        <v>609.14778887966054</v>
      </c>
      <c r="R78" s="57">
        <f t="shared" si="55"/>
        <v>877.80937357948528</v>
      </c>
      <c r="S78" s="57">
        <f ca="1">AVERAGE(OFFSET($R$3,0,0,'Données projet'!$E$9+1,1))-AVERAGE(OFFSET($H$3,0,0,'Données projet'!$E$9+1,1))</f>
        <v>539.63700256763173</v>
      </c>
      <c r="T78" s="57">
        <f t="shared" si="88"/>
        <v>297.32483725004136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262.82880000000006</v>
      </c>
      <c r="AK78" s="13">
        <f t="shared" si="89"/>
        <v>63.324983518559485</v>
      </c>
      <c r="AL78" s="20">
        <f t="shared" si="58"/>
        <v>568.05117296149115</v>
      </c>
      <c r="AM78" s="57">
        <f t="shared" si="59"/>
        <v>836.71275766131589</v>
      </c>
      <c r="AN78" s="57">
        <f ca="1">AVERAGE(OFFSET($AM$3,0,0,'Données projet'!$E$10+1,1))-AVERAGE(OFFSET($H$3,0,0,'Données projet'!$E$10+1,1))</f>
        <v>508.21188526136734</v>
      </c>
      <c r="AO78" s="57">
        <f t="shared" si="90"/>
        <v>281.06176764290592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13.107746913580252</v>
      </c>
      <c r="BD78" s="12">
        <f>IF('Données projet'!$A$88&gt;35,BD77+BC78-BL77,IF(A78&lt;'Données projet'!$A$88,$BA$205^A78,IF(A78='Données projet'!$A$88,'Données projet'!$B$88,BD77+BC78-BL77)))</f>
        <v>634.46126543209868</v>
      </c>
      <c r="BE78" s="13">
        <f>BD78*VLOOKUP('Données projet'!$B$11,Paramètres!$A$1:$I$89,3,0)*VLOOKUP('Données projet'!$B$11,Paramètres!$A$1:$I$89,5,0)</f>
        <v>296.92787222222222</v>
      </c>
      <c r="BF78" s="13">
        <f t="shared" si="91"/>
        <v>70.532042180215768</v>
      </c>
      <c r="BG78" s="20">
        <f t="shared" si="61"/>
        <v>639.99268425091282</v>
      </c>
      <c r="BH78" s="57">
        <f t="shared" si="62"/>
        <v>908.65426895073756</v>
      </c>
      <c r="BI78" s="57">
        <f ca="1">AVERAGE(OFFSET($BH$3,0,0,'Données projet'!$E$11+1,1))-AVERAGE(OFFSET($H$3,0,0,'Données projet'!$E$11+1,1))</f>
        <v>449.50723280509311</v>
      </c>
      <c r="BJ78" s="57">
        <f t="shared" si="92"/>
        <v>281.26353650058275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59.606333520938577</v>
      </c>
      <c r="BQ78" s="21">
        <f>EXP(-LN(2)/25)*BQ77+(1-EXP(-LN(2)/25))/(LN(2)/25)*Calculateur!BL78*Calculateur!BN78*VLOOKUP('Données projet'!$B$11,Paramètres!$A$1:$I$89,3,0)*0.475*44/12</f>
        <v>13.866924336338689</v>
      </c>
      <c r="BR78" s="21">
        <f>EXP(-LN(2)/2)*BR77+(1-EXP(-LN(2)/2))/(LN(2)/2)*BL78*BO78*VLOOKUP('Données projet'!$B$11,Paramètres!$A$1:$I$89,3,0)*0.475*44/12</f>
        <v>1.4084895726869704</v>
      </c>
      <c r="BS78" s="22">
        <f t="shared" si="63"/>
        <v>74.881747429964236</v>
      </c>
      <c r="BT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252</v>
      </c>
      <c r="BW78" s="12">
        <f>VLOOKUP(A78,'Données projet'!$A$113:$I$133,9,0)</f>
        <v>6.2</v>
      </c>
      <c r="BX78" s="12">
        <f t="array" ref="BX78">INDEX(BW:BW,MIN(IF(ISNUMBER(BW78:BW274),ROW(BW78:BW274),"")))</f>
        <v>6.2</v>
      </c>
      <c r="BY78" s="12">
        <f>IF('Données projet'!$A$114&gt;35,BY77+BX78-CG77,IF(A78&lt;'Données projet'!$A$114,$BV$205^A78,IF(A78='Données projet'!$A$114,'Données projet'!$B$114,BY77+BX78-CG77)))</f>
        <v>251.99999999999991</v>
      </c>
      <c r="BZ78" s="13">
        <f>BY78*VLOOKUP('Données projet'!$B$12,Paramètres!$A$1:$I$89,3,0)*VLOOKUP('Données projet'!$B$12,Paramètres!$A$1:$I$89,5,0)</f>
        <v>239.80319999999992</v>
      </c>
      <c r="CA78" s="13">
        <f t="shared" si="93"/>
        <v>58.397185982155214</v>
      </c>
      <c r="CB78" s="20">
        <f t="shared" si="64"/>
        <v>519.36567225225349</v>
      </c>
      <c r="CC78" s="57">
        <f t="shared" si="65"/>
        <v>788.02725695207823</v>
      </c>
      <c r="CD78" s="57">
        <f ca="1">AVERAGE(OFFSET($CC$3,0,0,'Données projet'!$E$12+1,1))-AVERAGE(OFFSET($H$3,0,0,'Données projet'!$E$12+1,1))</f>
        <v>479.4551766174892</v>
      </c>
      <c r="CE78" s="57">
        <f t="shared" si="94"/>
        <v>260.29028006191834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21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-2.2737367544323206E-13</v>
      </c>
      <c r="CU78" s="17">
        <f>CT78*VLOOKUP('Données projet'!$B$13,Paramètres!$A$1:$I$89,3,0)*VLOOKUP('Données projet'!$B$13,Paramètres!$A$1:$I$89,5,0)</f>
        <v>-1.2710188457276673E-13</v>
      </c>
      <c r="CV78" s="13" t="e">
        <f t="shared" si="95"/>
        <v>#NUM!</v>
      </c>
      <c r="CW78" s="20" t="e">
        <f t="shared" si="67"/>
        <v>#NUM!</v>
      </c>
      <c r="CX78" s="57" t="e">
        <f t="shared" si="68"/>
        <v>#NUM!</v>
      </c>
      <c r="CY78" s="57">
        <f ca="1">AVERAGE(OFFSET($CX$3,0,0,'Données projet'!$E$13+1,1))-AVERAGE(OFFSET($H$3,0,0,'Données projet'!$E$13+1,1))</f>
        <v>459.83870442974046</v>
      </c>
      <c r="CZ78" s="57">
        <f t="shared" si="96"/>
        <v>565.68976940602215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192.27541704939782</v>
      </c>
      <c r="DG78" s="21">
        <f>EXP(-LN(2)/25)*DG77+(1-EXP(-LN(2)/25))/(LN(2)/25)*Calculateur!DB78*Calculateur!DD78*VLOOKUP('Données projet'!$B$13,Paramètres!$A$1:$I$89,3,0)*0.475*44/12</f>
        <v>42.504243604303333</v>
      </c>
      <c r="DH78" s="21">
        <f>EXP(-LN(2)/2)*DH77+(1-EXP(-LN(2)/2))/(LN(2)/2)*DB78*DE78*VLOOKUP('Données projet'!$B$13,Paramètres!$A$1:$I$89,3,0)*0.475*44/12</f>
        <v>0.31113168153684567</v>
      </c>
      <c r="DI78" s="22">
        <f t="shared" si="69"/>
        <v>235.09079233523798</v>
      </c>
      <c r="DJ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7" t="e">
        <f t="shared" si="71"/>
        <v>#NUM!</v>
      </c>
      <c r="DT78" s="57">
        <f ca="1">AVERAGE(OFFSET($DS$3,0,0,'Données projet'!$E$14+1,1))-AVERAGE(OFFSET($H$3,0,0,'Données projet'!$E$14+1,1))</f>
        <v>315.23504986325418</v>
      </c>
      <c r="DU78" s="57">
        <f t="shared" si="98"/>
        <v>350.52837099886688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104.48522709074049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104.48522709074049</v>
      </c>
      <c r="EE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3.9111111111111097</v>
      </c>
      <c r="EJ78" s="12">
        <f>IF('Données projet'!$A$192&gt;35,EJ77+EI78-ER77,IF(A78&lt;'Données projet'!$A$192,$EG$205^A78,IF(A78='Données projet'!$A$192,'Données projet'!$B$192,EJ77+EI78-ER77)))</f>
        <v>114.13333333333324</v>
      </c>
      <c r="EK78" s="17">
        <f>EJ78*VLOOKUP('Données projet'!$B$15,Paramètres!$A$1:$I$89,3,0)*VLOOKUP('Données projet'!$B$15,Paramètres!$A$1:$I$89,5,0)</f>
        <v>110.38975999999991</v>
      </c>
      <c r="EL78" s="13">
        <f t="shared" si="99"/>
        <v>29.422796156353332</v>
      </c>
      <c r="EM78" s="20">
        <f t="shared" si="73"/>
        <v>243.5068686389819</v>
      </c>
      <c r="EN78" s="57">
        <f t="shared" si="74"/>
        <v>512.16845333880667</v>
      </c>
      <c r="EO78" s="57">
        <f ca="1">AVERAGE(OFFSET($EN$3,0,0,'Données projet'!$E$15+1,1))-AVERAGE(OFFSET($H$3,0,0,'Données projet'!$E$15+1,1))</f>
        <v>328.31200866623891</v>
      </c>
      <c r="EP78" s="57">
        <f t="shared" si="100"/>
        <v>195.52650232917446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16.253412391007434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16.253412391007434</v>
      </c>
      <c r="EZ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>
        <f>FE78*VLOOKUP('Données projet'!$B$16,Paramètres!$A$1:$I$89,3,0)*VLOOKUP('Données projet'!$B$16,Paramètres!$A$1:$I$89,5,0)</f>
        <v>0</v>
      </c>
      <c r="FG78" s="13" t="e">
        <f t="shared" si="101"/>
        <v>#NUM!</v>
      </c>
      <c r="FH78" s="20" t="e">
        <f t="shared" si="76"/>
        <v>#NUM!</v>
      </c>
      <c r="FI78" s="57" t="e">
        <f t="shared" si="77"/>
        <v>#NUM!</v>
      </c>
      <c r="FJ78" s="57">
        <f ca="1">AVERAGE(OFFSET($FI$3,0,0,'Données projet'!$E$16+1,1))-AVERAGE(OFFSET($H$3,0,0,'Données projet'!$E$16+1,1))</f>
        <v>142.88219003619457</v>
      </c>
      <c r="FK78" s="57">
        <f t="shared" si="102"/>
        <v>288.69704547625088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20.137299821477978</v>
      </c>
      <c r="FR78" s="21">
        <f>EXP(-LN(2)/25)*FR77+(1-EXP(-LN(2)/25))/(LN(2)/25)*Calculateur!FM78*Calculateur!FO78*VLOOKUP('Données projet'!$B$16,Paramètres!$A$1:$I$89,3,0)*0.475*44/12</f>
        <v>3.5664647512054897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23.703764572683468</v>
      </c>
      <c r="FU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7" t="e">
        <f t="shared" si="80"/>
        <v>#N/A</v>
      </c>
      <c r="GE78" s="57" t="e">
        <f ca="1">AVERAGE(OFFSET($GD$3,0,0,'Données projet'!$E$17+1,1))-AVERAGE(OFFSET($H$3,0,0,'Données projet'!$E$17+1,1))</f>
        <v>#N/A</v>
      </c>
      <c r="GF78" s="57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7" t="e">
        <f t="shared" si="83"/>
        <v>#N/A</v>
      </c>
      <c r="GZ78" s="57" t="e">
        <f ca="1">AVERAGE(OFFSET($GY$3,0,0,'Données projet'!$E$18+1,1))-AVERAGE(OFFSET($H$3,0,0,'Données projet'!$E$18+1,1))</f>
        <v>#N/A</v>
      </c>
      <c r="HA78" s="57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1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5">
        <f t="shared" si="56"/>
        <v>183.33333333333334</v>
      </c>
      <c r="I79" s="6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</v>
      </c>
      <c r="N79" s="13">
        <f>IF('Données projet'!$A$36&gt;35,N78+M79-V78,IF(A79&lt;'Données projet'!$A$36,$K$205^A79,IF(A79='Données projet'!$A$36,'Données projet'!$B$36,N78+M79-V78)))</f>
        <v>291.00000000000006</v>
      </c>
      <c r="O79" s="13">
        <f>N79*VLOOKUP('Données projet'!$B$9,Paramètres!$A$1:$I$89,3,0)*VLOOKUP('Données projet'!$B$9,Paramètres!$A$1:$I$89,5,0)</f>
        <v>263.29680000000008</v>
      </c>
      <c r="P79" s="13">
        <f t="shared" si="87"/>
        <v>63.424606311701645</v>
      </c>
      <c r="Q79" s="20">
        <f t="shared" si="54"/>
        <v>569.03978265954709</v>
      </c>
      <c r="R79" s="57">
        <f t="shared" si="55"/>
        <v>838.12936704039657</v>
      </c>
      <c r="S79" s="57">
        <f ca="1">AVERAGE(OFFSET($R$3,0,0,'Données projet'!$E$9+1,1))-AVERAGE(OFFSET($H$3,0,0,'Données projet'!$E$9+1,1))</f>
        <v>539.63700256763173</v>
      </c>
      <c r="T79" s="57">
        <f t="shared" si="88"/>
        <v>297.32483725004136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</v>
      </c>
      <c r="AI79" s="13">
        <f>IF('Données projet'!$A$62&gt;35,AI78+AH79-AQ78,IF(A79&lt;'Données projet'!$A$62,$AF$205^A79,IF(A79='Données projet'!$A$62,'Données projet'!$B$62,AI78+AH79-AQ78)))</f>
        <v>291.00000000000006</v>
      </c>
      <c r="AJ79" s="13">
        <f>AI79*VLOOKUP('Données projet'!$B$10,Paramètres!$A$1:$I$89,3,0)*VLOOKUP('Données projet'!$B$10,Paramètres!$A$1:$I$89,5,0)</f>
        <v>245.13840000000008</v>
      </c>
      <c r="AK79" s="13">
        <f t="shared" si="89"/>
        <v>59.543715540345303</v>
      </c>
      <c r="AL79" s="20">
        <f t="shared" si="58"/>
        <v>530.65468456610142</v>
      </c>
      <c r="AM79" s="57">
        <f t="shared" si="59"/>
        <v>799.7442689469508</v>
      </c>
      <c r="AN79" s="57">
        <f ca="1">AVERAGE(OFFSET($AM$3,0,0,'Données projet'!$E$10+1,1))-AVERAGE(OFFSET($H$3,0,0,'Données projet'!$E$10+1,1))</f>
        <v>508.21188526136734</v>
      </c>
      <c r="AO79" s="57">
        <f t="shared" si="90"/>
        <v>281.06176764290592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13.107746913580252</v>
      </c>
      <c r="BD79" s="12">
        <f>IF('Données projet'!$A$88&gt;35,BD78+BC79-BL78,IF(A79&lt;'Données projet'!$A$88,$BA$205^A79,IF(A79='Données projet'!$A$88,'Données projet'!$B$88,BD78+BC79-BL78)))</f>
        <v>647.56901234567897</v>
      </c>
      <c r="BE79" s="13">
        <f>BD79*VLOOKUP('Données projet'!$B$11,Paramètres!$A$1:$I$89,3,0)*VLOOKUP('Données projet'!$B$11,Paramètres!$A$1:$I$89,5,0)</f>
        <v>303.06229777777776</v>
      </c>
      <c r="BF79" s="13">
        <f t="shared" si="91"/>
        <v>71.818058766683279</v>
      </c>
      <c r="BG79" s="20">
        <f t="shared" si="61"/>
        <v>652.91662098160305</v>
      </c>
      <c r="BH79" s="57">
        <f t="shared" si="62"/>
        <v>922.00620536245242</v>
      </c>
      <c r="BI79" s="57">
        <f ca="1">AVERAGE(OFFSET($BH$3,0,0,'Données projet'!$E$11+1,1))-AVERAGE(OFFSET($H$3,0,0,'Données projet'!$E$11+1,1))</f>
        <v>449.50723280509311</v>
      </c>
      <c r="BJ79" s="57">
        <f t="shared" si="92"/>
        <v>281.26353650058275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58.437489676866534</v>
      </c>
      <c r="BQ79" s="21">
        <f>EXP(-LN(2)/25)*BQ78+(1-EXP(-LN(2)/25))/(LN(2)/25)*Calculateur!BL79*Calculateur!BN79*VLOOKUP('Données projet'!$B$11,Paramètres!$A$1:$I$89,3,0)*0.475*44/12</f>
        <v>13.487732561131651</v>
      </c>
      <c r="BR79" s="21">
        <f>EXP(-LN(2)/2)*BR78+(1-EXP(-LN(2)/2))/(LN(2)/2)*BL79*BO79*VLOOKUP('Données projet'!$B$11,Paramètres!$A$1:$I$89,3,0)*0.475*44/12</f>
        <v>0.99595252807749945</v>
      </c>
      <c r="BS79" s="22">
        <f t="shared" si="63"/>
        <v>72.92117476607568</v>
      </c>
      <c r="BT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236.99999999999989</v>
      </c>
      <c r="BZ79" s="13">
        <f>BY79*VLOOKUP('Données projet'!$B$12,Paramètres!$A$1:$I$89,3,0)*VLOOKUP('Données projet'!$B$12,Paramètres!$A$1:$I$89,5,0)</f>
        <v>225.52919999999992</v>
      </c>
      <c r="CA79" s="13">
        <f t="shared" si="93"/>
        <v>55.314888425951921</v>
      </c>
      <c r="CB79" s="20">
        <f t="shared" si="64"/>
        <v>489.13678734186618</v>
      </c>
      <c r="CC79" s="57">
        <f t="shared" si="65"/>
        <v>758.22637172271561</v>
      </c>
      <c r="CD79" s="57">
        <f ca="1">AVERAGE(OFFSET($CC$3,0,0,'Données projet'!$E$12+1,1))-AVERAGE(OFFSET($H$3,0,0,'Données projet'!$E$12+1,1))</f>
        <v>479.4551766174892</v>
      </c>
      <c r="CE79" s="57">
        <f t="shared" si="94"/>
        <v>260.29028006191834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-2.2737367544323206E-13</v>
      </c>
      <c r="CU79" s="17">
        <f>CT79*VLOOKUP('Données projet'!$B$13,Paramètres!$A$1:$I$89,3,0)*VLOOKUP('Données projet'!$B$13,Paramètres!$A$1:$I$89,5,0)</f>
        <v>-1.2710188457276673E-13</v>
      </c>
      <c r="CV79" s="13" t="e">
        <f t="shared" si="95"/>
        <v>#NUM!</v>
      </c>
      <c r="CW79" s="20" t="e">
        <f t="shared" si="67"/>
        <v>#NUM!</v>
      </c>
      <c r="CX79" s="57" t="e">
        <f t="shared" si="68"/>
        <v>#NUM!</v>
      </c>
      <c r="CY79" s="57">
        <f ca="1">AVERAGE(OFFSET($CX$3,0,0,'Données projet'!$E$13+1,1))-AVERAGE(OFFSET($H$3,0,0,'Données projet'!$E$13+1,1))</f>
        <v>459.83870442974046</v>
      </c>
      <c r="CZ79" s="57">
        <f t="shared" si="96"/>
        <v>565.68976940602215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188.50501339748345</v>
      </c>
      <c r="DG79" s="21">
        <f>EXP(-LN(2)/25)*DG78+(1-EXP(-LN(2)/25))/(LN(2)/25)*Calculateur!DB79*Calculateur!DD79*VLOOKUP('Données projet'!$B$13,Paramètres!$A$1:$I$89,3,0)*0.475*44/12</f>
        <v>41.341962827742634</v>
      </c>
      <c r="DH79" s="21">
        <f>EXP(-LN(2)/2)*DH78+(1-EXP(-LN(2)/2))/(LN(2)/2)*DB79*DE79*VLOOKUP('Données projet'!$B$13,Paramètres!$A$1:$I$89,3,0)*0.475*44/12</f>
        <v>0.22000332185667693</v>
      </c>
      <c r="DI79" s="22">
        <f t="shared" si="69"/>
        <v>230.06697954708275</v>
      </c>
      <c r="DJ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7" t="e">
        <f t="shared" si="71"/>
        <v>#NUM!</v>
      </c>
      <c r="DT79" s="57">
        <f ca="1">AVERAGE(OFFSET($DS$3,0,0,'Données projet'!$E$14+1,1))-AVERAGE(OFFSET($H$3,0,0,'Données projet'!$E$14+1,1))</f>
        <v>315.23504986325418</v>
      </c>
      <c r="DU79" s="57">
        <f t="shared" si="98"/>
        <v>350.52837099886688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102.43633551718682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102.43633551718682</v>
      </c>
      <c r="EE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3.9111111111111097</v>
      </c>
      <c r="EJ79" s="12">
        <f>IF('Données projet'!$A$192&gt;35,EJ78+EI79-ER78,IF(A79&lt;'Données projet'!$A$192,$EG$205^A79,IF(A79='Données projet'!$A$192,'Données projet'!$B$192,EJ78+EI79-ER78)))</f>
        <v>118.04444444444435</v>
      </c>
      <c r="EK79" s="17">
        <f>EJ79*VLOOKUP('Données projet'!$B$15,Paramètres!$A$1:$I$89,3,0)*VLOOKUP('Données projet'!$B$15,Paramètres!$A$1:$I$89,5,0)</f>
        <v>114.17258666666658</v>
      </c>
      <c r="EL79" s="13">
        <f t="shared" si="99"/>
        <v>30.31193821758999</v>
      </c>
      <c r="EM79" s="20">
        <f t="shared" si="73"/>
        <v>251.64388084008013</v>
      </c>
      <c r="EN79" s="57">
        <f t="shared" si="74"/>
        <v>520.73346522092959</v>
      </c>
      <c r="EO79" s="57">
        <f ca="1">AVERAGE(OFFSET($EN$3,0,0,'Données projet'!$E$15+1,1))-AVERAGE(OFFSET($H$3,0,0,'Données projet'!$E$15+1,1))</f>
        <v>328.31200866623891</v>
      </c>
      <c r="EP79" s="57">
        <f t="shared" si="100"/>
        <v>195.52650232917446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15.934692887622449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15.934692887622449</v>
      </c>
      <c r="EZ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>
        <f>FE79*VLOOKUP('Données projet'!$B$16,Paramètres!$A$1:$I$89,3,0)*VLOOKUP('Données projet'!$B$16,Paramètres!$A$1:$I$89,5,0)</f>
        <v>0</v>
      </c>
      <c r="FG79" s="13" t="e">
        <f t="shared" si="101"/>
        <v>#NUM!</v>
      </c>
      <c r="FH79" s="20" t="e">
        <f t="shared" si="76"/>
        <v>#NUM!</v>
      </c>
      <c r="FI79" s="57" t="e">
        <f t="shared" si="77"/>
        <v>#NUM!</v>
      </c>
      <c r="FJ79" s="57">
        <f ca="1">AVERAGE(OFFSET($FI$3,0,0,'Données projet'!$E$16+1,1))-AVERAGE(OFFSET($H$3,0,0,'Données projet'!$E$16+1,1))</f>
        <v>142.88219003619457</v>
      </c>
      <c r="FK79" s="57">
        <f t="shared" si="102"/>
        <v>288.69704547625088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19.742419654518887</v>
      </c>
      <c r="FR79" s="21">
        <f>EXP(-LN(2)/25)*FR78+(1-EXP(-LN(2)/25))/(LN(2)/25)*Calculateur!FM79*Calculateur!FO79*VLOOKUP('Données projet'!$B$16,Paramètres!$A$1:$I$89,3,0)*0.475*44/12</f>
        <v>3.4689395850315456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23.211359239550433</v>
      </c>
      <c r="FU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7" t="e">
        <f t="shared" si="80"/>
        <v>#N/A</v>
      </c>
      <c r="GE79" s="57" t="e">
        <f ca="1">AVERAGE(OFFSET($GD$3,0,0,'Données projet'!$E$17+1,1))-AVERAGE(OFFSET($H$3,0,0,'Données projet'!$E$17+1,1))</f>
        <v>#N/A</v>
      </c>
      <c r="GF79" s="57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7" t="e">
        <f t="shared" si="83"/>
        <v>#N/A</v>
      </c>
      <c r="GZ79" s="57" t="e">
        <f ca="1">AVERAGE(OFFSET($GY$3,0,0,'Données projet'!$E$18+1,1))-AVERAGE(OFFSET($H$3,0,0,'Données projet'!$E$18+1,1))</f>
        <v>#N/A</v>
      </c>
      <c r="HA79" s="57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1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5">
        <f t="shared" si="56"/>
        <v>183.33333333333334</v>
      </c>
      <c r="I80" s="6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</v>
      </c>
      <c r="N80" s="13">
        <f>IF('Données projet'!$A$36&gt;35,N79+M80-V79,IF(A80&lt;'Données projet'!$A$36,$K$205^A80,IF(A80='Données projet'!$A$36,'Données projet'!$B$36,N79+M80-V79)))</f>
        <v>298.00000000000006</v>
      </c>
      <c r="O80" s="13">
        <f>N80*VLOOKUP('Données projet'!$B$9,Paramètres!$A$1:$I$89,3,0)*VLOOKUP('Données projet'!$B$9,Paramètres!$A$1:$I$89,5,0)</f>
        <v>269.63040000000007</v>
      </c>
      <c r="P80" s="13">
        <f t="shared" si="87"/>
        <v>64.770824587436138</v>
      </c>
      <c r="Q80" s="20">
        <f t="shared" si="54"/>
        <v>582.41546615645132</v>
      </c>
      <c r="R80" s="57">
        <f t="shared" si="55"/>
        <v>851.92562538072366</v>
      </c>
      <c r="S80" s="57">
        <f ca="1">AVERAGE(OFFSET($R$3,0,0,'Données projet'!$E$9+1,1))-AVERAGE(OFFSET($H$3,0,0,'Données projet'!$E$9+1,1))</f>
        <v>539.63700256763173</v>
      </c>
      <c r="T80" s="57">
        <f t="shared" si="88"/>
        <v>297.32483725004136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</v>
      </c>
      <c r="AI80" s="13">
        <f>IF('Données projet'!$A$62&gt;35,AI79+AH80-AQ79,IF(A80&lt;'Données projet'!$A$62,$AF$205^A80,IF(A80='Données projet'!$A$62,'Données projet'!$B$62,AI79+AH80-AQ79)))</f>
        <v>298.00000000000006</v>
      </c>
      <c r="AJ80" s="13">
        <f>AI80*VLOOKUP('Données projet'!$B$10,Paramètres!$A$1:$I$89,3,0)*VLOOKUP('Données projet'!$B$10,Paramètres!$A$1:$I$89,5,0)</f>
        <v>251.03520000000009</v>
      </c>
      <c r="AK80" s="13">
        <f t="shared" si="89"/>
        <v>60.807560012183352</v>
      </c>
      <c r="AL80" s="20">
        <f t="shared" si="58"/>
        <v>543.12614035455283</v>
      </c>
      <c r="AM80" s="57">
        <f t="shared" si="59"/>
        <v>812.63629957882517</v>
      </c>
      <c r="AN80" s="57">
        <f ca="1">AVERAGE(OFFSET($AM$3,0,0,'Données projet'!$E$10+1,1))-AVERAGE(OFFSET($H$3,0,0,'Données projet'!$E$10+1,1))</f>
        <v>508.21188526136734</v>
      </c>
      <c r="AO80" s="57">
        <f t="shared" si="90"/>
        <v>281.06176764290592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13.107746913580252</v>
      </c>
      <c r="BD80" s="12">
        <f>IF('Données projet'!$A$88&gt;35,BD79+BC80-BL79,IF(A80&lt;'Données projet'!$A$88,$BA$205^A80,IF(A80='Données projet'!$A$88,'Données projet'!$B$88,BD79+BC80-BL79)))</f>
        <v>660.67675925925926</v>
      </c>
      <c r="BE80" s="13">
        <f>BD80*VLOOKUP('Données projet'!$B$11,Paramètres!$A$1:$I$89,3,0)*VLOOKUP('Données projet'!$B$11,Paramètres!$A$1:$I$89,5,0)</f>
        <v>309.1967233333333</v>
      </c>
      <c r="BF80" s="13">
        <f t="shared" si="91"/>
        <v>73.101048708972129</v>
      </c>
      <c r="BG80" s="20">
        <f t="shared" si="61"/>
        <v>665.83528630701528</v>
      </c>
      <c r="BH80" s="57">
        <f t="shared" si="62"/>
        <v>935.34544553128762</v>
      </c>
      <c r="BI80" s="57">
        <f ca="1">AVERAGE(OFFSET($BH$3,0,0,'Données projet'!$E$11+1,1))-AVERAGE(OFFSET($H$3,0,0,'Données projet'!$E$11+1,1))</f>
        <v>449.50723280509311</v>
      </c>
      <c r="BJ80" s="57">
        <f t="shared" si="92"/>
        <v>281.26353650058275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57.291566147652397</v>
      </c>
      <c r="BQ80" s="21">
        <f>EXP(-LN(2)/25)*BQ79+(1-EXP(-LN(2)/25))/(LN(2)/25)*Calculateur!BL80*Calculateur!BN80*VLOOKUP('Données projet'!$B$11,Paramètres!$A$1:$I$89,3,0)*0.475*44/12</f>
        <v>13.118909804958477</v>
      </c>
      <c r="BR80" s="21">
        <f>EXP(-LN(2)/2)*BR79+(1-EXP(-LN(2)/2))/(LN(2)/2)*BL80*BO80*VLOOKUP('Données projet'!$B$11,Paramètres!$A$1:$I$89,3,0)*0.475*44/12</f>
        <v>0.70424478634348531</v>
      </c>
      <c r="BS80" s="22">
        <f t="shared" si="63"/>
        <v>71.114720738954361</v>
      </c>
      <c r="BT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242.99999999999989</v>
      </c>
      <c r="BZ80" s="13">
        <f>BY80*VLOOKUP('Données projet'!$B$12,Paramètres!$A$1:$I$89,3,0)*VLOOKUP('Données projet'!$B$12,Paramètres!$A$1:$I$89,5,0)</f>
        <v>231.23879999999991</v>
      </c>
      <c r="CA80" s="13">
        <f t="shared" si="93"/>
        <v>56.55045525673966</v>
      </c>
      <c r="CB80" s="20">
        <f t="shared" si="64"/>
        <v>501.23295290548805</v>
      </c>
      <c r="CC80" s="57">
        <f t="shared" si="65"/>
        <v>770.74311212976033</v>
      </c>
      <c r="CD80" s="57">
        <f ca="1">AVERAGE(OFFSET($CC$3,0,0,'Données projet'!$E$12+1,1))-AVERAGE(OFFSET($H$3,0,0,'Données projet'!$E$12+1,1))</f>
        <v>479.4551766174892</v>
      </c>
      <c r="CE80" s="57">
        <f t="shared" si="94"/>
        <v>260.29028006191834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-2.2737367544323206E-13</v>
      </c>
      <c r="CU80" s="17">
        <f>CT80*VLOOKUP('Données projet'!$B$13,Paramètres!$A$1:$I$89,3,0)*VLOOKUP('Données projet'!$B$13,Paramètres!$A$1:$I$89,5,0)</f>
        <v>-1.2710188457276673E-13</v>
      </c>
      <c r="CV80" s="13" t="e">
        <f t="shared" si="95"/>
        <v>#NUM!</v>
      </c>
      <c r="CW80" s="20" t="e">
        <f t="shared" si="67"/>
        <v>#NUM!</v>
      </c>
      <c r="CX80" s="57" t="e">
        <f t="shared" si="68"/>
        <v>#NUM!</v>
      </c>
      <c r="CY80" s="57">
        <f ca="1">AVERAGE(OFFSET($CX$3,0,0,'Données projet'!$E$13+1,1))-AVERAGE(OFFSET($H$3,0,0,'Données projet'!$E$13+1,1))</f>
        <v>459.83870442974046</v>
      </c>
      <c r="CZ80" s="57">
        <f t="shared" si="96"/>
        <v>565.68976940602215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184.80854506146397</v>
      </c>
      <c r="DG80" s="21">
        <f>EXP(-LN(2)/25)*DG79+(1-EXP(-LN(2)/25))/(LN(2)/25)*Calculateur!DB80*Calculateur!DD80*VLOOKUP('Données projet'!$B$13,Paramètres!$A$1:$I$89,3,0)*0.475*44/12</f>
        <v>40.211464680138675</v>
      </c>
      <c r="DH80" s="21">
        <f>EXP(-LN(2)/2)*DH79+(1-EXP(-LN(2)/2))/(LN(2)/2)*DB80*DE80*VLOOKUP('Données projet'!$B$13,Paramètres!$A$1:$I$89,3,0)*0.475*44/12</f>
        <v>0.15556584076842284</v>
      </c>
      <c r="DI80" s="22">
        <f t="shared" si="69"/>
        <v>225.17557558237107</v>
      </c>
      <c r="DJ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7" t="e">
        <f t="shared" si="71"/>
        <v>#NUM!</v>
      </c>
      <c r="DT80" s="57">
        <f ca="1">AVERAGE(OFFSET($DS$3,0,0,'Données projet'!$E$14+1,1))-AVERAGE(OFFSET($H$3,0,0,'Données projet'!$E$14+1,1))</f>
        <v>315.23504986325418</v>
      </c>
      <c r="DU80" s="57">
        <f t="shared" si="98"/>
        <v>350.52837099886688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100.42762145769007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100.42762145769007</v>
      </c>
      <c r="EE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3.9111111111111097</v>
      </c>
      <c r="EJ80" s="12">
        <f>IF('Données projet'!$A$192&gt;35,EJ79+EI80-ER79,IF(A80&lt;'Données projet'!$A$192,$EG$205^A80,IF(A80='Données projet'!$A$192,'Données projet'!$B$192,EJ79+EI80-ER79)))</f>
        <v>121.95555555555546</v>
      </c>
      <c r="EK80" s="17">
        <f>EJ80*VLOOKUP('Données projet'!$B$15,Paramètres!$A$1:$I$89,3,0)*VLOOKUP('Données projet'!$B$15,Paramètres!$A$1:$I$89,5,0)</f>
        <v>117.95541333333325</v>
      </c>
      <c r="EL80" s="13">
        <f t="shared" si="99"/>
        <v>31.197657132199623</v>
      </c>
      <c r="EM80" s="20">
        <f t="shared" si="73"/>
        <v>259.77493106080311</v>
      </c>
      <c r="EN80" s="57">
        <f t="shared" si="74"/>
        <v>529.2850902850754</v>
      </c>
      <c r="EO80" s="57">
        <f ca="1">AVERAGE(OFFSET($EN$3,0,0,'Données projet'!$E$15+1,1))-AVERAGE(OFFSET($H$3,0,0,'Données projet'!$E$15+1,1))</f>
        <v>328.31200866623891</v>
      </c>
      <c r="EP80" s="57">
        <f t="shared" si="100"/>
        <v>195.52650232917446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15.622223279299142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15.622223279299142</v>
      </c>
      <c r="EZ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>
        <f>FE80*VLOOKUP('Données projet'!$B$16,Paramètres!$A$1:$I$89,3,0)*VLOOKUP('Données projet'!$B$16,Paramètres!$A$1:$I$89,5,0)</f>
        <v>0</v>
      </c>
      <c r="FG80" s="13" t="e">
        <f t="shared" si="101"/>
        <v>#NUM!</v>
      </c>
      <c r="FH80" s="20" t="e">
        <f t="shared" si="76"/>
        <v>#NUM!</v>
      </c>
      <c r="FI80" s="57" t="e">
        <f t="shared" si="77"/>
        <v>#NUM!</v>
      </c>
      <c r="FJ80" s="57">
        <f ca="1">AVERAGE(OFFSET($FI$3,0,0,'Données projet'!$E$16+1,1))-AVERAGE(OFFSET($H$3,0,0,'Données projet'!$E$16+1,1))</f>
        <v>142.88219003619457</v>
      </c>
      <c r="FK80" s="57">
        <f t="shared" si="102"/>
        <v>288.69704547625088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19.355282846780742</v>
      </c>
      <c r="FR80" s="21">
        <f>EXP(-LN(2)/25)*FR79+(1-EXP(-LN(2)/25))/(LN(2)/25)*Calculateur!FM80*Calculateur!FO80*VLOOKUP('Données projet'!$B$16,Paramètres!$A$1:$I$89,3,0)*0.475*44/12</f>
        <v>3.3740812496552537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22.729364096435997</v>
      </c>
      <c r="FU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7" t="e">
        <f t="shared" si="80"/>
        <v>#N/A</v>
      </c>
      <c r="GE80" s="57" t="e">
        <f ca="1">AVERAGE(OFFSET($GD$3,0,0,'Données projet'!$E$17+1,1))-AVERAGE(OFFSET($H$3,0,0,'Données projet'!$E$17+1,1))</f>
        <v>#N/A</v>
      </c>
      <c r="GF80" s="57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7" t="e">
        <f t="shared" si="83"/>
        <v>#N/A</v>
      </c>
      <c r="GZ80" s="57" t="e">
        <f ca="1">AVERAGE(OFFSET($GY$3,0,0,'Données projet'!$E$18+1,1))-AVERAGE(OFFSET($H$3,0,0,'Données projet'!$E$18+1,1))</f>
        <v>#N/A</v>
      </c>
      <c r="HA80" s="57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1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5">
        <f t="shared" si="56"/>
        <v>183.33333333333334</v>
      </c>
      <c r="I81" s="6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</v>
      </c>
      <c r="N81" s="13">
        <f>IF('Données projet'!$A$36&gt;35,N80+M81-V80,IF(A81&lt;'Données projet'!$A$36,$K$205^A81,IF(A81='Données projet'!$A$36,'Données projet'!$B$36,N80+M81-V80)))</f>
        <v>305.00000000000006</v>
      </c>
      <c r="O81" s="13">
        <f>N81*VLOOKUP('Données projet'!$B$9,Paramètres!$A$1:$I$89,3,0)*VLOOKUP('Données projet'!$B$9,Paramètres!$A$1:$I$89,5,0)</f>
        <v>275.96400000000006</v>
      </c>
      <c r="P81" s="13">
        <f t="shared" si="87"/>
        <v>66.113366665488911</v>
      </c>
      <c r="Q81" s="20">
        <f t="shared" si="54"/>
        <v>595.78474694239321</v>
      </c>
      <c r="R81" s="57">
        <f t="shared" si="55"/>
        <v>865.70818497681944</v>
      </c>
      <c r="S81" s="57">
        <f ca="1">AVERAGE(OFFSET($R$3,0,0,'Données projet'!$E$9+1,1))-AVERAGE(OFFSET($H$3,0,0,'Données projet'!$E$9+1,1))</f>
        <v>539.63700256763173</v>
      </c>
      <c r="T81" s="57">
        <f t="shared" si="88"/>
        <v>297.32483725004136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</v>
      </c>
      <c r="AI81" s="13">
        <f>IF('Données projet'!$A$62&gt;35,AI80+AH81-AQ80,IF(A81&lt;'Données projet'!$A$62,$AF$205^A81,IF(A81='Données projet'!$A$62,'Données projet'!$B$62,AI80+AH81-AQ80)))</f>
        <v>305.00000000000006</v>
      </c>
      <c r="AJ81" s="13">
        <f>AI81*VLOOKUP('Données projet'!$B$10,Paramètres!$A$1:$I$89,3,0)*VLOOKUP('Données projet'!$B$10,Paramètres!$A$1:$I$89,5,0)</f>
        <v>256.93200000000007</v>
      </c>
      <c r="AK81" s="13">
        <f t="shared" si="89"/>
        <v>62.067953229346614</v>
      </c>
      <c r="AL81" s="20">
        <f t="shared" si="58"/>
        <v>555.59158520777885</v>
      </c>
      <c r="AM81" s="57">
        <f t="shared" si="59"/>
        <v>825.51502324220507</v>
      </c>
      <c r="AN81" s="57">
        <f ca="1">AVERAGE(OFFSET($AM$3,0,0,'Données projet'!$E$10+1,1))-AVERAGE(OFFSET($H$3,0,0,'Données projet'!$E$10+1,1))</f>
        <v>508.21188526136734</v>
      </c>
      <c r="AO81" s="57">
        <f t="shared" si="90"/>
        <v>281.06176764290592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13.107746913580252</v>
      </c>
      <c r="BD81" s="12">
        <f>IF('Données projet'!$A$88&gt;35,BD80+BC81-BL80,IF(A81&lt;'Données projet'!$A$88,$BA$205^A81,IF(A81='Données projet'!$A$88,'Données projet'!$B$88,BD80+BC81-BL80)))</f>
        <v>673.78450617283954</v>
      </c>
      <c r="BE81" s="13">
        <f>BD81*VLOOKUP('Données projet'!$B$11,Paramètres!$A$1:$I$89,3,0)*VLOOKUP('Données projet'!$B$11,Paramètres!$A$1:$I$89,5,0)</f>
        <v>315.33114888888895</v>
      </c>
      <c r="BF81" s="13">
        <f t="shared" si="91"/>
        <v>74.381078976471741</v>
      </c>
      <c r="BG81" s="20">
        <f t="shared" si="61"/>
        <v>678.7487968655031</v>
      </c>
      <c r="BH81" s="57">
        <f t="shared" si="62"/>
        <v>948.67223489992932</v>
      </c>
      <c r="BI81" s="57">
        <f ca="1">AVERAGE(OFFSET($BH$3,0,0,'Données projet'!$E$11+1,1))-AVERAGE(OFFSET($H$3,0,0,'Données projet'!$E$11+1,1))</f>
        <v>449.50723280509311</v>
      </c>
      <c r="BJ81" s="57">
        <f t="shared" si="92"/>
        <v>281.26353650058275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56.168113479901812</v>
      </c>
      <c r="BQ81" s="21">
        <f>EXP(-LN(2)/25)*BQ80+(1-EXP(-LN(2)/25))/(LN(2)/25)*Calculateur!BL81*Calculateur!BN81*VLOOKUP('Données projet'!$B$11,Paramètres!$A$1:$I$89,3,0)*0.475*44/12</f>
        <v>12.760172526448404</v>
      </c>
      <c r="BR81" s="21">
        <f>EXP(-LN(2)/2)*BR80+(1-EXP(-LN(2)/2))/(LN(2)/2)*BL81*BO81*VLOOKUP('Données projet'!$B$11,Paramètres!$A$1:$I$89,3,0)*0.475*44/12</f>
        <v>0.49797626403874984</v>
      </c>
      <c r="BS81" s="22">
        <f t="shared" si="63"/>
        <v>69.426262270388975</v>
      </c>
      <c r="BT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248.99999999999989</v>
      </c>
      <c r="BZ81" s="13">
        <f>BY81*VLOOKUP('Données projet'!$B$12,Paramètres!$A$1:$I$89,3,0)*VLOOKUP('Données projet'!$B$12,Paramètres!$A$1:$I$89,5,0)</f>
        <v>236.94839999999991</v>
      </c>
      <c r="CA81" s="13">
        <f t="shared" si="93"/>
        <v>57.782475694292401</v>
      </c>
      <c r="CB81" s="20">
        <f t="shared" si="64"/>
        <v>513.32294183422573</v>
      </c>
      <c r="CC81" s="57">
        <f t="shared" si="65"/>
        <v>783.24637986865196</v>
      </c>
      <c r="CD81" s="57">
        <f ca="1">AVERAGE(OFFSET($CC$3,0,0,'Données projet'!$E$12+1,1))-AVERAGE(OFFSET($H$3,0,0,'Données projet'!$E$12+1,1))</f>
        <v>479.4551766174892</v>
      </c>
      <c r="CE81" s="57">
        <f t="shared" si="94"/>
        <v>260.29028006191834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-2.2737367544323206E-13</v>
      </c>
      <c r="CU81" s="17">
        <f>CT81*VLOOKUP('Données projet'!$B$13,Paramètres!$A$1:$I$89,3,0)*VLOOKUP('Données projet'!$B$13,Paramètres!$A$1:$I$89,5,0)</f>
        <v>-1.2710188457276673E-13</v>
      </c>
      <c r="CV81" s="13" t="e">
        <f t="shared" si="95"/>
        <v>#NUM!</v>
      </c>
      <c r="CW81" s="20" t="e">
        <f t="shared" si="67"/>
        <v>#NUM!</v>
      </c>
      <c r="CX81" s="57" t="e">
        <f t="shared" si="68"/>
        <v>#NUM!</v>
      </c>
      <c r="CY81" s="57">
        <f ca="1">AVERAGE(OFFSET($CX$3,0,0,'Données projet'!$E$13+1,1))-AVERAGE(OFFSET($H$3,0,0,'Données projet'!$E$13+1,1))</f>
        <v>459.83870442974046</v>
      </c>
      <c r="CZ81" s="57">
        <f t="shared" si="96"/>
        <v>565.68976940602215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181.18456221489078</v>
      </c>
      <c r="DG81" s="21">
        <f>EXP(-LN(2)/25)*DG80+(1-EXP(-LN(2)/25))/(LN(2)/25)*Calculateur!DB81*Calculateur!DD81*VLOOKUP('Données projet'!$B$13,Paramètres!$A$1:$I$89,3,0)*0.475*44/12</f>
        <v>39.111880063831258</v>
      </c>
      <c r="DH81" s="21">
        <f>EXP(-LN(2)/2)*DH80+(1-EXP(-LN(2)/2))/(LN(2)/2)*DB81*DE81*VLOOKUP('Données projet'!$B$13,Paramètres!$A$1:$I$89,3,0)*0.475*44/12</f>
        <v>0.11000166092833846</v>
      </c>
      <c r="DI81" s="22">
        <f t="shared" si="69"/>
        <v>220.40644393965036</v>
      </c>
      <c r="DJ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7" t="e">
        <f t="shared" si="71"/>
        <v>#NUM!</v>
      </c>
      <c r="DT81" s="57">
        <f ca="1">AVERAGE(OFFSET($DS$3,0,0,'Données projet'!$E$14+1,1))-AVERAGE(OFFSET($H$3,0,0,'Données projet'!$E$14+1,1))</f>
        <v>315.23504986325418</v>
      </c>
      <c r="DU81" s="57">
        <f t="shared" si="98"/>
        <v>350.52837099886688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98.458297055705444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98.458297055705444</v>
      </c>
      <c r="EE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3.9111111111111097</v>
      </c>
      <c r="EJ81" s="12">
        <f>IF('Données projet'!$A$192&gt;35,EJ80+EI81-ER80,IF(A81&lt;'Données projet'!$A$192,$EG$205^A81,IF(A81='Données projet'!$A$192,'Données projet'!$B$192,EJ80+EI81-ER80)))</f>
        <v>125.86666666666657</v>
      </c>
      <c r="EK81" s="17">
        <f>EJ81*VLOOKUP('Données projet'!$B$15,Paramètres!$A$1:$I$89,3,0)*VLOOKUP('Données projet'!$B$15,Paramètres!$A$1:$I$89,5,0)</f>
        <v>121.73823999999992</v>
      </c>
      <c r="EL81" s="13">
        <f t="shared" si="99"/>
        <v>32.080075272923807</v>
      </c>
      <c r="EM81" s="20">
        <f t="shared" si="73"/>
        <v>267.90023243367546</v>
      </c>
      <c r="EN81" s="57">
        <f t="shared" si="74"/>
        <v>537.82367046810168</v>
      </c>
      <c r="EO81" s="57">
        <f ca="1">AVERAGE(OFFSET($EN$3,0,0,'Données projet'!$E$15+1,1))-AVERAGE(OFFSET($H$3,0,0,'Données projet'!$E$15+1,1))</f>
        <v>328.31200866623891</v>
      </c>
      <c r="EP81" s="57">
        <f t="shared" si="100"/>
        <v>195.52650232917446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15.315881009407413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15.315881009407413</v>
      </c>
      <c r="EZ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>
        <f>FE81*VLOOKUP('Données projet'!$B$16,Paramètres!$A$1:$I$89,3,0)*VLOOKUP('Données projet'!$B$16,Paramètres!$A$1:$I$89,5,0)</f>
        <v>0</v>
      </c>
      <c r="FG81" s="13" t="e">
        <f t="shared" si="101"/>
        <v>#NUM!</v>
      </c>
      <c r="FH81" s="20" t="e">
        <f t="shared" si="76"/>
        <v>#NUM!</v>
      </c>
      <c r="FI81" s="57" t="e">
        <f t="shared" si="77"/>
        <v>#NUM!</v>
      </c>
      <c r="FJ81" s="57">
        <f ca="1">AVERAGE(OFFSET($FI$3,0,0,'Données projet'!$E$16+1,1))-AVERAGE(OFFSET($H$3,0,0,'Données projet'!$E$16+1,1))</f>
        <v>142.88219003619457</v>
      </c>
      <c r="FK81" s="57">
        <f t="shared" si="102"/>
        <v>288.69704547625088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18.975737555712207</v>
      </c>
      <c r="FR81" s="21">
        <f>EXP(-LN(2)/25)*FR80+(1-EXP(-LN(2)/25))/(LN(2)/25)*Calculateur!FM81*Calculateur!FO81*VLOOKUP('Données projet'!$B$16,Paramètres!$A$1:$I$89,3,0)*0.475*44/12</f>
        <v>3.2818168204482094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22.257554376160417</v>
      </c>
      <c r="FU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7" t="e">
        <f t="shared" si="80"/>
        <v>#N/A</v>
      </c>
      <c r="GE81" s="57" t="e">
        <f ca="1">AVERAGE(OFFSET($GD$3,0,0,'Données projet'!$E$17+1,1))-AVERAGE(OFFSET($H$3,0,0,'Données projet'!$E$17+1,1))</f>
        <v>#N/A</v>
      </c>
      <c r="GF81" s="57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7" t="e">
        <f t="shared" si="83"/>
        <v>#N/A</v>
      </c>
      <c r="GZ81" s="57" t="e">
        <f ca="1">AVERAGE(OFFSET($GY$3,0,0,'Données projet'!$E$18+1,1))-AVERAGE(OFFSET($H$3,0,0,'Données projet'!$E$18+1,1))</f>
        <v>#N/A</v>
      </c>
      <c r="HA81" s="57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1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5">
        <f t="shared" si="56"/>
        <v>183.33333333333334</v>
      </c>
      <c r="I82" s="6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</v>
      </c>
      <c r="N82" s="13">
        <f>IF('Données projet'!$A$36&gt;35,N81+M82-V81,IF(A82&lt;'Données projet'!$A$36,$K$205^A82,IF(A82='Données projet'!$A$36,'Données projet'!$B$36,N81+M82-V81)))</f>
        <v>312.00000000000006</v>
      </c>
      <c r="O82" s="13">
        <f>N82*VLOOKUP('Données projet'!$B$9,Paramètres!$A$1:$I$89,3,0)*VLOOKUP('Données projet'!$B$9,Paramètres!$A$1:$I$89,5,0)</f>
        <v>282.29760000000005</v>
      </c>
      <c r="P82" s="13">
        <f t="shared" si="87"/>
        <v>67.452326629470178</v>
      </c>
      <c r="Q82" s="20">
        <f t="shared" si="54"/>
        <v>609.14778887966054</v>
      </c>
      <c r="R82" s="57">
        <f t="shared" si="55"/>
        <v>879.47733626083755</v>
      </c>
      <c r="S82" s="57">
        <f ca="1">AVERAGE(OFFSET($R$3,0,0,'Données projet'!$E$9+1,1))-AVERAGE(OFFSET($H$3,0,0,'Données projet'!$E$9+1,1))</f>
        <v>539.63700256763173</v>
      </c>
      <c r="T82" s="57">
        <f t="shared" si="88"/>
        <v>297.32483725004136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</v>
      </c>
      <c r="AI82" s="13">
        <f>IF('Données projet'!$A$62&gt;35,AI81+AH82-AQ81,IF(A82&lt;'Données projet'!$A$62,$AF$205^A82,IF(A82='Données projet'!$A$62,'Données projet'!$B$62,AI81+AH82-AQ81)))</f>
        <v>312.00000000000006</v>
      </c>
      <c r="AJ82" s="13">
        <f>AI82*VLOOKUP('Données projet'!$B$10,Paramètres!$A$1:$I$89,3,0)*VLOOKUP('Données projet'!$B$10,Paramètres!$A$1:$I$89,5,0)</f>
        <v>262.82880000000006</v>
      </c>
      <c r="AK82" s="13">
        <f t="shared" si="89"/>
        <v>63.324983518559485</v>
      </c>
      <c r="AL82" s="20">
        <f t="shared" si="58"/>
        <v>568.05117296149115</v>
      </c>
      <c r="AM82" s="57">
        <f t="shared" si="59"/>
        <v>838.38072034266816</v>
      </c>
      <c r="AN82" s="57">
        <f ca="1">AVERAGE(OFFSET($AM$3,0,0,'Données projet'!$E$10+1,1))-AVERAGE(OFFSET($H$3,0,0,'Données projet'!$E$10+1,1))</f>
        <v>508.21188526136734</v>
      </c>
      <c r="AO82" s="57">
        <f t="shared" si="90"/>
        <v>281.06176764290592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13.107746913580252</v>
      </c>
      <c r="BD82" s="12">
        <f>IF('Données projet'!$A$88&gt;35,BD81+BC82-BL81,IF(A82&lt;'Données projet'!$A$88,$BA$205^A82,IF(A82='Données projet'!$A$88,'Données projet'!$B$88,BD81+BC82-BL81)))</f>
        <v>686.89225308641983</v>
      </c>
      <c r="BE82" s="13">
        <f>BD82*VLOOKUP('Données projet'!$B$11,Paramètres!$A$1:$I$89,3,0)*VLOOKUP('Données projet'!$B$11,Paramètres!$A$1:$I$89,5,0)</f>
        <v>321.46557444444448</v>
      </c>
      <c r="BF82" s="13">
        <f t="shared" si="91"/>
        <v>75.658213783888485</v>
      </c>
      <c r="BG82" s="20">
        <f t="shared" si="61"/>
        <v>691.65726449767988</v>
      </c>
      <c r="BH82" s="57">
        <f t="shared" si="62"/>
        <v>961.98681187885677</v>
      </c>
      <c r="BI82" s="57">
        <f ca="1">AVERAGE(OFFSET($BH$3,0,0,'Données projet'!$E$11+1,1))-AVERAGE(OFFSET($H$3,0,0,'Données projet'!$E$11+1,1))</f>
        <v>449.50723280509311</v>
      </c>
      <c r="BJ82" s="57">
        <f t="shared" si="92"/>
        <v>281.26353650058275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55.066691033727352</v>
      </c>
      <c r="BQ82" s="21">
        <f>EXP(-LN(2)/25)*BQ81+(1-EXP(-LN(2)/25))/(LN(2)/25)*Calculateur!BL82*Calculateur!BN82*VLOOKUP('Données projet'!$B$11,Paramètres!$A$1:$I$89,3,0)*0.475*44/12</f>
        <v>12.411244937684362</v>
      </c>
      <c r="BR82" s="21">
        <f>EXP(-LN(2)/2)*BR81+(1-EXP(-LN(2)/2))/(LN(2)/2)*BL82*BO82*VLOOKUP('Données projet'!$B$11,Paramètres!$A$1:$I$89,3,0)*0.475*44/12</f>
        <v>0.35212239317174271</v>
      </c>
      <c r="BS82" s="22">
        <f t="shared" si="63"/>
        <v>67.830058364583451</v>
      </c>
      <c r="BT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254.99999999999989</v>
      </c>
      <c r="BZ82" s="13">
        <f>BY82*VLOOKUP('Données projet'!$B$12,Paramètres!$A$1:$I$89,3,0)*VLOOKUP('Données projet'!$B$12,Paramètres!$A$1:$I$89,5,0)</f>
        <v>242.6579999999999</v>
      </c>
      <c r="CA82" s="13">
        <f t="shared" si="93"/>
        <v>59.011045025839607</v>
      </c>
      <c r="CB82" s="20">
        <f t="shared" si="64"/>
        <v>525.40692008667054</v>
      </c>
      <c r="CC82" s="57">
        <f t="shared" si="65"/>
        <v>795.73646746784743</v>
      </c>
      <c r="CD82" s="57">
        <f ca="1">AVERAGE(OFFSET($CC$3,0,0,'Données projet'!$E$12+1,1))-AVERAGE(OFFSET($H$3,0,0,'Données projet'!$E$12+1,1))</f>
        <v>479.4551766174892</v>
      </c>
      <c r="CE82" s="57">
        <f t="shared" si="94"/>
        <v>260.29028006191834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-2.2737367544323206E-13</v>
      </c>
      <c r="CU82" s="17">
        <f>CT82*VLOOKUP('Données projet'!$B$13,Paramètres!$A$1:$I$89,3,0)*VLOOKUP('Données projet'!$B$13,Paramètres!$A$1:$I$89,5,0)</f>
        <v>-1.2710188457276673E-13</v>
      </c>
      <c r="CV82" s="13" t="e">
        <f t="shared" si="95"/>
        <v>#NUM!</v>
      </c>
      <c r="CW82" s="20" t="e">
        <f t="shared" si="67"/>
        <v>#NUM!</v>
      </c>
      <c r="CX82" s="57" t="e">
        <f t="shared" si="68"/>
        <v>#NUM!</v>
      </c>
      <c r="CY82" s="57">
        <f ca="1">AVERAGE(OFFSET($CX$3,0,0,'Données projet'!$E$13+1,1))-AVERAGE(OFFSET($H$3,0,0,'Données projet'!$E$13+1,1))</f>
        <v>459.83870442974046</v>
      </c>
      <c r="CZ82" s="57">
        <f t="shared" si="96"/>
        <v>565.68976940602215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177.6316434615276</v>
      </c>
      <c r="DG82" s="21">
        <f>EXP(-LN(2)/25)*DG81+(1-EXP(-LN(2)/25))/(LN(2)/25)*Calculateur!DB82*Calculateur!DD82*VLOOKUP('Données projet'!$B$13,Paramètres!$A$1:$I$89,3,0)*0.475*44/12</f>
        <v>38.042363646681409</v>
      </c>
      <c r="DH82" s="21">
        <f>EXP(-LN(2)/2)*DH81+(1-EXP(-LN(2)/2))/(LN(2)/2)*DB82*DE82*VLOOKUP('Données projet'!$B$13,Paramètres!$A$1:$I$89,3,0)*0.475*44/12</f>
        <v>7.7782920384211418E-2</v>
      </c>
      <c r="DI82" s="22">
        <f t="shared" si="69"/>
        <v>215.75179002859323</v>
      </c>
      <c r="DJ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7" t="e">
        <f t="shared" si="71"/>
        <v>#NUM!</v>
      </c>
      <c r="DT82" s="57">
        <f ca="1">AVERAGE(OFFSET($DS$3,0,0,'Données projet'!$E$14+1,1))-AVERAGE(OFFSET($H$3,0,0,'Données projet'!$E$14+1,1))</f>
        <v>315.23504986325418</v>
      </c>
      <c r="DU82" s="57">
        <f t="shared" si="98"/>
        <v>350.52837099886688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96.52758990407446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96.52758990407446</v>
      </c>
      <c r="EE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3.9111111111111097</v>
      </c>
      <c r="EJ82" s="12">
        <f>IF('Données projet'!$A$192&gt;35,EJ81+EI82-ER81,IF(A82&lt;'Données projet'!$A$192,$EG$205^A82,IF(A82='Données projet'!$A$192,'Données projet'!$B$192,EJ81+EI82-ER81)))</f>
        <v>129.77777777777769</v>
      </c>
      <c r="EK82" s="17">
        <f>EJ82*VLOOKUP('Données projet'!$B$15,Paramètres!$A$1:$I$89,3,0)*VLOOKUP('Données projet'!$B$15,Paramètres!$A$1:$I$89,5,0)</f>
        <v>125.52106666666658</v>
      </c>
      <c r="EL82" s="13">
        <f t="shared" si="99"/>
        <v>32.959306975415274</v>
      </c>
      <c r="EM82" s="20">
        <f t="shared" si="73"/>
        <v>276.01998409329258</v>
      </c>
      <c r="EN82" s="57">
        <f t="shared" si="74"/>
        <v>546.34953147446959</v>
      </c>
      <c r="EO82" s="57">
        <f ca="1">AVERAGE(OFFSET($EN$3,0,0,'Données projet'!$E$15+1,1))-AVERAGE(OFFSET($H$3,0,0,'Données projet'!$E$15+1,1))</f>
        <v>328.31200866623891</v>
      </c>
      <c r="EP82" s="57">
        <f t="shared" si="100"/>
        <v>195.52650232917446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15.015545924577927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15.015545924577927</v>
      </c>
      <c r="EZ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>
        <f>FE82*VLOOKUP('Données projet'!$B$16,Paramètres!$A$1:$I$89,3,0)*VLOOKUP('Données projet'!$B$16,Paramètres!$A$1:$I$89,5,0)</f>
        <v>0</v>
      </c>
      <c r="FG82" s="13" t="e">
        <f t="shared" si="101"/>
        <v>#NUM!</v>
      </c>
      <c r="FH82" s="20" t="e">
        <f t="shared" si="76"/>
        <v>#NUM!</v>
      </c>
      <c r="FI82" s="57" t="e">
        <f t="shared" si="77"/>
        <v>#NUM!</v>
      </c>
      <c r="FJ82" s="57">
        <f ca="1">AVERAGE(OFFSET($FI$3,0,0,'Données projet'!$E$16+1,1))-AVERAGE(OFFSET($H$3,0,0,'Données projet'!$E$16+1,1))</f>
        <v>142.88219003619457</v>
      </c>
      <c r="FK82" s="57">
        <f t="shared" si="102"/>
        <v>288.69704547625088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18.603634916301758</v>
      </c>
      <c r="FR82" s="21">
        <f>EXP(-LN(2)/25)*FR81+(1-EXP(-LN(2)/25))/(LN(2)/25)*Calculateur!FM82*Calculateur!FO82*VLOOKUP('Données projet'!$B$16,Paramètres!$A$1:$I$89,3,0)*0.475*44/12</f>
        <v>3.1920753669098074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21.795710283211566</v>
      </c>
      <c r="FU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7" t="e">
        <f t="shared" si="80"/>
        <v>#N/A</v>
      </c>
      <c r="GE82" s="57" t="e">
        <f ca="1">AVERAGE(OFFSET($GD$3,0,0,'Données projet'!$E$17+1,1))-AVERAGE(OFFSET($H$3,0,0,'Données projet'!$E$17+1,1))</f>
        <v>#N/A</v>
      </c>
      <c r="GF82" s="57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7" t="e">
        <f t="shared" si="83"/>
        <v>#N/A</v>
      </c>
      <c r="GZ82" s="57" t="e">
        <f ca="1">AVERAGE(OFFSET($GY$3,0,0,'Données projet'!$E$18+1,1))-AVERAGE(OFFSET($H$3,0,0,'Données projet'!$E$18+1,1))</f>
        <v>#N/A</v>
      </c>
      <c r="HA82" s="57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1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5">
        <f t="shared" si="56"/>
        <v>183.33333333333334</v>
      </c>
      <c r="I83" s="6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7</v>
      </c>
      <c r="N83" s="13">
        <f>IF('Données projet'!$A$36&gt;35,N82+M83-V82,IF(A83&lt;'Données projet'!$A$36,$K$205^A83,IF(A83='Données projet'!$A$36,'Données projet'!$B$36,N82+M83-V82)))</f>
        <v>319.00000000000006</v>
      </c>
      <c r="O83" s="13">
        <f>N83*VLOOKUP('Données projet'!$B$9,Paramètres!$A$1:$I$89,3,0)*VLOOKUP('Données projet'!$B$9,Paramètres!$A$1:$I$89,5,0)</f>
        <v>288.63120000000004</v>
      </c>
      <c r="P83" s="13">
        <f t="shared" si="87"/>
        <v>68.787794100289275</v>
      </c>
      <c r="Q83" s="20">
        <f t="shared" si="54"/>
        <v>622.50474805800388</v>
      </c>
      <c r="R83" s="57">
        <f t="shared" si="55"/>
        <v>893.23335969669006</v>
      </c>
      <c r="S83" s="57">
        <f ca="1">AVERAGE(OFFSET($R$3,0,0,'Données projet'!$E$9+1,1))-AVERAGE(OFFSET($H$3,0,0,'Données projet'!$E$9+1,1))</f>
        <v>539.63700256763173</v>
      </c>
      <c r="T83" s="57">
        <f t="shared" si="88"/>
        <v>297.32483725004136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7</v>
      </c>
      <c r="AI83" s="13">
        <f>IF('Données projet'!$A$62&gt;35,AI82+AH83-AQ82,IF(A83&lt;'Données projet'!$A$62,$AF$205^A83,IF(A83='Données projet'!$A$62,'Données projet'!$B$62,AI82+AH83-AQ82)))</f>
        <v>319.00000000000006</v>
      </c>
      <c r="AJ83" s="13">
        <f>AI83*VLOOKUP('Données projet'!$B$10,Paramètres!$A$1:$I$89,3,0)*VLOOKUP('Données projet'!$B$10,Paramètres!$A$1:$I$89,5,0)</f>
        <v>268.7256000000001</v>
      </c>
      <c r="AK83" s="13">
        <f t="shared" si="89"/>
        <v>64.578735016913868</v>
      </c>
      <c r="AL83" s="20">
        <f t="shared" si="58"/>
        <v>580.50505015445844</v>
      </c>
      <c r="AM83" s="57">
        <f t="shared" si="59"/>
        <v>851.23366179314462</v>
      </c>
      <c r="AN83" s="57">
        <f ca="1">AVERAGE(OFFSET($AM$3,0,0,'Données projet'!$E$10+1,1))-AVERAGE(OFFSET($H$3,0,0,'Données projet'!$E$10+1,1))</f>
        <v>508.21188526136734</v>
      </c>
      <c r="AO83" s="57">
        <f t="shared" si="90"/>
        <v>281.06176764290592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700</v>
      </c>
      <c r="BB83" s="12">
        <f>VLOOKUP(A83,'Données projet'!$A$87:$I$107,9,0)</f>
        <v>13.107746913580252</v>
      </c>
      <c r="BC83" s="12">
        <f t="array" ref="BC83">INDEX(BB:BB,MIN(IF(ISNUMBER(BB83:BB279),ROW(BB83:BB279),"")))</f>
        <v>13.107746913580252</v>
      </c>
      <c r="BD83" s="12">
        <f>IF('Données projet'!$A$88&gt;35,BD82+BC83-BL82,IF(A83&lt;'Données projet'!$A$88,$BA$205^A83,IF(A83='Données projet'!$A$88,'Données projet'!$B$88,BD82+BC83-BL82)))</f>
        <v>700.00000000000011</v>
      </c>
      <c r="BE83" s="13">
        <f>BD83*VLOOKUP('Données projet'!$B$11,Paramètres!$A$1:$I$89,3,0)*VLOOKUP('Données projet'!$B$11,Paramètres!$A$1:$I$89,5,0)</f>
        <v>327.60000000000002</v>
      </c>
      <c r="BF83" s="13">
        <f t="shared" si="91"/>
        <v>76.932514754922607</v>
      </c>
      <c r="BG83" s="20">
        <f t="shared" si="61"/>
        <v>704.56079653149027</v>
      </c>
      <c r="BH83" s="57">
        <f t="shared" si="62"/>
        <v>975.28940817017633</v>
      </c>
      <c r="BI83" s="57">
        <f ca="1">AVERAGE(OFFSET($BH$3,0,0,'Données projet'!$E$11+1,1))-AVERAGE(OFFSET($H$3,0,0,'Données projet'!$E$11+1,1))</f>
        <v>449.50723280509311</v>
      </c>
      <c r="BJ83" s="57">
        <f t="shared" si="92"/>
        <v>281.26353650058275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135.65375514403294</v>
      </c>
      <c r="BM83" s="16">
        <f>IF(ISNA(VLOOKUP(A83,'Données projet'!$A$87:$I$107,5,0)),0%,VLOOKUP(A83,'Données projet'!$A$87:$I$107,5,0)*VLOOKUP('Données projet'!$B$11,Paramètres!$A$1:$I$89,7,0))</f>
        <v>0.38500000000000001</v>
      </c>
      <c r="BN83" s="16">
        <f>IF(ISNA(VLOOKUP(A83,'Données projet'!$A$87:$I$107,6,0)),0%,VLOOKUP(A83,'Données projet'!$A$87:$I$107,6,0)*VLOOKUP('Données projet'!$B$11,Paramètres!$A$1:$I$89,7,0))</f>
        <v>9.240000000000001E-2</v>
      </c>
      <c r="BO83" s="16">
        <f>IF(ISNA(VLOOKUP(A83,'Données projet'!$A$87:$I$107,7,0)),0%,VLOOKUP(A83,'Données projet'!$A$87:$I$107,7,0))</f>
        <v>0.13200000000000001</v>
      </c>
      <c r="BP83" s="21">
        <f>EXP(-LN(2)/35)*BP82+(1-EXP(-LN(2)/35))/(LN(2)/35)*BL83*BM83*VLOOKUP('Données projet'!$B$11,Paramètres!$A$1:$I$89,3,0)*0.475*44/12</f>
        <v>86.410879398663894</v>
      </c>
      <c r="BQ83" s="21">
        <f>EXP(-LN(2)/25)*BQ82+(1-EXP(-LN(2)/25))/(LN(2)/25)*Calculateur!BL83*Calculateur!BN83*VLOOKUP('Données projet'!$B$11,Paramètres!$A$1:$I$89,3,0)*0.475*44/12</f>
        <v>19.822982047383647</v>
      </c>
      <c r="BR83" s="21">
        <f>EXP(-LN(2)/2)*BR82+(1-EXP(-LN(2)/2))/(LN(2)/2)*BL83*BO83*VLOOKUP('Données projet'!$B$11,Paramètres!$A$1:$I$89,3,0)*0.475*44/12</f>
        <v>9.7372605189388004</v>
      </c>
      <c r="BS83" s="22">
        <f t="shared" si="63"/>
        <v>115.97112196498634</v>
      </c>
      <c r="BT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261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260.99999999999989</v>
      </c>
      <c r="BZ83" s="13">
        <f>BY83*VLOOKUP('Données projet'!$B$12,Paramètres!$A$1:$I$89,3,0)*VLOOKUP('Données projet'!$B$12,Paramètres!$A$1:$I$89,5,0)</f>
        <v>248.3675999999999</v>
      </c>
      <c r="CA83" s="13">
        <f t="shared" si="93"/>
        <v>60.236253798706286</v>
      </c>
      <c r="CB83" s="20">
        <f t="shared" si="64"/>
        <v>537.48504536607982</v>
      </c>
      <c r="CC83" s="57">
        <f t="shared" si="65"/>
        <v>808.21365700476599</v>
      </c>
      <c r="CD83" s="57">
        <f ca="1">AVERAGE(OFFSET($CC$3,0,0,'Données projet'!$E$12+1,1))-AVERAGE(OFFSET($H$3,0,0,'Données projet'!$E$12+1,1))</f>
        <v>479.4551766174892</v>
      </c>
      <c r="CE83" s="57">
        <f t="shared" si="94"/>
        <v>260.29028006191834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21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-2.2737367544323206E-13</v>
      </c>
      <c r="CU83" s="17">
        <f>CT83*VLOOKUP('Données projet'!$B$13,Paramètres!$A$1:$I$89,3,0)*VLOOKUP('Données projet'!$B$13,Paramètres!$A$1:$I$89,5,0)</f>
        <v>-1.2710188457276673E-13</v>
      </c>
      <c r="CV83" s="13" t="e">
        <f t="shared" si="95"/>
        <v>#NUM!</v>
      </c>
      <c r="CW83" s="20" t="e">
        <f t="shared" si="67"/>
        <v>#NUM!</v>
      </c>
      <c r="CX83" s="57" t="e">
        <f t="shared" si="68"/>
        <v>#NUM!</v>
      </c>
      <c r="CY83" s="57">
        <f ca="1">AVERAGE(OFFSET($CX$3,0,0,'Données projet'!$E$13+1,1))-AVERAGE(OFFSET($H$3,0,0,'Données projet'!$E$13+1,1))</f>
        <v>459.83870442974046</v>
      </c>
      <c r="CZ83" s="57">
        <f t="shared" si="96"/>
        <v>565.68976940602215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174.14839527785142</v>
      </c>
      <c r="DG83" s="21">
        <f>EXP(-LN(2)/25)*DG82+(1-EXP(-LN(2)/25))/(LN(2)/25)*Calculateur!DB83*Calculateur!DD83*VLOOKUP('Données projet'!$B$13,Paramètres!$A$1:$I$89,3,0)*0.475*44/12</f>
        <v>37.002093212201949</v>
      </c>
      <c r="DH83" s="21">
        <f>EXP(-LN(2)/2)*DH82+(1-EXP(-LN(2)/2))/(LN(2)/2)*DB83*DE83*VLOOKUP('Données projet'!$B$13,Paramètres!$A$1:$I$89,3,0)*0.475*44/12</f>
        <v>5.5000830464169231E-2</v>
      </c>
      <c r="DI83" s="22">
        <f t="shared" si="69"/>
        <v>211.20548932051753</v>
      </c>
      <c r="DJ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7" t="e">
        <f t="shared" si="71"/>
        <v>#NUM!</v>
      </c>
      <c r="DT83" s="57">
        <f ca="1">AVERAGE(OFFSET($DS$3,0,0,'Données projet'!$E$14+1,1))-AVERAGE(OFFSET($H$3,0,0,'Données projet'!$E$14+1,1))</f>
        <v>315.23504986325418</v>
      </c>
      <c r="DU83" s="57">
        <f t="shared" si="98"/>
        <v>350.52837099886688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94.634742742071879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94.634742742071879</v>
      </c>
      <c r="EE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3.9111111111111097</v>
      </c>
      <c r="EJ83" s="12">
        <f>IF('Données projet'!$A$192&gt;35,EJ82+EI83-ER82,IF(A83&lt;'Données projet'!$A$192,$EG$205^A83,IF(A83='Données projet'!$A$192,'Données projet'!$B$192,EJ82+EI83-ER82)))</f>
        <v>133.68888888888878</v>
      </c>
      <c r="EK83" s="17">
        <f>EJ83*VLOOKUP('Données projet'!$B$15,Paramètres!$A$1:$I$89,3,0)*VLOOKUP('Données projet'!$B$15,Paramètres!$A$1:$I$89,5,0)</f>
        <v>129.30389333333324</v>
      </c>
      <c r="EL83" s="13">
        <f t="shared" si="99"/>
        <v>33.835459292214374</v>
      </c>
      <c r="EM83" s="20">
        <f t="shared" si="73"/>
        <v>284.13437248949543</v>
      </c>
      <c r="EN83" s="57">
        <f t="shared" si="74"/>
        <v>554.86298412818155</v>
      </c>
      <c r="EO83" s="57">
        <f ca="1">AVERAGE(OFFSET($EN$3,0,0,'Données projet'!$E$15+1,1))-AVERAGE(OFFSET($H$3,0,0,'Données projet'!$E$15+1,1))</f>
        <v>328.31200866623891</v>
      </c>
      <c r="EP83" s="57">
        <f t="shared" si="100"/>
        <v>195.52650232917446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14.721100227575633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14.721100227575633</v>
      </c>
      <c r="EZ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>
        <f>FE83*VLOOKUP('Données projet'!$B$16,Paramètres!$A$1:$I$89,3,0)*VLOOKUP('Données projet'!$B$16,Paramètres!$A$1:$I$89,5,0)</f>
        <v>0</v>
      </c>
      <c r="FG83" s="13" t="e">
        <f t="shared" si="101"/>
        <v>#NUM!</v>
      </c>
      <c r="FH83" s="20" t="e">
        <f t="shared" si="76"/>
        <v>#NUM!</v>
      </c>
      <c r="FI83" s="57" t="e">
        <f t="shared" si="77"/>
        <v>#NUM!</v>
      </c>
      <c r="FJ83" s="57">
        <f ca="1">AVERAGE(OFFSET($FI$3,0,0,'Données projet'!$E$16+1,1))-AVERAGE(OFFSET($H$3,0,0,'Données projet'!$E$16+1,1))</f>
        <v>142.88219003619457</v>
      </c>
      <c r="FK83" s="57">
        <f t="shared" si="102"/>
        <v>288.69704547625088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18.238828982689945</v>
      </c>
      <c r="FR83" s="21">
        <f>EXP(-LN(2)/25)*FR82+(1-EXP(-LN(2)/25))/(LN(2)/25)*Calculateur!FM83*Calculateur!FO83*VLOOKUP('Données projet'!$B$16,Paramètres!$A$1:$I$89,3,0)*0.475*44/12</f>
        <v>3.1047878981377108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21.343616880827657</v>
      </c>
      <c r="FU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7" t="e">
        <f t="shared" si="80"/>
        <v>#N/A</v>
      </c>
      <c r="GE83" s="57" t="e">
        <f ca="1">AVERAGE(OFFSET($GD$3,0,0,'Données projet'!$E$17+1,1))-AVERAGE(OFFSET($H$3,0,0,'Données projet'!$E$17+1,1))</f>
        <v>#N/A</v>
      </c>
      <c r="GF83" s="57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7" t="e">
        <f t="shared" si="83"/>
        <v>#N/A</v>
      </c>
      <c r="GZ83" s="57" t="e">
        <f ca="1">AVERAGE(OFFSET($GY$3,0,0,'Données projet'!$E$18+1,1))-AVERAGE(OFFSET($H$3,0,0,'Données projet'!$E$18+1,1))</f>
        <v>#N/A</v>
      </c>
      <c r="HA83" s="57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1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5">
        <f t="shared" si="56"/>
        <v>183.33333333333334</v>
      </c>
      <c r="I84" s="6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</v>
      </c>
      <c r="N84" s="13">
        <f>IF('Données projet'!$A$36&gt;35,N83+M84-V83,IF(A84&lt;'Données projet'!$A$36,$K$205^A84,IF(A84='Données projet'!$A$36,'Données projet'!$B$36,N83+M84-V83)))</f>
        <v>326.00000000000006</v>
      </c>
      <c r="O84" s="13">
        <f>N84*VLOOKUP('Données projet'!$B$9,Paramètres!$A$1:$I$89,3,0)*VLOOKUP('Données projet'!$B$9,Paramètres!$A$1:$I$89,5,0)</f>
        <v>294.96480000000003</v>
      </c>
      <c r="P84" s="13">
        <f t="shared" si="87"/>
        <v>70.119854541045001</v>
      </c>
      <c r="Q84" s="20">
        <f t="shared" si="54"/>
        <v>635.85577332565333</v>
      </c>
      <c r="R84" s="57">
        <f t="shared" si="55"/>
        <v>906.97652634915471</v>
      </c>
      <c r="S84" s="57">
        <f ca="1">AVERAGE(OFFSET($R$3,0,0,'Données projet'!$E$9+1,1))-AVERAGE(OFFSET($H$3,0,0,'Données projet'!$E$9+1,1))</f>
        <v>539.63700256763173</v>
      </c>
      <c r="T84" s="57">
        <f t="shared" si="88"/>
        <v>297.32483725004136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</v>
      </c>
      <c r="AI84" s="13">
        <f>IF('Données projet'!$A$62&gt;35,AI83+AH84-AQ83,IF(A84&lt;'Données projet'!$A$62,$AF$205^A84,IF(A84='Données projet'!$A$62,'Données projet'!$B$62,AI83+AH84-AQ83)))</f>
        <v>326.00000000000006</v>
      </c>
      <c r="AJ84" s="13">
        <f>AI84*VLOOKUP('Données projet'!$B$10,Paramètres!$A$1:$I$89,3,0)*VLOOKUP('Données projet'!$B$10,Paramètres!$A$1:$I$89,5,0)</f>
        <v>274.62240000000008</v>
      </c>
      <c r="AK84" s="13">
        <f t="shared" si="89"/>
        <v>65.829287958103762</v>
      </c>
      <c r="AL84" s="20">
        <f t="shared" si="58"/>
        <v>592.95335652703079</v>
      </c>
      <c r="AM84" s="57">
        <f t="shared" si="59"/>
        <v>864.07410955053228</v>
      </c>
      <c r="AN84" s="57">
        <f ca="1">AVERAGE(OFFSET($AM$3,0,0,'Données projet'!$E$10+1,1))-AVERAGE(OFFSET($H$3,0,0,'Données projet'!$E$10+1,1))</f>
        <v>508.21188526136734</v>
      </c>
      <c r="AO84" s="57">
        <f t="shared" si="90"/>
        <v>281.06176764290592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11.565375514403296</v>
      </c>
      <c r="BD84" s="12">
        <f>IF('Données projet'!$A$88&gt;35,BD83+BC84-BL83,IF(A84&lt;'Données projet'!$A$88,$BA$205^A84,IF(A84='Données projet'!$A$88,'Données projet'!$B$88,BD83+BC84-BL83)))</f>
        <v>575.91162037037043</v>
      </c>
      <c r="BE84" s="13">
        <f>BD84*VLOOKUP('Données projet'!$B$11,Paramètres!$A$1:$I$89,3,0)*VLOOKUP('Données projet'!$B$11,Paramètres!$A$1:$I$89,5,0)</f>
        <v>269.52663833333338</v>
      </c>
      <c r="BF84" s="13">
        <f t="shared" si="91"/>
        <v>64.748799738193483</v>
      </c>
      <c r="BG84" s="20">
        <f t="shared" si="61"/>
        <v>582.19638797457594</v>
      </c>
      <c r="BH84" s="57">
        <f t="shared" si="62"/>
        <v>853.31714099807732</v>
      </c>
      <c r="BI84" s="57">
        <f ca="1">AVERAGE(OFFSET($BH$3,0,0,'Données projet'!$E$11+1,1))-AVERAGE(OFFSET($H$3,0,0,'Données projet'!$E$11+1,1))</f>
        <v>449.50723280509311</v>
      </c>
      <c r="BJ84" s="57">
        <f t="shared" si="92"/>
        <v>281.26353650058275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84.716414759088295</v>
      </c>
      <c r="BQ84" s="21">
        <f>EXP(-LN(2)/25)*BQ83+(1-EXP(-LN(2)/25))/(LN(2)/25)*Calculateur!BL84*Calculateur!BN84*VLOOKUP('Données projet'!$B$11,Paramètres!$A$1:$I$89,3,0)*0.475*44/12</f>
        <v>19.280921560852622</v>
      </c>
      <c r="BR84" s="21">
        <f>EXP(-LN(2)/2)*BR83+(1-EXP(-LN(2)/2))/(LN(2)/2)*BL84*BO84*VLOOKUP('Données projet'!$B$11,Paramètres!$A$1:$I$89,3,0)*0.475*44/12</f>
        <v>6.8852829431216671</v>
      </c>
      <c r="BS84" s="22">
        <f t="shared" si="63"/>
        <v>110.88261926306258</v>
      </c>
      <c r="BT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5.8</v>
      </c>
      <c r="BY84" s="12">
        <f>IF('Données projet'!$A$114&gt;35,BY83+BX84-CG83,IF(A84&lt;'Données projet'!$A$114,$BV$205^A84,IF(A84='Données projet'!$A$114,'Données projet'!$B$114,BY83+BX84-CG83)))</f>
        <v>245.7999999999999</v>
      </c>
      <c r="BZ84" s="13">
        <f>BY84*VLOOKUP('Données projet'!$B$12,Paramètres!$A$1:$I$89,3,0)*VLOOKUP('Données projet'!$B$12,Paramètres!$A$1:$I$89,5,0)</f>
        <v>233.90327999999991</v>
      </c>
      <c r="CA84" s="13">
        <f t="shared" si="93"/>
        <v>57.125833544518095</v>
      </c>
      <c r="CB84" s="20">
        <f t="shared" si="64"/>
        <v>506.87570609003546</v>
      </c>
      <c r="CC84" s="57">
        <f t="shared" si="65"/>
        <v>777.99645911353696</v>
      </c>
      <c r="CD84" s="57">
        <f ca="1">AVERAGE(OFFSET($CC$3,0,0,'Données projet'!$E$12+1,1))-AVERAGE(OFFSET($H$3,0,0,'Données projet'!$E$12+1,1))</f>
        <v>479.4551766174892</v>
      </c>
      <c r="CE84" s="57">
        <f t="shared" si="94"/>
        <v>260.29028006191834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-2.2737367544323206E-13</v>
      </c>
      <c r="CU84" s="17">
        <f>CT84*VLOOKUP('Données projet'!$B$13,Paramètres!$A$1:$I$89,3,0)*VLOOKUP('Données projet'!$B$13,Paramètres!$A$1:$I$89,5,0)</f>
        <v>-1.2710188457276673E-13</v>
      </c>
      <c r="CV84" s="13" t="e">
        <f t="shared" si="95"/>
        <v>#NUM!</v>
      </c>
      <c r="CW84" s="20" t="e">
        <f t="shared" si="67"/>
        <v>#NUM!</v>
      </c>
      <c r="CX84" s="57" t="e">
        <f t="shared" si="68"/>
        <v>#NUM!</v>
      </c>
      <c r="CY84" s="57">
        <f ca="1">AVERAGE(OFFSET($CX$3,0,0,'Données projet'!$E$13+1,1))-AVERAGE(OFFSET($H$3,0,0,'Données projet'!$E$13+1,1))</f>
        <v>459.83870442974046</v>
      </c>
      <c r="CZ84" s="57">
        <f t="shared" si="96"/>
        <v>565.68976940602215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170.73345146648552</v>
      </c>
      <c r="DG84" s="21">
        <f>EXP(-LN(2)/25)*DG83+(1-EXP(-LN(2)/25))/(LN(2)/25)*Calculateur!DB84*Calculateur!DD84*VLOOKUP('Données projet'!$B$13,Paramètres!$A$1:$I$89,3,0)*0.475*44/12</f>
        <v>35.990269027458773</v>
      </c>
      <c r="DH84" s="21">
        <f>EXP(-LN(2)/2)*DH83+(1-EXP(-LN(2)/2))/(LN(2)/2)*DB84*DE84*VLOOKUP('Données projet'!$B$13,Paramètres!$A$1:$I$89,3,0)*0.475*44/12</f>
        <v>3.8891460192105709E-2</v>
      </c>
      <c r="DI84" s="22">
        <f t="shared" si="69"/>
        <v>206.76261195413639</v>
      </c>
      <c r="DJ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7" t="e">
        <f t="shared" si="71"/>
        <v>#NUM!</v>
      </c>
      <c r="DT84" s="57">
        <f ca="1">AVERAGE(OFFSET($DS$3,0,0,'Données projet'!$E$14+1,1))-AVERAGE(OFFSET($H$3,0,0,'Données projet'!$E$14+1,1))</f>
        <v>315.23504986325418</v>
      </c>
      <c r="DU84" s="57">
        <f t="shared" si="98"/>
        <v>350.52837099886688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92.779013158393397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92.779013158393397</v>
      </c>
      <c r="EE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>
        <f>VLOOKUP(A84,'Données projet'!$A$191:$I$211,2,0)</f>
        <v>137.6</v>
      </c>
      <c r="EH84" s="12">
        <f>VLOOKUP(A84,'Données projet'!$A$191:$I$211,9,0)</f>
        <v>3.9111111111111097</v>
      </c>
      <c r="EI84" s="12">
        <f t="array" ref="EI84">INDEX(EH:EH,MIN(IF(ISNUMBER(EH84:EH280),ROW(EH84:EH280),"")))</f>
        <v>3.9111111111111097</v>
      </c>
      <c r="EJ84" s="12">
        <f>IF('Données projet'!$A$192&gt;35,EJ83+EI84-ER83,IF(A84&lt;'Données projet'!$A$192,$EG$205^A84,IF(A84='Données projet'!$A$192,'Données projet'!$B$192,EJ83+EI84-ER83)))</f>
        <v>137.59999999999988</v>
      </c>
      <c r="EK84" s="17">
        <f>EJ84*VLOOKUP('Données projet'!$B$15,Paramètres!$A$1:$I$89,3,0)*VLOOKUP('Données projet'!$B$15,Paramètres!$A$1:$I$89,5,0)</f>
        <v>133.0867199999999</v>
      </c>
      <c r="EL84" s="13">
        <f t="shared" si="99"/>
        <v>34.708632656014629</v>
      </c>
      <c r="EM84" s="20">
        <f t="shared" si="73"/>
        <v>292.24357254255864</v>
      </c>
      <c r="EN84" s="57">
        <f t="shared" si="74"/>
        <v>563.36432556606007</v>
      </c>
      <c r="EO84" s="57">
        <f ca="1">AVERAGE(OFFSET($EN$3,0,0,'Données projet'!$E$15+1,1))-AVERAGE(OFFSET($H$3,0,0,'Données projet'!$E$15+1,1))</f>
        <v>328.31200866623891</v>
      </c>
      <c r="EP84" s="57">
        <f t="shared" si="100"/>
        <v>195.52650232917446</v>
      </c>
      <c r="EQ84" s="15">
        <f>IF(ISNA(VLOOKUP(A84,'Données projet'!$A$191:$I$211,3,0)),0,VLOOKUP(A84,'Données projet'!$A$191:$I$211,3,0))</f>
        <v>6</v>
      </c>
      <c r="ER84" s="15">
        <f>IF(ISNA(VLOOKUP(A84,'Données projet'!$A$191:$I$211,4,0)),0,VLOOKUP(A84,'Données projet'!$A$191:$I$211,4,0))</f>
        <v>24.8</v>
      </c>
      <c r="ES84" s="16">
        <f>IF(ISNA(VLOOKUP(A84,'Données projet'!$A$191:$I$211,5,0)),0%,VLOOKUP(A84,'Données projet'!$A$191:$I$211,5,0)*VLOOKUP('Données projet'!$B$15,Paramètres!$A$1:$I$89,7,0))</f>
        <v>0.30099999999999999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22.413874338751267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22.413874338751267</v>
      </c>
      <c r="EZ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7" t="e">
        <f t="shared" si="77"/>
        <v>#NUM!</v>
      </c>
      <c r="FJ84" s="57">
        <f ca="1">AVERAGE(OFFSET($FI$3,0,0,'Données projet'!$E$16+1,1))-AVERAGE(OFFSET($H$3,0,0,'Données projet'!$E$16+1,1))</f>
        <v>142.88219003619457</v>
      </c>
      <c r="FK84" s="57">
        <f t="shared" si="102"/>
        <v>288.69704547625088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17.881176670926614</v>
      </c>
      <c r="FR84" s="21">
        <f>EXP(-LN(2)/25)*FR83+(1-EXP(-LN(2)/25))/(LN(2)/25)*Calculateur!FM84*Calculateur!FO84*VLOOKUP('Données projet'!$B$16,Paramètres!$A$1:$I$89,3,0)*0.475*44/12</f>
        <v>3.0198873097894356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20.901063980716049</v>
      </c>
      <c r="FU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7" t="e">
        <f t="shared" si="80"/>
        <v>#N/A</v>
      </c>
      <c r="GE84" s="57" t="e">
        <f ca="1">AVERAGE(OFFSET($GD$3,0,0,'Données projet'!$E$17+1,1))-AVERAGE(OFFSET($H$3,0,0,'Données projet'!$E$17+1,1))</f>
        <v>#N/A</v>
      </c>
      <c r="GF84" s="57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7" t="e">
        <f t="shared" si="83"/>
        <v>#N/A</v>
      </c>
      <c r="GZ84" s="57" t="e">
        <f ca="1">AVERAGE(OFFSET($GY$3,0,0,'Données projet'!$E$18+1,1))-AVERAGE(OFFSET($H$3,0,0,'Données projet'!$E$18+1,1))</f>
        <v>#N/A</v>
      </c>
      <c r="HA84" s="57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1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5">
        <f t="shared" si="56"/>
        <v>183.33333333333334</v>
      </c>
      <c r="I85" s="6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</v>
      </c>
      <c r="N85" s="13">
        <f>IF('Données projet'!$A$36&gt;35,N84+M85-V84,IF(A85&lt;'Données projet'!$A$36,$K$205^A85,IF(A85='Données projet'!$A$36,'Données projet'!$B$36,N84+M85-V84)))</f>
        <v>333.00000000000006</v>
      </c>
      <c r="O85" s="13">
        <f>N85*VLOOKUP('Données projet'!$B$9,Paramètres!$A$1:$I$89,3,0)*VLOOKUP('Données projet'!$B$9,Paramètres!$A$1:$I$89,5,0)</f>
        <v>301.29840000000002</v>
      </c>
      <c r="P85" s="13">
        <f t="shared" si="87"/>
        <v>71.448589534990518</v>
      </c>
      <c r="Q85" s="20">
        <f t="shared" si="54"/>
        <v>649.2010067734418</v>
      </c>
      <c r="R85" s="57">
        <f t="shared" si="55"/>
        <v>920.70709840542884</v>
      </c>
      <c r="S85" s="57">
        <f ca="1">AVERAGE(OFFSET($R$3,0,0,'Données projet'!$E$9+1,1))-AVERAGE(OFFSET($H$3,0,0,'Données projet'!$E$9+1,1))</f>
        <v>539.63700256763173</v>
      </c>
      <c r="T85" s="57">
        <f t="shared" si="88"/>
        <v>297.32483725004136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</v>
      </c>
      <c r="AI85" s="13">
        <f>IF('Données projet'!$A$62&gt;35,AI84+AH85-AQ84,IF(A85&lt;'Données projet'!$A$62,$AF$205^A85,IF(A85='Données projet'!$A$62,'Données projet'!$B$62,AI84+AH85-AQ84)))</f>
        <v>333.00000000000006</v>
      </c>
      <c r="AJ85" s="13">
        <f>AI85*VLOOKUP('Données projet'!$B$10,Paramètres!$A$1:$I$89,3,0)*VLOOKUP('Données projet'!$B$10,Paramètres!$A$1:$I$89,5,0)</f>
        <v>280.51920000000007</v>
      </c>
      <c r="AK85" s="13">
        <f t="shared" si="89"/>
        <v>67.07671893338123</v>
      </c>
      <c r="AL85" s="20">
        <f t="shared" si="58"/>
        <v>605.39622547563897</v>
      </c>
      <c r="AM85" s="57">
        <f t="shared" si="59"/>
        <v>876.902317107626</v>
      </c>
      <c r="AN85" s="57">
        <f ca="1">AVERAGE(OFFSET($AM$3,0,0,'Données projet'!$E$10+1,1))-AVERAGE(OFFSET($H$3,0,0,'Données projet'!$E$10+1,1))</f>
        <v>508.21188526136734</v>
      </c>
      <c r="AO85" s="57">
        <f t="shared" si="90"/>
        <v>281.06176764290592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11.565375514403296</v>
      </c>
      <c r="BD85" s="12">
        <f>IF('Données projet'!$A$88&gt;35,BD84+BC85-BL84,IF(A85&lt;'Données projet'!$A$88,$BA$205^A85,IF(A85='Données projet'!$A$88,'Données projet'!$B$88,BD84+BC85-BL84)))</f>
        <v>587.47699588477371</v>
      </c>
      <c r="BE85" s="13">
        <f>BD85*VLOOKUP('Données projet'!$B$11,Paramètres!$A$1:$I$89,3,0)*VLOOKUP('Données projet'!$B$11,Paramètres!$A$1:$I$89,5,0)</f>
        <v>274.93923407407408</v>
      </c>
      <c r="BF85" s="13">
        <f t="shared" si="91"/>
        <v>65.896390912070956</v>
      </c>
      <c r="BG85" s="20">
        <f t="shared" si="61"/>
        <v>593.6220468508692</v>
      </c>
      <c r="BH85" s="57">
        <f t="shared" si="62"/>
        <v>865.12813848285623</v>
      </c>
      <c r="BI85" s="57">
        <f ca="1">AVERAGE(OFFSET($BH$3,0,0,'Données projet'!$E$11+1,1))-AVERAGE(OFFSET($H$3,0,0,'Données projet'!$E$11+1,1))</f>
        <v>449.50723280509311</v>
      </c>
      <c r="BJ85" s="57">
        <f t="shared" si="92"/>
        <v>281.26353650058275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83.0551775375734</v>
      </c>
      <c r="BQ85" s="21">
        <f>EXP(-LN(2)/25)*BQ84+(1-EXP(-LN(2)/25))/(LN(2)/25)*Calculateur!BL85*Calculateur!BN85*VLOOKUP('Données projet'!$B$11,Paramètres!$A$1:$I$89,3,0)*0.475*44/12</f>
        <v>18.753683746831509</v>
      </c>
      <c r="BR85" s="21">
        <f>EXP(-LN(2)/2)*BR84+(1-EXP(-LN(2)/2))/(LN(2)/2)*BL85*BO85*VLOOKUP('Données projet'!$B$11,Paramètres!$A$1:$I$89,3,0)*0.475*44/12</f>
        <v>4.8686302594694011</v>
      </c>
      <c r="BS85" s="22">
        <f t="shared" si="63"/>
        <v>106.67749154387431</v>
      </c>
      <c r="BT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5.8</v>
      </c>
      <c r="BY85" s="12">
        <f>IF('Données projet'!$A$114&gt;35,BY84+BX85-CG84,IF(A85&lt;'Données projet'!$A$114,$BV$205^A85,IF(A85='Données projet'!$A$114,'Données projet'!$B$114,BY84+BX85-CG84)))</f>
        <v>251.59999999999991</v>
      </c>
      <c r="BZ85" s="13">
        <f>BY85*VLOOKUP('Données projet'!$B$12,Paramètres!$A$1:$I$89,3,0)*VLOOKUP('Données projet'!$B$12,Paramètres!$A$1:$I$89,5,0)</f>
        <v>239.42255999999992</v>
      </c>
      <c r="CA85" s="13">
        <f t="shared" si="93"/>
        <v>58.315274040589699</v>
      </c>
      <c r="CB85" s="20">
        <f t="shared" si="64"/>
        <v>518.56006095402688</v>
      </c>
      <c r="CC85" s="57">
        <f t="shared" si="65"/>
        <v>790.06615258601391</v>
      </c>
      <c r="CD85" s="57">
        <f ca="1">AVERAGE(OFFSET($CC$3,0,0,'Données projet'!$E$12+1,1))-AVERAGE(OFFSET($H$3,0,0,'Données projet'!$E$12+1,1))</f>
        <v>479.4551766174892</v>
      </c>
      <c r="CE85" s="57">
        <f t="shared" si="94"/>
        <v>260.29028006191834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-2.2737367544323206E-13</v>
      </c>
      <c r="CU85" s="17">
        <f>CT85*VLOOKUP('Données projet'!$B$13,Paramètres!$A$1:$I$89,3,0)*VLOOKUP('Données projet'!$B$13,Paramètres!$A$1:$I$89,5,0)</f>
        <v>-1.2710188457276673E-13</v>
      </c>
      <c r="CV85" s="13" t="e">
        <f t="shared" si="95"/>
        <v>#NUM!</v>
      </c>
      <c r="CW85" s="20" t="e">
        <f t="shared" si="67"/>
        <v>#NUM!</v>
      </c>
      <c r="CX85" s="57" t="e">
        <f t="shared" si="68"/>
        <v>#NUM!</v>
      </c>
      <c r="CY85" s="57">
        <f ca="1">AVERAGE(OFFSET($CX$3,0,0,'Données projet'!$E$13+1,1))-AVERAGE(OFFSET($H$3,0,0,'Données projet'!$E$13+1,1))</f>
        <v>459.83870442974046</v>
      </c>
      <c r="CZ85" s="57">
        <f t="shared" si="96"/>
        <v>565.68976940602215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167.38547262035044</v>
      </c>
      <c r="DG85" s="21">
        <f>EXP(-LN(2)/25)*DG84+(1-EXP(-LN(2)/25))/(LN(2)/25)*Calculateur!DB85*Calculateur!DD85*VLOOKUP('Données projet'!$B$13,Paramètres!$A$1:$I$89,3,0)*0.475*44/12</f>
        <v>35.006113228256922</v>
      </c>
      <c r="DH85" s="21">
        <f>EXP(-LN(2)/2)*DH84+(1-EXP(-LN(2)/2))/(LN(2)/2)*DB85*DE85*VLOOKUP('Données projet'!$B$13,Paramètres!$A$1:$I$89,3,0)*0.475*44/12</f>
        <v>2.7500415232084616E-2</v>
      </c>
      <c r="DI85" s="22">
        <f t="shared" si="69"/>
        <v>202.41908626383943</v>
      </c>
      <c r="DJ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7" t="e">
        <f t="shared" si="71"/>
        <v>#NUM!</v>
      </c>
      <c r="DT85" s="57">
        <f ca="1">AVERAGE(OFFSET($DS$3,0,0,'Données projet'!$E$14+1,1))-AVERAGE(OFFSET($H$3,0,0,'Données projet'!$E$14+1,1))</f>
        <v>315.23504986325418</v>
      </c>
      <c r="DU85" s="57">
        <f t="shared" si="98"/>
        <v>350.52837099886688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90.959673299967562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90.959673299967562</v>
      </c>
      <c r="EE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3.8222222222222246</v>
      </c>
      <c r="EJ85" s="12">
        <f>IF('Données projet'!$A$192&gt;35,EJ84+EI85-ER84,IF(A85&lt;'Données projet'!$A$192,$EG$205^A85,IF(A85='Données projet'!$A$192,'Données projet'!$B$192,EJ84+EI85-ER84)))</f>
        <v>116.62222222222211</v>
      </c>
      <c r="EK85" s="17">
        <f>EJ85*VLOOKUP('Données projet'!$B$15,Paramètres!$A$1:$I$89,3,0)*VLOOKUP('Données projet'!$B$15,Paramètres!$A$1:$I$89,5,0)</f>
        <v>112.79701333333323</v>
      </c>
      <c r="EL85" s="13">
        <f t="shared" si="99"/>
        <v>29.989016601159083</v>
      </c>
      <c r="EM85" s="20">
        <f t="shared" si="73"/>
        <v>248.68566880257413</v>
      </c>
      <c r="EN85" s="57">
        <f t="shared" si="74"/>
        <v>520.19176043456116</v>
      </c>
      <c r="EO85" s="57">
        <f ca="1">AVERAGE(OFFSET($EN$3,0,0,'Données projet'!$E$15+1,1))-AVERAGE(OFFSET($H$3,0,0,'Données projet'!$E$15+1,1))</f>
        <v>328.31200866623891</v>
      </c>
      <c r="EP85" s="57">
        <f t="shared" si="100"/>
        <v>195.52650232917446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21.974351934081792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21.974351934081792</v>
      </c>
      <c r="EZ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7" t="e">
        <f t="shared" si="77"/>
        <v>#NUM!</v>
      </c>
      <c r="FJ85" s="57">
        <f ca="1">AVERAGE(OFFSET($FI$3,0,0,'Données projet'!$E$16+1,1))-AVERAGE(OFFSET($H$3,0,0,'Données projet'!$E$16+1,1))</f>
        <v>142.88219003619457</v>
      </c>
      <c r="FK85" s="57">
        <f t="shared" si="102"/>
        <v>288.69704547625088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17.530537702850591</v>
      </c>
      <c r="FR85" s="21">
        <f>EXP(-LN(2)/25)*FR84+(1-EXP(-LN(2)/25))/(LN(2)/25)*Calculateur!FM85*Calculateur!FO85*VLOOKUP('Données projet'!$B$16,Paramètres!$A$1:$I$89,3,0)*0.475*44/12</f>
        <v>2.9373083324942719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20.467846035344863</v>
      </c>
      <c r="FU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7" t="e">
        <f t="shared" si="80"/>
        <v>#N/A</v>
      </c>
      <c r="GE85" s="57" t="e">
        <f ca="1">AVERAGE(OFFSET($GD$3,0,0,'Données projet'!$E$17+1,1))-AVERAGE(OFFSET($H$3,0,0,'Données projet'!$E$17+1,1))</f>
        <v>#N/A</v>
      </c>
      <c r="GF85" s="57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7" t="e">
        <f t="shared" si="83"/>
        <v>#N/A</v>
      </c>
      <c r="GZ85" s="57" t="e">
        <f ca="1">AVERAGE(OFFSET($GY$3,0,0,'Données projet'!$E$18+1,1))-AVERAGE(OFFSET($H$3,0,0,'Données projet'!$E$18+1,1))</f>
        <v>#N/A</v>
      </c>
      <c r="HA85" s="57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1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5">
        <f t="shared" si="56"/>
        <v>183.33333333333334</v>
      </c>
      <c r="I86" s="6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</v>
      </c>
      <c r="N86" s="13">
        <f>IF('Données projet'!$A$36&gt;35,N85+M86-V85,IF(A86&lt;'Données projet'!$A$36,$K$205^A86,IF(A86='Données projet'!$A$36,'Données projet'!$B$36,N85+M86-V85)))</f>
        <v>340.00000000000006</v>
      </c>
      <c r="O86" s="13">
        <f>N86*VLOOKUP('Données projet'!$B$9,Paramètres!$A$1:$I$89,3,0)*VLOOKUP('Données projet'!$B$9,Paramètres!$A$1:$I$89,5,0)</f>
        <v>307.63200000000006</v>
      </c>
      <c r="P86" s="13">
        <f t="shared" si="87"/>
        <v>72.774077039465567</v>
      </c>
      <c r="Q86" s="20">
        <f t="shared" si="54"/>
        <v>662.54058417706926</v>
      </c>
      <c r="R86" s="57">
        <f t="shared" si="55"/>
        <v>934.42532965417274</v>
      </c>
      <c r="S86" s="57">
        <f ca="1">AVERAGE(OFFSET($R$3,0,0,'Données projet'!$E$9+1,1))-AVERAGE(OFFSET($H$3,0,0,'Données projet'!$E$9+1,1))</f>
        <v>539.63700256763173</v>
      </c>
      <c r="T86" s="57">
        <f t="shared" si="88"/>
        <v>297.32483725004136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</v>
      </c>
      <c r="AI86" s="13">
        <f>IF('Données projet'!$A$62&gt;35,AI85+AH86-AQ85,IF(A86&lt;'Données projet'!$A$62,$AF$205^A86,IF(A86='Données projet'!$A$62,'Données projet'!$B$62,AI85+AH86-AQ85)))</f>
        <v>340.00000000000006</v>
      </c>
      <c r="AJ86" s="13">
        <f>AI86*VLOOKUP('Données projet'!$B$10,Paramètres!$A$1:$I$89,3,0)*VLOOKUP('Données projet'!$B$10,Paramètres!$A$1:$I$89,5,0)</f>
        <v>286.41600000000011</v>
      </c>
      <c r="AK86" s="13">
        <f t="shared" si="89"/>
        <v>68.321101129951245</v>
      </c>
      <c r="AL86" s="20">
        <f t="shared" si="58"/>
        <v>617.83378446799861</v>
      </c>
      <c r="AM86" s="57">
        <f t="shared" si="59"/>
        <v>889.71852994510209</v>
      </c>
      <c r="AN86" s="57">
        <f ca="1">AVERAGE(OFFSET($AM$3,0,0,'Données projet'!$E$10+1,1))-AVERAGE(OFFSET($H$3,0,0,'Données projet'!$E$10+1,1))</f>
        <v>508.21188526136734</v>
      </c>
      <c r="AO86" s="57">
        <f t="shared" si="90"/>
        <v>281.06176764290592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11.565375514403296</v>
      </c>
      <c r="BD86" s="12">
        <f>IF('Données projet'!$A$88&gt;35,BD85+BC86-BL85,IF(A86&lt;'Données projet'!$A$88,$BA$205^A86,IF(A86='Données projet'!$A$88,'Données projet'!$B$88,BD85+BC86-BL85)))</f>
        <v>599.042371399177</v>
      </c>
      <c r="BE86" s="13">
        <f>BD86*VLOOKUP('Données projet'!$B$11,Paramètres!$A$1:$I$89,3,0)*VLOOKUP('Données projet'!$B$11,Paramètres!$A$1:$I$89,5,0)</f>
        <v>280.35182981481483</v>
      </c>
      <c r="BF86" s="13">
        <f t="shared" si="91"/>
        <v>67.041355200060309</v>
      </c>
      <c r="BG86" s="20">
        <f t="shared" si="61"/>
        <v>605.04313056757417</v>
      </c>
      <c r="BH86" s="57">
        <f t="shared" si="62"/>
        <v>876.92787604467765</v>
      </c>
      <c r="BI86" s="57">
        <f ca="1">AVERAGE(OFFSET($BH$3,0,0,'Données projet'!$E$11+1,1))-AVERAGE(OFFSET($H$3,0,0,'Données projet'!$E$11+1,1))</f>
        <v>449.50723280509311</v>
      </c>
      <c r="BJ86" s="57">
        <f t="shared" si="92"/>
        <v>281.26353650058275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81.426516164717754</v>
      </c>
      <c r="BQ86" s="21">
        <f>EXP(-LN(2)/25)*BQ85+(1-EXP(-LN(2)/25))/(LN(2)/25)*Calculateur!BL86*Calculateur!BN86*VLOOKUP('Données projet'!$B$11,Paramètres!$A$1:$I$89,3,0)*0.475*44/12</f>
        <v>18.240863278561037</v>
      </c>
      <c r="BR86" s="21">
        <f>EXP(-LN(2)/2)*BR85+(1-EXP(-LN(2)/2))/(LN(2)/2)*BL86*BO86*VLOOKUP('Données projet'!$B$11,Paramètres!$A$1:$I$89,3,0)*0.475*44/12</f>
        <v>3.442641471560834</v>
      </c>
      <c r="BS86" s="22">
        <f t="shared" si="63"/>
        <v>103.11002091483962</v>
      </c>
      <c r="BT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5.8</v>
      </c>
      <c r="BY86" s="12">
        <f>IF('Données projet'!$A$114&gt;35,BY85+BX86-CG85,IF(A86&lt;'Données projet'!$A$114,$BV$205^A86,IF(A86='Données projet'!$A$114,'Données projet'!$B$114,BY85+BX86-CG85)))</f>
        <v>257.39999999999992</v>
      </c>
      <c r="BZ86" s="13">
        <f>BY86*VLOOKUP('Données projet'!$B$12,Paramètres!$A$1:$I$89,3,0)*VLOOKUP('Données projet'!$B$12,Paramètres!$A$1:$I$89,5,0)</f>
        <v>244.94183999999993</v>
      </c>
      <c r="CA86" s="13">
        <f t="shared" si="93"/>
        <v>59.501526882688026</v>
      </c>
      <c r="CB86" s="20">
        <f t="shared" si="64"/>
        <v>530.23886398734817</v>
      </c>
      <c r="CC86" s="57">
        <f t="shared" si="65"/>
        <v>802.12360946445165</v>
      </c>
      <c r="CD86" s="57">
        <f ca="1">AVERAGE(OFFSET($CC$3,0,0,'Données projet'!$E$12+1,1))-AVERAGE(OFFSET($H$3,0,0,'Données projet'!$E$12+1,1))</f>
        <v>479.4551766174892</v>
      </c>
      <c r="CE86" s="57">
        <f t="shared" si="94"/>
        <v>260.29028006191834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-2.2737367544323206E-13</v>
      </c>
      <c r="CU86" s="17">
        <f>CT86*VLOOKUP('Données projet'!$B$13,Paramètres!$A$1:$I$89,3,0)*VLOOKUP('Données projet'!$B$13,Paramètres!$A$1:$I$89,5,0)</f>
        <v>-1.2710188457276673E-13</v>
      </c>
      <c r="CV86" s="13" t="e">
        <f t="shared" si="95"/>
        <v>#NUM!</v>
      </c>
      <c r="CW86" s="20" t="e">
        <f t="shared" si="67"/>
        <v>#NUM!</v>
      </c>
      <c r="CX86" s="57" t="e">
        <f t="shared" si="68"/>
        <v>#NUM!</v>
      </c>
      <c r="CY86" s="57">
        <f ca="1">AVERAGE(OFFSET($CX$3,0,0,'Données projet'!$E$13+1,1))-AVERAGE(OFFSET($H$3,0,0,'Données projet'!$E$13+1,1))</f>
        <v>459.83870442974046</v>
      </c>
      <c r="CZ86" s="57">
        <f t="shared" si="96"/>
        <v>565.68976940602215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164.10314559732262</v>
      </c>
      <c r="DG86" s="21">
        <f>EXP(-LN(2)/25)*DG85+(1-EXP(-LN(2)/25))/(LN(2)/25)*Calculateur!DB86*Calculateur!DD86*VLOOKUP('Données projet'!$B$13,Paramètres!$A$1:$I$89,3,0)*0.475*44/12</f>
        <v>34.048869221138752</v>
      </c>
      <c r="DH86" s="21">
        <f>EXP(-LN(2)/2)*DH85+(1-EXP(-LN(2)/2))/(LN(2)/2)*DB86*DE86*VLOOKUP('Données projet'!$B$13,Paramètres!$A$1:$I$89,3,0)*0.475*44/12</f>
        <v>1.9445730096052855E-2</v>
      </c>
      <c r="DI86" s="22">
        <f t="shared" si="69"/>
        <v>198.17146054855743</v>
      </c>
      <c r="DJ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7" t="e">
        <f t="shared" si="71"/>
        <v>#NUM!</v>
      </c>
      <c r="DT86" s="57">
        <f ca="1">AVERAGE(OFFSET($DS$3,0,0,'Données projet'!$E$14+1,1))-AVERAGE(OFFSET($H$3,0,0,'Données projet'!$E$14+1,1))</f>
        <v>315.23504986325418</v>
      </c>
      <c r="DU86" s="57">
        <f t="shared" si="98"/>
        <v>350.52837099886688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89.176009586477718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89.176009586477718</v>
      </c>
      <c r="EE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3.8222222222222246</v>
      </c>
      <c r="EJ86" s="12">
        <f>IF('Données projet'!$A$192&gt;35,EJ85+EI86-ER85,IF(A86&lt;'Données projet'!$A$192,$EG$205^A86,IF(A86='Données projet'!$A$192,'Données projet'!$B$192,EJ85+EI86-ER85)))</f>
        <v>120.44444444444433</v>
      </c>
      <c r="EK86" s="17">
        <f>EJ86*VLOOKUP('Données projet'!$B$15,Paramètres!$A$1:$I$89,3,0)*VLOOKUP('Données projet'!$B$15,Paramètres!$A$1:$I$89,5,0)</f>
        <v>116.49386666666656</v>
      </c>
      <c r="EL86" s="13">
        <f t="shared" si="99"/>
        <v>30.855845354065323</v>
      </c>
      <c r="EM86" s="20">
        <f t="shared" si="73"/>
        <v>256.63408176944137</v>
      </c>
      <c r="EN86" s="57">
        <f t="shared" si="74"/>
        <v>528.51882724654479</v>
      </c>
      <c r="EO86" s="57">
        <f ca="1">AVERAGE(OFFSET($EN$3,0,0,'Données projet'!$E$15+1,1))-AVERAGE(OFFSET($H$3,0,0,'Données projet'!$E$15+1,1))</f>
        <v>328.31200866623891</v>
      </c>
      <c r="EP86" s="57">
        <f t="shared" si="100"/>
        <v>195.52650232917446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21.543448295685689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21.543448295685689</v>
      </c>
      <c r="EZ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7" t="e">
        <f t="shared" si="77"/>
        <v>#NUM!</v>
      </c>
      <c r="FJ86" s="57">
        <f ca="1">AVERAGE(OFFSET($FI$3,0,0,'Données projet'!$E$16+1,1))-AVERAGE(OFFSET($H$3,0,0,'Données projet'!$E$16+1,1))</f>
        <v>142.88219003619457</v>
      </c>
      <c r="FK86" s="57">
        <f t="shared" si="102"/>
        <v>288.69704547625088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17.186774551069885</v>
      </c>
      <c r="FR86" s="21">
        <f>EXP(-LN(2)/25)*FR85+(1-EXP(-LN(2)/25))/(LN(2)/25)*Calculateur!FM86*Calculateur!FO86*VLOOKUP('Données projet'!$B$16,Paramètres!$A$1:$I$89,3,0)*0.475*44/12</f>
        <v>2.8569874816758842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20.043762032745768</v>
      </c>
      <c r="FU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7" t="e">
        <f t="shared" si="80"/>
        <v>#N/A</v>
      </c>
      <c r="GE86" s="57" t="e">
        <f ca="1">AVERAGE(OFFSET($GD$3,0,0,'Données projet'!$E$17+1,1))-AVERAGE(OFFSET($H$3,0,0,'Données projet'!$E$17+1,1))</f>
        <v>#N/A</v>
      </c>
      <c r="GF86" s="57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7" t="e">
        <f t="shared" si="83"/>
        <v>#N/A</v>
      </c>
      <c r="GZ86" s="57" t="e">
        <f ca="1">AVERAGE(OFFSET($GY$3,0,0,'Données projet'!$E$18+1,1))-AVERAGE(OFFSET($H$3,0,0,'Données projet'!$E$18+1,1))</f>
        <v>#N/A</v>
      </c>
      <c r="HA86" s="57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1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5">
        <f t="shared" si="56"/>
        <v>183.33333333333334</v>
      </c>
      <c r="I87" s="6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</v>
      </c>
      <c r="N87" s="13">
        <f>IF('Données projet'!$A$36&gt;35,N86+M87-V86,IF(A87&lt;'Données projet'!$A$36,$K$205^A87,IF(A87='Données projet'!$A$36,'Données projet'!$B$36,N86+M87-V86)))</f>
        <v>347.00000000000006</v>
      </c>
      <c r="O87" s="13">
        <f>N87*VLOOKUP('Données projet'!$B$9,Paramètres!$A$1:$I$89,3,0)*VLOOKUP('Données projet'!$B$9,Paramètres!$A$1:$I$89,5,0)</f>
        <v>313.96560000000005</v>
      </c>
      <c r="P87" s="13">
        <f t="shared" si="87"/>
        <v>74.096391618326777</v>
      </c>
      <c r="Q87" s="20">
        <f t="shared" si="54"/>
        <v>675.87463540191914</v>
      </c>
      <c r="R87" s="57">
        <f t="shared" si="55"/>
        <v>948.13146592646945</v>
      </c>
      <c r="S87" s="57">
        <f ca="1">AVERAGE(OFFSET($R$3,0,0,'Données projet'!$E$9+1,1))-AVERAGE(OFFSET($H$3,0,0,'Données projet'!$E$9+1,1))</f>
        <v>539.63700256763173</v>
      </c>
      <c r="T87" s="57">
        <f t="shared" si="88"/>
        <v>297.32483725004136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</v>
      </c>
      <c r="AI87" s="13">
        <f>IF('Données projet'!$A$62&gt;35,AI86+AH87-AQ86,IF(A87&lt;'Données projet'!$A$62,$AF$205^A87,IF(A87='Données projet'!$A$62,'Données projet'!$B$62,AI86+AH87-AQ86)))</f>
        <v>347.00000000000006</v>
      </c>
      <c r="AJ87" s="13">
        <f>AI87*VLOOKUP('Données projet'!$B$10,Paramètres!$A$1:$I$89,3,0)*VLOOKUP('Données projet'!$B$10,Paramètres!$A$1:$I$89,5,0)</f>
        <v>292.3128000000001</v>
      </c>
      <c r="AK87" s="13">
        <f t="shared" si="89"/>
        <v>69.562504549179678</v>
      </c>
      <c r="AL87" s="20">
        <f t="shared" si="58"/>
        <v>630.26615542315471</v>
      </c>
      <c r="AM87" s="57">
        <f t="shared" si="59"/>
        <v>902.52298594770502</v>
      </c>
      <c r="AN87" s="57">
        <f ca="1">AVERAGE(OFFSET($AM$3,0,0,'Données projet'!$E$10+1,1))-AVERAGE(OFFSET($H$3,0,0,'Données projet'!$E$10+1,1))</f>
        <v>508.21188526136734</v>
      </c>
      <c r="AO87" s="57">
        <f t="shared" si="90"/>
        <v>281.06176764290592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11.565375514403296</v>
      </c>
      <c r="BD87" s="12">
        <f>IF('Données projet'!$A$88&gt;35,BD86+BC87-BL86,IF(A87&lt;'Données projet'!$A$88,$BA$205^A87,IF(A87='Données projet'!$A$88,'Données projet'!$B$88,BD86+BC87-BL86)))</f>
        <v>610.60774691358029</v>
      </c>
      <c r="BE87" s="13">
        <f>BD87*VLOOKUP('Données projet'!$B$11,Paramètres!$A$1:$I$89,3,0)*VLOOKUP('Données projet'!$B$11,Paramètres!$A$1:$I$89,5,0)</f>
        <v>285.76442555555559</v>
      </c>
      <c r="BF87" s="13">
        <f t="shared" si="91"/>
        <v>68.183749164814614</v>
      </c>
      <c r="BG87" s="20">
        <f t="shared" si="61"/>
        <v>616.45973763797804</v>
      </c>
      <c r="BH87" s="57">
        <f t="shared" si="62"/>
        <v>888.71656816252835</v>
      </c>
      <c r="BI87" s="57">
        <f ca="1">AVERAGE(OFFSET($BH$3,0,0,'Données projet'!$E$11+1,1))-AVERAGE(OFFSET($H$3,0,0,'Données projet'!$E$11+1,1))</f>
        <v>449.50723280509311</v>
      </c>
      <c r="BJ87" s="57">
        <f t="shared" si="92"/>
        <v>281.26353650058275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79.829791847998465</v>
      </c>
      <c r="BQ87" s="21">
        <f>EXP(-LN(2)/25)*BQ86+(1-EXP(-LN(2)/25))/(LN(2)/25)*Calculateur!BL87*Calculateur!BN87*VLOOKUP('Données projet'!$B$11,Paramètres!$A$1:$I$89,3,0)*0.475*44/12</f>
        <v>17.742065912963476</v>
      </c>
      <c r="BR87" s="21">
        <f>EXP(-LN(2)/2)*BR86+(1-EXP(-LN(2)/2))/(LN(2)/2)*BL87*BO87*VLOOKUP('Données projet'!$B$11,Paramètres!$A$1:$I$89,3,0)*0.475*44/12</f>
        <v>2.434315129734701</v>
      </c>
      <c r="BS87" s="22">
        <f t="shared" si="63"/>
        <v>100.00617289069663</v>
      </c>
      <c r="BT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5.8</v>
      </c>
      <c r="BY87" s="12">
        <f>IF('Données projet'!$A$114&gt;35,BY86+BX87-CG86,IF(A87&lt;'Données projet'!$A$114,$BV$205^A87,IF(A87='Données projet'!$A$114,'Données projet'!$B$114,BY86+BX87-CG86)))</f>
        <v>263.19999999999993</v>
      </c>
      <c r="BZ87" s="13">
        <f>BY87*VLOOKUP('Données projet'!$B$12,Paramètres!$A$1:$I$89,3,0)*VLOOKUP('Données projet'!$B$12,Paramètres!$A$1:$I$89,5,0)</f>
        <v>250.46111999999997</v>
      </c>
      <c r="CA87" s="13">
        <f t="shared" si="93"/>
        <v>60.684672167637892</v>
      </c>
      <c r="CB87" s="20">
        <f t="shared" si="64"/>
        <v>541.91225469196922</v>
      </c>
      <c r="CC87" s="57">
        <f t="shared" si="65"/>
        <v>814.16908521651953</v>
      </c>
      <c r="CD87" s="57">
        <f ca="1">AVERAGE(OFFSET($CC$3,0,0,'Données projet'!$E$12+1,1))-AVERAGE(OFFSET($H$3,0,0,'Données projet'!$E$12+1,1))</f>
        <v>479.4551766174892</v>
      </c>
      <c r="CE87" s="57">
        <f t="shared" si="94"/>
        <v>260.29028006191834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-2.2737367544323206E-13</v>
      </c>
      <c r="CU87" s="17">
        <f>CT87*VLOOKUP('Données projet'!$B$13,Paramètres!$A$1:$I$89,3,0)*VLOOKUP('Données projet'!$B$13,Paramètres!$A$1:$I$89,5,0)</f>
        <v>-1.2710188457276673E-13</v>
      </c>
      <c r="CV87" s="13" t="e">
        <f t="shared" si="95"/>
        <v>#NUM!</v>
      </c>
      <c r="CW87" s="20" t="e">
        <f t="shared" si="67"/>
        <v>#NUM!</v>
      </c>
      <c r="CX87" s="57" t="e">
        <f t="shared" si="68"/>
        <v>#NUM!</v>
      </c>
      <c r="CY87" s="57">
        <f ca="1">AVERAGE(OFFSET($CX$3,0,0,'Données projet'!$E$13+1,1))-AVERAGE(OFFSET($H$3,0,0,'Données projet'!$E$13+1,1))</f>
        <v>459.83870442974046</v>
      </c>
      <c r="CZ87" s="57">
        <f t="shared" si="96"/>
        <v>565.68976940602215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160.88518300519456</v>
      </c>
      <c r="DG87" s="21">
        <f>EXP(-LN(2)/25)*DG86+(1-EXP(-LN(2)/25))/(LN(2)/25)*Calculateur!DB87*Calculateur!DD87*VLOOKUP('Données projet'!$B$13,Paramètres!$A$1:$I$89,3,0)*0.475*44/12</f>
        <v>33.1178011017345</v>
      </c>
      <c r="DH87" s="21">
        <f>EXP(-LN(2)/2)*DH86+(1-EXP(-LN(2)/2))/(LN(2)/2)*DB87*DE87*VLOOKUP('Données projet'!$B$13,Paramètres!$A$1:$I$89,3,0)*0.475*44/12</f>
        <v>1.3750207616042308E-2</v>
      </c>
      <c r="DI87" s="22">
        <f t="shared" si="69"/>
        <v>194.01673431454512</v>
      </c>
      <c r="DJ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7" t="e">
        <f t="shared" si="71"/>
        <v>#NUM!</v>
      </c>
      <c r="DT87" s="57">
        <f ca="1">AVERAGE(OFFSET($DS$3,0,0,'Données projet'!$E$14+1,1))-AVERAGE(OFFSET($H$3,0,0,'Données projet'!$E$14+1,1))</f>
        <v>315.23504986325418</v>
      </c>
      <c r="DU87" s="57">
        <f t="shared" si="98"/>
        <v>350.52837099886688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87.427322430481979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87.427322430481979</v>
      </c>
      <c r="EE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3.8222222222222246</v>
      </c>
      <c r="EJ87" s="12">
        <f>IF('Données projet'!$A$192&gt;35,EJ86+EI87-ER86,IF(A87&lt;'Données projet'!$A$192,$EG$205^A87,IF(A87='Données projet'!$A$192,'Données projet'!$B$192,EJ86+EI87-ER86)))</f>
        <v>124.26666666666655</v>
      </c>
      <c r="EK87" s="17">
        <f>EJ87*VLOOKUP('Données projet'!$B$15,Paramètres!$A$1:$I$89,3,0)*VLOOKUP('Données projet'!$B$15,Paramètres!$A$1:$I$89,5,0)</f>
        <v>120.19071999999989</v>
      </c>
      <c r="EL87" s="13">
        <f t="shared" si="99"/>
        <v>31.719477489998646</v>
      </c>
      <c r="EM87" s="20">
        <f t="shared" si="73"/>
        <v>264.57692729508079</v>
      </c>
      <c r="EN87" s="57">
        <f t="shared" si="74"/>
        <v>536.83375781963105</v>
      </c>
      <c r="EO87" s="57">
        <f ca="1">AVERAGE(OFFSET($EN$3,0,0,'Données projet'!$E$15+1,1))-AVERAGE(OFFSET($H$3,0,0,'Données projet'!$E$15+1,1))</f>
        <v>328.31200866623891</v>
      </c>
      <c r="EP87" s="57">
        <f t="shared" si="100"/>
        <v>195.52650232917446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21.120994414813264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21.120994414813264</v>
      </c>
      <c r="EZ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7" t="e">
        <f t="shared" si="77"/>
        <v>#NUM!</v>
      </c>
      <c r="FJ87" s="57">
        <f ca="1">AVERAGE(OFFSET($FI$3,0,0,'Données projet'!$E$16+1,1))-AVERAGE(OFFSET($H$3,0,0,'Données projet'!$E$16+1,1))</f>
        <v>142.88219003619457</v>
      </c>
      <c r="FK87" s="57">
        <f t="shared" si="102"/>
        <v>288.69704547625088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16.849752385020778</v>
      </c>
      <c r="FR87" s="21">
        <f>EXP(-LN(2)/25)*FR86+(1-EXP(-LN(2)/25))/(LN(2)/25)*Calculateur!FM87*Calculateur!FO87*VLOOKUP('Données projet'!$B$16,Paramètres!$A$1:$I$89,3,0)*0.475*44/12</f>
        <v>2.7788630087470154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19.628615393767795</v>
      </c>
      <c r="FU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7" t="e">
        <f t="shared" si="80"/>
        <v>#N/A</v>
      </c>
      <c r="GE87" s="57" t="e">
        <f ca="1">AVERAGE(OFFSET($GD$3,0,0,'Données projet'!$E$17+1,1))-AVERAGE(OFFSET($H$3,0,0,'Données projet'!$E$17+1,1))</f>
        <v>#N/A</v>
      </c>
      <c r="GF87" s="57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7" t="e">
        <f t="shared" si="83"/>
        <v>#N/A</v>
      </c>
      <c r="GZ87" s="57" t="e">
        <f ca="1">AVERAGE(OFFSET($GY$3,0,0,'Données projet'!$E$18+1,1))-AVERAGE(OFFSET($H$3,0,0,'Données projet'!$E$18+1,1))</f>
        <v>#N/A</v>
      </c>
      <c r="HA87" s="57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1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5">
        <f t="shared" si="56"/>
        <v>183.33333333333334</v>
      </c>
      <c r="I88" s="6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354</v>
      </c>
      <c r="L88" s="12">
        <f>VLOOKUP(A88,'Données projet'!$A$35:$I$55,9,0)</f>
        <v>7</v>
      </c>
      <c r="M88" s="12">
        <f t="array" ref="M88">INDEX(L:L,MIN(IF(ISNUMBER(L88:L284),ROW(L88:L284),"")))</f>
        <v>7</v>
      </c>
      <c r="N88" s="13">
        <f>IF('Données projet'!$A$36&gt;35,N87+M88-V87,IF(A88&lt;'Données projet'!$A$36,$K$205^A88,IF(A88='Données projet'!$A$36,'Données projet'!$B$36,N87+M88-V87)))</f>
        <v>354.00000000000006</v>
      </c>
      <c r="O88" s="13">
        <f>N88*VLOOKUP('Données projet'!$B$9,Paramètres!$A$1:$I$89,3,0)*VLOOKUP('Données projet'!$B$9,Paramètres!$A$1:$I$89,5,0)</f>
        <v>320.29920000000004</v>
      </c>
      <c r="P88" s="13">
        <f t="shared" si="87"/>
        <v>75.415604655092991</v>
      </c>
      <c r="Q88" s="20">
        <f t="shared" si="54"/>
        <v>689.203284774287</v>
      </c>
      <c r="R88" s="57">
        <f t="shared" si="55"/>
        <v>961.82574550256845</v>
      </c>
      <c r="S88" s="57">
        <f ca="1">AVERAGE(OFFSET($R$3,0,0,'Données projet'!$E$9+1,1))-AVERAGE(OFFSET($H$3,0,0,'Données projet'!$E$9+1,1))</f>
        <v>539.63700256763173</v>
      </c>
      <c r="T88" s="57">
        <f t="shared" si="88"/>
        <v>297.32483725004136</v>
      </c>
      <c r="U88" s="15">
        <f>IF(ISNA(VLOOKUP(A88,'Données projet'!$A$35:$I$55,3,0)),0,VLOOKUP(A88,'Données projet'!$A$35:$I$55,3,0))</f>
        <v>13</v>
      </c>
      <c r="V88" s="15">
        <f>IF(ISNA(VLOOKUP(A88,'Données projet'!$A$35:$I$55,4,0)),0,VLOOKUP(A88,'Données projet'!$A$35:$I$55,4,0))</f>
        <v>56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354</v>
      </c>
      <c r="AG88" s="12">
        <f>VLOOKUP(A88,'Données projet'!$A$61:$I$81,9,0)</f>
        <v>7</v>
      </c>
      <c r="AH88" s="12">
        <f t="array" ref="AH88">INDEX(AG:AG,MIN(IF(ISNUMBER(AG88:AG284),ROW(AG88:AG284),"")))</f>
        <v>7</v>
      </c>
      <c r="AI88" s="13">
        <f>IF('Données projet'!$A$62&gt;35,AI87+AH88-AQ87,IF(A88&lt;'Données projet'!$A$62,$AF$205^A88,IF(A88='Données projet'!$A$62,'Données projet'!$B$62,AI87+AH88-AQ87)))</f>
        <v>354.00000000000006</v>
      </c>
      <c r="AJ88" s="13">
        <f>AI88*VLOOKUP('Données projet'!$B$10,Paramètres!$A$1:$I$89,3,0)*VLOOKUP('Données projet'!$B$10,Paramètres!$A$1:$I$89,5,0)</f>
        <v>298.20960000000008</v>
      </c>
      <c r="AK88" s="13">
        <f t="shared" si="89"/>
        <v>70.800996206696297</v>
      </c>
      <c r="AL88" s="20">
        <f t="shared" si="58"/>
        <v>642.69345505999615</v>
      </c>
      <c r="AM88" s="57">
        <f t="shared" si="59"/>
        <v>915.31591578827761</v>
      </c>
      <c r="AN88" s="57">
        <f ca="1">AVERAGE(OFFSET($AM$3,0,0,'Données projet'!$E$10+1,1))-AVERAGE(OFFSET($H$3,0,0,'Données projet'!$E$10+1,1))</f>
        <v>508.21188526136734</v>
      </c>
      <c r="AO88" s="57">
        <f t="shared" si="90"/>
        <v>281.06176764290592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56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11.565375514403296</v>
      </c>
      <c r="BD88" s="12">
        <f>IF('Données projet'!$A$88&gt;35,BD87+BC88-BL87,IF(A88&lt;'Données projet'!$A$88,$BA$205^A88,IF(A88='Données projet'!$A$88,'Données projet'!$B$88,BD87+BC88-BL87)))</f>
        <v>622.17312242798357</v>
      </c>
      <c r="BE88" s="13">
        <f>BD88*VLOOKUP('Données projet'!$B$11,Paramètres!$A$1:$I$89,3,0)*VLOOKUP('Données projet'!$B$11,Paramètres!$A$1:$I$89,5,0)</f>
        <v>291.17702129629635</v>
      </c>
      <c r="BF88" s="13">
        <f t="shared" si="91"/>
        <v>69.323627103695401</v>
      </c>
      <c r="BG88" s="20">
        <f t="shared" si="61"/>
        <v>627.87196262998566</v>
      </c>
      <c r="BH88" s="57">
        <f t="shared" si="62"/>
        <v>900.49442335826711</v>
      </c>
      <c r="BI88" s="57">
        <f ca="1">AVERAGE(OFFSET($BH$3,0,0,'Données projet'!$E$11+1,1))-AVERAGE(OFFSET($H$3,0,0,'Données projet'!$E$11+1,1))</f>
        <v>449.50723280509311</v>
      </c>
      <c r="BJ88" s="57">
        <f t="shared" si="92"/>
        <v>281.26353650058275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78.26437832122437</v>
      </c>
      <c r="BQ88" s="21">
        <f>EXP(-LN(2)/25)*BQ87+(1-EXP(-LN(2)/25))/(LN(2)/25)*Calculateur!BL88*Calculateur!BN88*VLOOKUP('Données projet'!$B$11,Paramètres!$A$1:$I$89,3,0)*0.475*44/12</f>
        <v>17.256908187558793</v>
      </c>
      <c r="BR88" s="21">
        <f>EXP(-LN(2)/2)*BR87+(1-EXP(-LN(2)/2))/(LN(2)/2)*BL88*BO88*VLOOKUP('Données projet'!$B$11,Paramètres!$A$1:$I$89,3,0)*0.475*44/12</f>
        <v>1.7213207357804174</v>
      </c>
      <c r="BS88" s="22">
        <f t="shared" si="63"/>
        <v>97.242607244563587</v>
      </c>
      <c r="BT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269</v>
      </c>
      <c r="BW88" s="12">
        <f>VLOOKUP(A88,'Données projet'!$A$113:$I$133,9,0)</f>
        <v>5.8</v>
      </c>
      <c r="BX88" s="12">
        <f t="array" ref="BX88">INDEX(BW:BW,MIN(IF(ISNUMBER(BW88:BW284),ROW(BW88:BW284),"")))</f>
        <v>5.8</v>
      </c>
      <c r="BY88" s="12">
        <f>IF('Données projet'!$A$114&gt;35,BY87+BX88-CG87,IF(A88&lt;'Données projet'!$A$114,$BV$205^A88,IF(A88='Données projet'!$A$114,'Données projet'!$B$114,BY87+BX88-CG87)))</f>
        <v>268.99999999999994</v>
      </c>
      <c r="BZ88" s="13">
        <f>BY88*VLOOKUP('Données projet'!$B$12,Paramètres!$A$1:$I$89,3,0)*VLOOKUP('Données projet'!$B$12,Paramètres!$A$1:$I$89,5,0)</f>
        <v>255.98039999999997</v>
      </c>
      <c r="CA88" s="13">
        <f t="shared" si="93"/>
        <v>61.864786260587792</v>
      </c>
      <c r="CB88" s="20">
        <f t="shared" si="64"/>
        <v>553.58036607052361</v>
      </c>
      <c r="CC88" s="57">
        <f t="shared" si="65"/>
        <v>826.20282679880506</v>
      </c>
      <c r="CD88" s="57">
        <f ca="1">AVERAGE(OFFSET($CC$3,0,0,'Données projet'!$E$12+1,1))-AVERAGE(OFFSET($H$3,0,0,'Données projet'!$E$12+1,1))</f>
        <v>479.4551766174892</v>
      </c>
      <c r="CE88" s="57">
        <f t="shared" si="94"/>
        <v>260.29028006191834</v>
      </c>
      <c r="CF88" s="15">
        <f>IF(ISNA(VLOOKUP(A88,'Données projet'!$A$113:$I$133,3,0)),0,VLOOKUP(A88,'Données projet'!$A$113:$I$133,3,0))</f>
        <v>13</v>
      </c>
      <c r="CG88" s="15">
        <f>IF(ISNA(VLOOKUP(A88,'Données projet'!$A$113:$I$133,4,0)),0,VLOOKUP(A88,'Données projet'!$A$113:$I$133,4,0))</f>
        <v>21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-2.2737367544323206E-13</v>
      </c>
      <c r="CU88" s="17">
        <f>CT88*VLOOKUP('Données projet'!$B$13,Paramètres!$A$1:$I$89,3,0)*VLOOKUP('Données projet'!$B$13,Paramètres!$A$1:$I$89,5,0)</f>
        <v>-1.2710188457276673E-13</v>
      </c>
      <c r="CV88" s="13" t="e">
        <f t="shared" si="95"/>
        <v>#NUM!</v>
      </c>
      <c r="CW88" s="20" t="e">
        <f t="shared" si="67"/>
        <v>#NUM!</v>
      </c>
      <c r="CX88" s="57" t="e">
        <f t="shared" si="68"/>
        <v>#NUM!</v>
      </c>
      <c r="CY88" s="57">
        <f ca="1">AVERAGE(OFFSET($CX$3,0,0,'Données projet'!$E$13+1,1))-AVERAGE(OFFSET($H$3,0,0,'Données projet'!$E$13+1,1))</f>
        <v>459.83870442974046</v>
      </c>
      <c r="CZ88" s="57">
        <f t="shared" si="96"/>
        <v>565.68976940602215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157.73032269673476</v>
      </c>
      <c r="DG88" s="21">
        <f>EXP(-LN(2)/25)*DG87+(1-EXP(-LN(2)/25))/(LN(2)/25)*Calculateur!DB88*Calculateur!DD88*VLOOKUP('Données projet'!$B$13,Paramètres!$A$1:$I$89,3,0)*0.475*44/12</f>
        <v>32.212193089018101</v>
      </c>
      <c r="DH88" s="21">
        <f>EXP(-LN(2)/2)*DH87+(1-EXP(-LN(2)/2))/(LN(2)/2)*DB88*DE88*VLOOKUP('Données projet'!$B$13,Paramètres!$A$1:$I$89,3,0)*0.475*44/12</f>
        <v>9.7228650480264273E-3</v>
      </c>
      <c r="DI88" s="22">
        <f t="shared" si="69"/>
        <v>189.95223865080087</v>
      </c>
      <c r="DJ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7" t="e">
        <f t="shared" si="71"/>
        <v>#NUM!</v>
      </c>
      <c r="DT88" s="57">
        <f ca="1">AVERAGE(OFFSET($DS$3,0,0,'Données projet'!$E$14+1,1))-AVERAGE(OFFSET($H$3,0,0,'Données projet'!$E$14+1,1))</f>
        <v>315.23504986325418</v>
      </c>
      <c r="DU88" s="57">
        <f t="shared" si="98"/>
        <v>350.52837099886688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85.712925963021462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85.712925963021462</v>
      </c>
      <c r="EE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3.8222222222222246</v>
      </c>
      <c r="EJ88" s="12">
        <f>IF('Données projet'!$A$192&gt;35,EJ87+EI88-ER87,IF(A88&lt;'Données projet'!$A$192,$EG$205^A88,IF(A88='Données projet'!$A$192,'Données projet'!$B$192,EJ87+EI88-ER87)))</f>
        <v>128.08888888888879</v>
      </c>
      <c r="EK88" s="17">
        <f>EJ88*VLOOKUP('Données projet'!$B$15,Paramètres!$A$1:$I$89,3,0)*VLOOKUP('Données projet'!$B$15,Paramètres!$A$1:$I$89,5,0)</f>
        <v>123.88757333333324</v>
      </c>
      <c r="EL88" s="13">
        <f t="shared" si="99"/>
        <v>32.580022614735164</v>
      </c>
      <c r="EM88" s="20">
        <f t="shared" si="73"/>
        <v>272.51439627621914</v>
      </c>
      <c r="EN88" s="57">
        <f t="shared" si="74"/>
        <v>545.1368570045006</v>
      </c>
      <c r="EO88" s="57">
        <f ca="1">AVERAGE(OFFSET($EN$3,0,0,'Données projet'!$E$15+1,1))-AVERAGE(OFFSET($H$3,0,0,'Données projet'!$E$15+1,1))</f>
        <v>328.31200866623891</v>
      </c>
      <c r="EP88" s="57">
        <f t="shared" si="100"/>
        <v>195.52650232917446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20.706824596873325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20.706824596873325</v>
      </c>
      <c r="EZ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7" t="e">
        <f t="shared" si="77"/>
        <v>#NUM!</v>
      </c>
      <c r="FJ88" s="57">
        <f ca="1">AVERAGE(OFFSET($FI$3,0,0,'Données projet'!$E$16+1,1))-AVERAGE(OFFSET($H$3,0,0,'Données projet'!$E$16+1,1))</f>
        <v>142.88219003619457</v>
      </c>
      <c r="FK88" s="57">
        <f t="shared" si="102"/>
        <v>288.69704547625088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16.519339018084672</v>
      </c>
      <c r="FR88" s="21">
        <f>EXP(-LN(2)/25)*FR87+(1-EXP(-LN(2)/25))/(LN(2)/25)*Calculateur!FM88*Calculateur!FO88*VLOOKUP('Données projet'!$B$16,Paramètres!$A$1:$I$89,3,0)*0.475*44/12</f>
        <v>2.7028748536387739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19.222213871723447</v>
      </c>
      <c r="FU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7" t="e">
        <f t="shared" si="80"/>
        <v>#N/A</v>
      </c>
      <c r="GE88" s="57" t="e">
        <f ca="1">AVERAGE(OFFSET($GD$3,0,0,'Données projet'!$E$17+1,1))-AVERAGE(OFFSET($H$3,0,0,'Données projet'!$E$17+1,1))</f>
        <v>#N/A</v>
      </c>
      <c r="GF88" s="57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7" t="e">
        <f t="shared" si="83"/>
        <v>#N/A</v>
      </c>
      <c r="GZ88" s="57" t="e">
        <f ca="1">AVERAGE(OFFSET($GY$3,0,0,'Données projet'!$E$18+1,1))-AVERAGE(OFFSET($H$3,0,0,'Données projet'!$E$18+1,1))</f>
        <v>#N/A</v>
      </c>
      <c r="HA88" s="57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1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5">
        <f t="shared" si="56"/>
        <v>183.33333333333334</v>
      </c>
      <c r="I89" s="6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6.3</v>
      </c>
      <c r="N89" s="13">
        <f>IF('Données projet'!$A$36&gt;35,N88+M89-V88,IF(A89&lt;'Données projet'!$A$36,$K$205^A89,IF(A89='Données projet'!$A$36,'Données projet'!$B$36,N88+M89-V88)))</f>
        <v>304.30000000000007</v>
      </c>
      <c r="O89" s="13">
        <f>N89*VLOOKUP('Données projet'!$B$9,Paramètres!$A$1:$I$89,3,0)*VLOOKUP('Données projet'!$B$9,Paramètres!$A$1:$I$89,5,0)</f>
        <v>275.33064000000007</v>
      </c>
      <c r="P89" s="13">
        <f t="shared" si="87"/>
        <v>65.979275169167465</v>
      </c>
      <c r="Q89" s="20">
        <f t="shared" si="54"/>
        <v>594.44810225296681</v>
      </c>
      <c r="R89" s="57">
        <f t="shared" si="55"/>
        <v>867.42985031837156</v>
      </c>
      <c r="S89" s="57">
        <f ca="1">AVERAGE(OFFSET($R$3,0,0,'Données projet'!$E$9+1,1))-AVERAGE(OFFSET($H$3,0,0,'Données projet'!$E$9+1,1))</f>
        <v>539.63700256763173</v>
      </c>
      <c r="T89" s="57">
        <f t="shared" si="88"/>
        <v>297.32483725004136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6.3</v>
      </c>
      <c r="AI89" s="13">
        <f>IF('Données projet'!$A$62&gt;35,AI88+AH89-AQ88,IF(A89&lt;'Données projet'!$A$62,$AF$205^A89,IF(A89='Données projet'!$A$62,'Données projet'!$B$62,AI88+AH89-AQ88)))</f>
        <v>304.30000000000007</v>
      </c>
      <c r="AJ89" s="13">
        <f>AI89*VLOOKUP('Données projet'!$B$10,Paramètres!$A$1:$I$89,3,0)*VLOOKUP('Données projet'!$B$10,Paramètres!$A$1:$I$89,5,0)</f>
        <v>256.34232000000009</v>
      </c>
      <c r="AK89" s="13">
        <f t="shared" si="89"/>
        <v>61.942066662954566</v>
      </c>
      <c r="AL89" s="20">
        <f t="shared" si="58"/>
        <v>554.34530677131272</v>
      </c>
      <c r="AM89" s="57">
        <f t="shared" si="59"/>
        <v>827.32705483671748</v>
      </c>
      <c r="AN89" s="57">
        <f ca="1">AVERAGE(OFFSET($AM$3,0,0,'Données projet'!$E$10+1,1))-AVERAGE(OFFSET($H$3,0,0,'Données projet'!$E$10+1,1))</f>
        <v>508.21188526136734</v>
      </c>
      <c r="AO89" s="57">
        <f t="shared" si="90"/>
        <v>281.06176764290592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11.565375514403296</v>
      </c>
      <c r="BD89" s="12">
        <f>IF('Données projet'!$A$88&gt;35,BD88+BC89-BL88,IF(A89&lt;'Données projet'!$A$88,$BA$205^A89,IF(A89='Données projet'!$A$88,'Données projet'!$B$88,BD88+BC89-BL88)))</f>
        <v>633.73849794238686</v>
      </c>
      <c r="BE89" s="13">
        <f>BD89*VLOOKUP('Données projet'!$B$11,Paramètres!$A$1:$I$89,3,0)*VLOOKUP('Données projet'!$B$11,Paramètres!$A$1:$I$89,5,0)</f>
        <v>296.58961703703704</v>
      </c>
      <c r="BF89" s="13">
        <f t="shared" si="91"/>
        <v>70.46104117988871</v>
      </c>
      <c r="BG89" s="20">
        <f t="shared" si="61"/>
        <v>639.2798963944789</v>
      </c>
      <c r="BH89" s="57">
        <f t="shared" si="62"/>
        <v>912.26164445988366</v>
      </c>
      <c r="BI89" s="57">
        <f ca="1">AVERAGE(OFFSET($BH$3,0,0,'Données projet'!$E$11+1,1))-AVERAGE(OFFSET($H$3,0,0,'Données projet'!$E$11+1,1))</f>
        <v>449.50723280509311</v>
      </c>
      <c r="BJ89" s="57">
        <f t="shared" si="92"/>
        <v>281.26353650058275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76.729661598902339</v>
      </c>
      <c r="BQ89" s="21">
        <f>EXP(-LN(2)/25)*BQ88+(1-EXP(-LN(2)/25))/(LN(2)/25)*Calculateur!BL89*Calculateur!BN89*VLOOKUP('Données projet'!$B$11,Paramètres!$A$1:$I$89,3,0)*0.475*44/12</f>
        <v>16.785017125668638</v>
      </c>
      <c r="BR89" s="21">
        <f>EXP(-LN(2)/2)*BR88+(1-EXP(-LN(2)/2))/(LN(2)/2)*BL89*BO89*VLOOKUP('Données projet'!$B$11,Paramètres!$A$1:$I$89,3,0)*0.475*44/12</f>
        <v>1.2171575648673507</v>
      </c>
      <c r="BS89" s="22">
        <f t="shared" si="63"/>
        <v>94.731836289438334</v>
      </c>
      <c r="BT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5.4</v>
      </c>
      <c r="BY89" s="12">
        <f>IF('Données projet'!$A$114&gt;35,BY88+BX89-CG88,IF(A89&lt;'Données projet'!$A$114,$BV$205^A89,IF(A89='Données projet'!$A$114,'Données projet'!$B$114,BY88+BX89-CG88)))</f>
        <v>253.39999999999992</v>
      </c>
      <c r="BZ89" s="13">
        <f>BY89*VLOOKUP('Données projet'!$B$12,Paramètres!$A$1:$I$89,3,0)*VLOOKUP('Données projet'!$B$12,Paramètres!$A$1:$I$89,5,0)</f>
        <v>241.13543999999993</v>
      </c>
      <c r="CA89" s="13">
        <f t="shared" si="93"/>
        <v>58.6837587821827</v>
      </c>
      <c r="CB89" s="20">
        <f t="shared" si="64"/>
        <v>522.18510454563477</v>
      </c>
      <c r="CC89" s="57">
        <f t="shared" si="65"/>
        <v>795.16685261103953</v>
      </c>
      <c r="CD89" s="57">
        <f ca="1">AVERAGE(OFFSET($CC$3,0,0,'Données projet'!$E$12+1,1))-AVERAGE(OFFSET($H$3,0,0,'Données projet'!$E$12+1,1))</f>
        <v>479.4551766174892</v>
      </c>
      <c r="CE89" s="57">
        <f t="shared" si="94"/>
        <v>260.29028006191834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-2.2737367544323206E-13</v>
      </c>
      <c r="CU89" s="17">
        <f>CT89*VLOOKUP('Données projet'!$B$13,Paramètres!$A$1:$I$89,3,0)*VLOOKUP('Données projet'!$B$13,Paramètres!$A$1:$I$89,5,0)</f>
        <v>-1.2710188457276673E-13</v>
      </c>
      <c r="CV89" s="13" t="e">
        <f t="shared" si="95"/>
        <v>#NUM!</v>
      </c>
      <c r="CW89" s="20" t="e">
        <f t="shared" si="67"/>
        <v>#NUM!</v>
      </c>
      <c r="CX89" s="57" t="e">
        <f t="shared" si="68"/>
        <v>#NUM!</v>
      </c>
      <c r="CY89" s="57">
        <f ca="1">AVERAGE(OFFSET($CX$3,0,0,'Données projet'!$E$13+1,1))-AVERAGE(OFFSET($H$3,0,0,'Données projet'!$E$13+1,1))</f>
        <v>459.83870442974046</v>
      </c>
      <c r="CZ89" s="57">
        <f t="shared" si="96"/>
        <v>565.68976940602215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154.6373272746491</v>
      </c>
      <c r="DG89" s="21">
        <f>EXP(-LN(2)/25)*DG88+(1-EXP(-LN(2)/25))/(LN(2)/25)*Calculateur!DB89*Calculateur!DD89*VLOOKUP('Données projet'!$B$13,Paramètres!$A$1:$I$89,3,0)*0.475*44/12</f>
        <v>31.331348975033286</v>
      </c>
      <c r="DH89" s="21">
        <f>EXP(-LN(2)/2)*DH88+(1-EXP(-LN(2)/2))/(LN(2)/2)*DB89*DE89*VLOOKUP('Données projet'!$B$13,Paramètres!$A$1:$I$89,3,0)*0.475*44/12</f>
        <v>6.8751038080211539E-3</v>
      </c>
      <c r="DI89" s="22">
        <f t="shared" si="69"/>
        <v>185.9755513534904</v>
      </c>
      <c r="DJ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7" t="e">
        <f t="shared" si="71"/>
        <v>#NUM!</v>
      </c>
      <c r="DT89" s="57">
        <f ca="1">AVERAGE(OFFSET($DS$3,0,0,'Données projet'!$E$14+1,1))-AVERAGE(OFFSET($H$3,0,0,'Données projet'!$E$14+1,1))</f>
        <v>315.23504986325418</v>
      </c>
      <c r="DU89" s="57">
        <f t="shared" si="98"/>
        <v>350.52837099886688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84.032147764609249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84.032147764609249</v>
      </c>
      <c r="EE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3.8222222222222246</v>
      </c>
      <c r="EJ89" s="12">
        <f>IF('Données projet'!$A$192&gt;35,EJ88+EI89-ER88,IF(A89&lt;'Données projet'!$A$192,$EG$205^A89,IF(A89='Données projet'!$A$192,'Données projet'!$B$192,EJ88+EI89-ER88)))</f>
        <v>131.91111111111101</v>
      </c>
      <c r="EK89" s="17">
        <f>EJ89*VLOOKUP('Données projet'!$B$15,Paramètres!$A$1:$I$89,3,0)*VLOOKUP('Données projet'!$B$15,Paramètres!$A$1:$I$89,5,0)</f>
        <v>127.58442666666657</v>
      </c>
      <c r="EL89" s="13">
        <f t="shared" si="99"/>
        <v>33.437583420885183</v>
      </c>
      <c r="EM89" s="20">
        <f t="shared" si="73"/>
        <v>280.44666756915268</v>
      </c>
      <c r="EN89" s="57">
        <f t="shared" si="74"/>
        <v>553.42841563455738</v>
      </c>
      <c r="EO89" s="57">
        <f ca="1">AVERAGE(OFFSET($EN$3,0,0,'Données projet'!$E$15+1,1))-AVERAGE(OFFSET($H$3,0,0,'Données projet'!$E$15+1,1))</f>
        <v>328.31200866623891</v>
      </c>
      <c r="EP89" s="57">
        <f t="shared" si="100"/>
        <v>195.52650232917446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20.300776396444544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20.300776396444544</v>
      </c>
      <c r="EZ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7" t="e">
        <f t="shared" si="77"/>
        <v>#NUM!</v>
      </c>
      <c r="FJ89" s="57">
        <f ca="1">AVERAGE(OFFSET($FI$3,0,0,'Données projet'!$E$16+1,1))-AVERAGE(OFFSET($H$3,0,0,'Données projet'!$E$16+1,1))</f>
        <v>142.88219003619457</v>
      </c>
      <c r="FK89" s="57">
        <f t="shared" si="102"/>
        <v>288.69704547625088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16.195404855741931</v>
      </c>
      <c r="FR89" s="21">
        <f>EXP(-LN(2)/25)*FR88+(1-EXP(-LN(2)/25))/(LN(2)/25)*Calculateur!FM89*Calculateur!FO89*VLOOKUP('Données projet'!$B$16,Paramètres!$A$1:$I$89,3,0)*0.475*44/12</f>
        <v>2.6289645986280106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18.82436945436994</v>
      </c>
      <c r="FU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7" t="e">
        <f t="shared" si="80"/>
        <v>#N/A</v>
      </c>
      <c r="GE89" s="57" t="e">
        <f ca="1">AVERAGE(OFFSET($GD$3,0,0,'Données projet'!$E$17+1,1))-AVERAGE(OFFSET($H$3,0,0,'Données projet'!$E$17+1,1))</f>
        <v>#N/A</v>
      </c>
      <c r="GF89" s="57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7" t="e">
        <f t="shared" si="83"/>
        <v>#N/A</v>
      </c>
      <c r="GZ89" s="57" t="e">
        <f ca="1">AVERAGE(OFFSET($GY$3,0,0,'Données projet'!$E$18+1,1))-AVERAGE(OFFSET($H$3,0,0,'Données projet'!$E$18+1,1))</f>
        <v>#N/A</v>
      </c>
      <c r="HA89" s="57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1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5">
        <f t="shared" si="56"/>
        <v>183.33333333333334</v>
      </c>
      <c r="I90" s="6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6.3</v>
      </c>
      <c r="N90" s="13">
        <f>IF('Données projet'!$A$36&gt;35,N89+M90-V89,IF(A90&lt;'Données projet'!$A$36,$K$205^A90,IF(A90='Données projet'!$A$36,'Données projet'!$B$36,N89+M90-V89)))</f>
        <v>310.60000000000008</v>
      </c>
      <c r="O90" s="13">
        <f>N90*VLOOKUP('Données projet'!$B$9,Paramètres!$A$1:$I$89,3,0)*VLOOKUP('Données projet'!$B$9,Paramètres!$A$1:$I$89,5,0)</f>
        <v>281.03088000000002</v>
      </c>
      <c r="P90" s="13">
        <f t="shared" si="87"/>
        <v>67.184816842275524</v>
      </c>
      <c r="Q90" s="20">
        <f t="shared" si="54"/>
        <v>606.47567200029653</v>
      </c>
      <c r="R90" s="57">
        <f t="shared" si="55"/>
        <v>879.81047457077136</v>
      </c>
      <c r="S90" s="57">
        <f ca="1">AVERAGE(OFFSET($R$3,0,0,'Données projet'!$E$9+1,1))-AVERAGE(OFFSET($H$3,0,0,'Données projet'!$E$9+1,1))</f>
        <v>539.63700256763173</v>
      </c>
      <c r="T90" s="57">
        <f t="shared" si="88"/>
        <v>297.32483725004136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6.3</v>
      </c>
      <c r="AI90" s="13">
        <f>IF('Données projet'!$A$62&gt;35,AI89+AH90-AQ89,IF(A90&lt;'Données projet'!$A$62,$AF$205^A90,IF(A90='Données projet'!$A$62,'Données projet'!$B$62,AI89+AH90-AQ89)))</f>
        <v>310.60000000000008</v>
      </c>
      <c r="AJ90" s="13">
        <f>AI90*VLOOKUP('Données projet'!$B$10,Paramètres!$A$1:$I$89,3,0)*VLOOKUP('Données projet'!$B$10,Paramètres!$A$1:$I$89,5,0)</f>
        <v>261.64944000000008</v>
      </c>
      <c r="AK90" s="13">
        <f t="shared" si="89"/>
        <v>63.073842398428624</v>
      </c>
      <c r="AL90" s="20">
        <f t="shared" si="58"/>
        <v>565.55971684393</v>
      </c>
      <c r="AM90" s="57">
        <f t="shared" si="59"/>
        <v>838.89451941440484</v>
      </c>
      <c r="AN90" s="57">
        <f ca="1">AVERAGE(OFFSET($AM$3,0,0,'Données projet'!$E$10+1,1))-AVERAGE(OFFSET($H$3,0,0,'Données projet'!$E$10+1,1))</f>
        <v>508.21188526136734</v>
      </c>
      <c r="AO90" s="57">
        <f t="shared" si="90"/>
        <v>281.06176764290592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11.565375514403296</v>
      </c>
      <c r="BD90" s="12">
        <f>IF('Données projet'!$A$88&gt;35,BD89+BC90-BL89,IF(A90&lt;'Données projet'!$A$88,$BA$205^A90,IF(A90='Données projet'!$A$88,'Données projet'!$B$88,BD89+BC90-BL89)))</f>
        <v>645.30387345679014</v>
      </c>
      <c r="BE90" s="13">
        <f>BD90*VLOOKUP('Données projet'!$B$11,Paramètres!$A$1:$I$89,3,0)*VLOOKUP('Données projet'!$B$11,Paramètres!$A$1:$I$89,5,0)</f>
        <v>302.0022127777778</v>
      </c>
      <c r="BF90" s="13">
        <f t="shared" si="91"/>
        <v>71.596041543679334</v>
      </c>
      <c r="BG90" s="20">
        <f t="shared" si="61"/>
        <v>650.68362627653789</v>
      </c>
      <c r="BH90" s="57">
        <f t="shared" si="62"/>
        <v>924.01842884701273</v>
      </c>
      <c r="BI90" s="57">
        <f ca="1">AVERAGE(OFFSET($BH$3,0,0,'Données projet'!$E$11+1,1))-AVERAGE(OFFSET($H$3,0,0,'Données projet'!$E$11+1,1))</f>
        <v>449.50723280509311</v>
      </c>
      <c r="BJ90" s="57">
        <f t="shared" si="92"/>
        <v>281.26353650058275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75.225039735420282</v>
      </c>
      <c r="BQ90" s="21">
        <f>EXP(-LN(2)/25)*BQ89+(1-EXP(-LN(2)/25))/(LN(2)/25)*Calculateur!BL90*Calculateur!BN90*VLOOKUP('Données projet'!$B$11,Paramètres!$A$1:$I$89,3,0)*0.475*44/12</f>
        <v>16.326029949681541</v>
      </c>
      <c r="BR90" s="21">
        <f>EXP(-LN(2)/2)*BR89+(1-EXP(-LN(2)/2))/(LN(2)/2)*BL90*BO90*VLOOKUP('Données projet'!$B$11,Paramètres!$A$1:$I$89,3,0)*0.475*44/12</f>
        <v>0.86066036789020883</v>
      </c>
      <c r="BS90" s="22">
        <f t="shared" si="63"/>
        <v>92.411730052992027</v>
      </c>
      <c r="BT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5.4</v>
      </c>
      <c r="BY90" s="12">
        <f>IF('Données projet'!$A$114&gt;35,BY89+BX90-CG89,IF(A90&lt;'Données projet'!$A$114,$BV$205^A90,IF(A90='Données projet'!$A$114,'Données projet'!$B$114,BY89+BX90-CG89)))</f>
        <v>258.7999999999999</v>
      </c>
      <c r="BZ90" s="13">
        <f>BY90*VLOOKUP('Données projet'!$B$12,Paramètres!$A$1:$I$89,3,0)*VLOOKUP('Données projet'!$B$12,Paramètres!$A$1:$I$89,5,0)</f>
        <v>246.27407999999991</v>
      </c>
      <c r="CA90" s="13">
        <f t="shared" si="93"/>
        <v>59.787395242924475</v>
      </c>
      <c r="CB90" s="20">
        <f t="shared" si="64"/>
        <v>533.05706938142669</v>
      </c>
      <c r="CC90" s="57">
        <f t="shared" si="65"/>
        <v>806.39187195190152</v>
      </c>
      <c r="CD90" s="57">
        <f ca="1">AVERAGE(OFFSET($CC$3,0,0,'Données projet'!$E$12+1,1))-AVERAGE(OFFSET($H$3,0,0,'Données projet'!$E$12+1,1))</f>
        <v>479.4551766174892</v>
      </c>
      <c r="CE90" s="57">
        <f t="shared" si="94"/>
        <v>260.29028006191834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-2.2737367544323206E-13</v>
      </c>
      <c r="CU90" s="17">
        <f>CT90*VLOOKUP('Données projet'!$B$13,Paramètres!$A$1:$I$89,3,0)*VLOOKUP('Données projet'!$B$13,Paramètres!$A$1:$I$89,5,0)</f>
        <v>-1.2710188457276673E-13</v>
      </c>
      <c r="CV90" s="13" t="e">
        <f t="shared" si="95"/>
        <v>#NUM!</v>
      </c>
      <c r="CW90" s="20" t="e">
        <f t="shared" si="67"/>
        <v>#NUM!</v>
      </c>
      <c r="CX90" s="57" t="e">
        <f t="shared" si="68"/>
        <v>#NUM!</v>
      </c>
      <c r="CY90" s="57">
        <f ca="1">AVERAGE(OFFSET($CX$3,0,0,'Données projet'!$E$13+1,1))-AVERAGE(OFFSET($H$3,0,0,'Données projet'!$E$13+1,1))</f>
        <v>459.83870442974046</v>
      </c>
      <c r="CZ90" s="57">
        <f t="shared" si="96"/>
        <v>565.68976940602215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151.60498360624959</v>
      </c>
      <c r="DG90" s="21">
        <f>EXP(-LN(2)/25)*DG89+(1-EXP(-LN(2)/25))/(LN(2)/25)*Calculateur!DB90*Calculateur!DD90*VLOOKUP('Données projet'!$B$13,Paramètres!$A$1:$I$89,3,0)*0.475*44/12</f>
        <v>30.474591589666968</v>
      </c>
      <c r="DH90" s="21">
        <f>EXP(-LN(2)/2)*DH89+(1-EXP(-LN(2)/2))/(LN(2)/2)*DB90*DE90*VLOOKUP('Données projet'!$B$13,Paramètres!$A$1:$I$89,3,0)*0.475*44/12</f>
        <v>4.8614325240132136E-3</v>
      </c>
      <c r="DI90" s="22">
        <f t="shared" si="69"/>
        <v>182.08443662844059</v>
      </c>
      <c r="DJ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7" t="e">
        <f t="shared" si="71"/>
        <v>#NUM!</v>
      </c>
      <c r="DT90" s="57">
        <f ca="1">AVERAGE(OFFSET($DS$3,0,0,'Données projet'!$E$14+1,1))-AVERAGE(OFFSET($H$3,0,0,'Données projet'!$E$14+1,1))</f>
        <v>315.23504986325418</v>
      </c>
      <c r="DU90" s="57">
        <f t="shared" si="98"/>
        <v>350.52837099886688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82.384328601494431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82.384328601494431</v>
      </c>
      <c r="EE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3.8222222222222246</v>
      </c>
      <c r="EJ90" s="12">
        <f>IF('Données projet'!$A$192&gt;35,EJ89+EI90-ER89,IF(A90&lt;'Données projet'!$A$192,$EG$205^A90,IF(A90='Données projet'!$A$192,'Données projet'!$B$192,EJ89+EI90-ER89)))</f>
        <v>135.73333333333323</v>
      </c>
      <c r="EK90" s="17">
        <f>EJ90*VLOOKUP('Données projet'!$B$15,Paramètres!$A$1:$I$89,3,0)*VLOOKUP('Données projet'!$B$15,Paramètres!$A$1:$I$89,5,0)</f>
        <v>131.2812799999999</v>
      </c>
      <c r="EL90" s="13">
        <f t="shared" si="99"/>
        <v>34.292256311454942</v>
      </c>
      <c r="EM90" s="20">
        <f t="shared" si="73"/>
        <v>288.37390907578384</v>
      </c>
      <c r="EN90" s="57">
        <f t="shared" si="74"/>
        <v>561.70871164625873</v>
      </c>
      <c r="EO90" s="57">
        <f ca="1">AVERAGE(OFFSET($EN$3,0,0,'Données projet'!$E$15+1,1))-AVERAGE(OFFSET($H$3,0,0,'Données projet'!$E$15+1,1))</f>
        <v>328.31200866623891</v>
      </c>
      <c r="EP90" s="57">
        <f t="shared" si="100"/>
        <v>195.52650232917446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19.902690553561222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19.902690553561222</v>
      </c>
      <c r="EZ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7" t="e">
        <f t="shared" si="77"/>
        <v>#NUM!</v>
      </c>
      <c r="FJ90" s="57">
        <f ca="1">AVERAGE(OFFSET($FI$3,0,0,'Données projet'!$E$16+1,1))-AVERAGE(OFFSET($H$3,0,0,'Données projet'!$E$16+1,1))</f>
        <v>142.88219003619457</v>
      </c>
      <c r="FK90" s="57">
        <f t="shared" si="102"/>
        <v>288.69704547625088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15.877822844742401</v>
      </c>
      <c r="FR90" s="21">
        <f>EXP(-LN(2)/25)*FR89+(1-EXP(-LN(2)/25))/(LN(2)/25)*Calculateur!FM90*Calculateur!FO90*VLOOKUP('Données projet'!$B$16,Paramètres!$A$1:$I$89,3,0)*0.475*44/12</f>
        <v>2.5570754234272881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18.43489826816969</v>
      </c>
      <c r="FU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7" t="e">
        <f t="shared" si="80"/>
        <v>#N/A</v>
      </c>
      <c r="GE90" s="57" t="e">
        <f ca="1">AVERAGE(OFFSET($GD$3,0,0,'Données projet'!$E$17+1,1))-AVERAGE(OFFSET($H$3,0,0,'Données projet'!$E$17+1,1))</f>
        <v>#N/A</v>
      </c>
      <c r="GF90" s="57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7" t="e">
        <f t="shared" si="83"/>
        <v>#N/A</v>
      </c>
      <c r="GZ90" s="57" t="e">
        <f ca="1">AVERAGE(OFFSET($GY$3,0,0,'Données projet'!$E$18+1,1))-AVERAGE(OFFSET($H$3,0,0,'Données projet'!$E$18+1,1))</f>
        <v>#N/A</v>
      </c>
      <c r="HA90" s="57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1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5">
        <f t="shared" si="56"/>
        <v>183.33333333333334</v>
      </c>
      <c r="I91" s="6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6.3</v>
      </c>
      <c r="N91" s="13">
        <f>IF('Données projet'!$A$36&gt;35,N90+M91-V90,IF(A91&lt;'Données projet'!$A$36,$K$205^A91,IF(A91='Données projet'!$A$36,'Données projet'!$B$36,N90+M91-V90)))</f>
        <v>316.90000000000009</v>
      </c>
      <c r="O91" s="13">
        <f>N91*VLOOKUP('Données projet'!$B$9,Paramètres!$A$1:$I$89,3,0)*VLOOKUP('Données projet'!$B$9,Paramètres!$A$1:$I$89,5,0)</f>
        <v>286.73112000000009</v>
      </c>
      <c r="P91" s="13">
        <f t="shared" si="87"/>
        <v>68.387515408373432</v>
      </c>
      <c r="Q91" s="20">
        <f t="shared" si="54"/>
        <v>618.4982900029172</v>
      </c>
      <c r="R91" s="57">
        <f t="shared" si="55"/>
        <v>892.1800223721109</v>
      </c>
      <c r="S91" s="57">
        <f ca="1">AVERAGE(OFFSET($R$3,0,0,'Données projet'!$E$9+1,1))-AVERAGE(OFFSET($H$3,0,0,'Données projet'!$E$9+1,1))</f>
        <v>539.63700256763173</v>
      </c>
      <c r="T91" s="57">
        <f t="shared" si="88"/>
        <v>297.32483725004136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6.3</v>
      </c>
      <c r="AI91" s="13">
        <f>IF('Données projet'!$A$62&gt;35,AI90+AH91-AQ90,IF(A91&lt;'Données projet'!$A$62,$AF$205^A91,IF(A91='Données projet'!$A$62,'Données projet'!$B$62,AI90+AH91-AQ90)))</f>
        <v>316.90000000000009</v>
      </c>
      <c r="AJ91" s="13">
        <f>AI91*VLOOKUP('Données projet'!$B$10,Paramètres!$A$1:$I$89,3,0)*VLOOKUP('Données projet'!$B$10,Paramètres!$A$1:$I$89,5,0)</f>
        <v>266.95656000000008</v>
      </c>
      <c r="AK91" s="13">
        <f t="shared" si="89"/>
        <v>64.20294899388108</v>
      </c>
      <c r="AL91" s="20">
        <f t="shared" si="58"/>
        <v>576.76947816434301</v>
      </c>
      <c r="AM91" s="57">
        <f t="shared" si="59"/>
        <v>850.45121053353671</v>
      </c>
      <c r="AN91" s="57">
        <f ca="1">AVERAGE(OFFSET($AM$3,0,0,'Données projet'!$E$10+1,1))-AVERAGE(OFFSET($H$3,0,0,'Données projet'!$E$10+1,1))</f>
        <v>508.21188526136734</v>
      </c>
      <c r="AO91" s="57">
        <f t="shared" si="90"/>
        <v>281.06176764290592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11.565375514403296</v>
      </c>
      <c r="BD91" s="12">
        <f>IF('Données projet'!$A$88&gt;35,BD90+BC91-BL90,IF(A91&lt;'Données projet'!$A$88,$BA$205^A91,IF(A91='Données projet'!$A$88,'Données projet'!$B$88,BD90+BC91-BL90)))</f>
        <v>656.86924897119343</v>
      </c>
      <c r="BE91" s="13">
        <f>BD91*VLOOKUP('Données projet'!$B$11,Paramètres!$A$1:$I$89,3,0)*VLOOKUP('Données projet'!$B$11,Paramètres!$A$1:$I$89,5,0)</f>
        <v>307.4148085185185</v>
      </c>
      <c r="BF91" s="13">
        <f t="shared" si="91"/>
        <v>72.728676444784242</v>
      </c>
      <c r="BG91" s="20">
        <f t="shared" si="61"/>
        <v>662.08323631108567</v>
      </c>
      <c r="BH91" s="57">
        <f t="shared" si="62"/>
        <v>935.76496868027937</v>
      </c>
      <c r="BI91" s="57">
        <f ca="1">AVERAGE(OFFSET($BH$3,0,0,'Données projet'!$E$11+1,1))-AVERAGE(OFFSET($H$3,0,0,'Données projet'!$E$11+1,1))</f>
        <v>449.50723280509311</v>
      </c>
      <c r="BJ91" s="57">
        <f t="shared" si="92"/>
        <v>281.26353650058275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73.749922588952387</v>
      </c>
      <c r="BQ91" s="21">
        <f>EXP(-LN(2)/25)*BQ90+(1-EXP(-LN(2)/25))/(LN(2)/25)*Calculateur!BL91*Calculateur!BN91*VLOOKUP('Données projet'!$B$11,Paramètres!$A$1:$I$89,3,0)*0.475*44/12</f>
        <v>15.879593802158897</v>
      </c>
      <c r="BR91" s="21">
        <f>EXP(-LN(2)/2)*BR90+(1-EXP(-LN(2)/2))/(LN(2)/2)*BL91*BO91*VLOOKUP('Données projet'!$B$11,Paramètres!$A$1:$I$89,3,0)*0.475*44/12</f>
        <v>0.60857878243367547</v>
      </c>
      <c r="BS91" s="22">
        <f t="shared" si="63"/>
        <v>90.238095173544963</v>
      </c>
      <c r="BT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5.4</v>
      </c>
      <c r="BY91" s="12">
        <f>IF('Données projet'!$A$114&gt;35,BY90+BX91-CG90,IF(A91&lt;'Données projet'!$A$114,$BV$205^A91,IF(A91='Données projet'!$A$114,'Données projet'!$B$114,BY90+BX91-CG90)))</f>
        <v>264.19999999999987</v>
      </c>
      <c r="BZ91" s="13">
        <f>BY91*VLOOKUP('Données projet'!$B$12,Paramètres!$A$1:$I$89,3,0)*VLOOKUP('Données projet'!$B$12,Paramètres!$A$1:$I$89,5,0)</f>
        <v>251.41271999999989</v>
      </c>
      <c r="CA91" s="13">
        <f t="shared" si="93"/>
        <v>60.888354295829195</v>
      </c>
      <c r="CB91" s="20">
        <f t="shared" si="64"/>
        <v>543.92437106523562</v>
      </c>
      <c r="CC91" s="57">
        <f t="shared" si="65"/>
        <v>817.60610343442931</v>
      </c>
      <c r="CD91" s="57">
        <f ca="1">AVERAGE(OFFSET($CC$3,0,0,'Données projet'!$E$12+1,1))-AVERAGE(OFFSET($H$3,0,0,'Données projet'!$E$12+1,1))</f>
        <v>479.4551766174892</v>
      </c>
      <c r="CE91" s="57">
        <f t="shared" si="94"/>
        <v>260.29028006191834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-2.2737367544323206E-13</v>
      </c>
      <c r="CU91" s="17">
        <f>CT91*VLOOKUP('Données projet'!$B$13,Paramètres!$A$1:$I$89,3,0)*VLOOKUP('Données projet'!$B$13,Paramètres!$A$1:$I$89,5,0)</f>
        <v>-1.2710188457276673E-13</v>
      </c>
      <c r="CV91" s="13" t="e">
        <f t="shared" si="95"/>
        <v>#NUM!</v>
      </c>
      <c r="CW91" s="20" t="e">
        <f t="shared" si="67"/>
        <v>#NUM!</v>
      </c>
      <c r="CX91" s="57" t="e">
        <f t="shared" si="68"/>
        <v>#NUM!</v>
      </c>
      <c r="CY91" s="57">
        <f ca="1">AVERAGE(OFFSET($CX$3,0,0,'Données projet'!$E$13+1,1))-AVERAGE(OFFSET($H$3,0,0,'Données projet'!$E$13+1,1))</f>
        <v>459.83870442974046</v>
      </c>
      <c r="CZ91" s="57">
        <f t="shared" si="96"/>
        <v>565.68976940602215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148.6321023476404</v>
      </c>
      <c r="DG91" s="21">
        <f>EXP(-LN(2)/25)*DG90+(1-EXP(-LN(2)/25))/(LN(2)/25)*Calculateur!DB91*Calculateur!DD91*VLOOKUP('Données projet'!$B$13,Paramètres!$A$1:$I$89,3,0)*0.475*44/12</f>
        <v>29.641262280058402</v>
      </c>
      <c r="DH91" s="21">
        <f>EXP(-LN(2)/2)*DH90+(1-EXP(-LN(2)/2))/(LN(2)/2)*DB91*DE91*VLOOKUP('Données projet'!$B$13,Paramètres!$A$1:$I$89,3,0)*0.475*44/12</f>
        <v>3.437551904010577E-3</v>
      </c>
      <c r="DI91" s="22">
        <f t="shared" si="69"/>
        <v>178.27680217960281</v>
      </c>
      <c r="DJ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7" t="e">
        <f t="shared" si="71"/>
        <v>#NUM!</v>
      </c>
      <c r="DT91" s="57">
        <f ca="1">AVERAGE(OFFSET($DS$3,0,0,'Données projet'!$E$14+1,1))-AVERAGE(OFFSET($H$3,0,0,'Données projet'!$E$14+1,1))</f>
        <v>315.23504986325418</v>
      </c>
      <c r="DU91" s="57">
        <f t="shared" si="98"/>
        <v>350.52837099886688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80.768822167097852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80.768822167097852</v>
      </c>
      <c r="EE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3.8222222222222246</v>
      </c>
      <c r="EJ91" s="12">
        <f>IF('Données projet'!$A$192&gt;35,EJ90+EI91-ER90,IF(A91&lt;'Données projet'!$A$192,$EG$205^A91,IF(A91='Données projet'!$A$192,'Données projet'!$B$192,EJ90+EI91-ER90)))</f>
        <v>139.55555555555546</v>
      </c>
      <c r="EK91" s="17">
        <f>EJ91*VLOOKUP('Données projet'!$B$15,Paramètres!$A$1:$I$89,3,0)*VLOOKUP('Données projet'!$B$15,Paramètres!$A$1:$I$89,5,0)</f>
        <v>134.97813333333323</v>
      </c>
      <c r="EL91" s="13">
        <f t="shared" si="99"/>
        <v>35.14413195119613</v>
      </c>
      <c r="EM91" s="20">
        <f t="shared" si="73"/>
        <v>296.29627870388862</v>
      </c>
      <c r="EN91" s="57">
        <f t="shared" si="74"/>
        <v>569.97801107308237</v>
      </c>
      <c r="EO91" s="57">
        <f ca="1">AVERAGE(OFFSET($EN$3,0,0,'Données projet'!$E$15+1,1))-AVERAGE(OFFSET($H$3,0,0,'Données projet'!$E$15+1,1))</f>
        <v>328.31200866623891</v>
      </c>
      <c r="EP91" s="57">
        <f t="shared" si="100"/>
        <v>195.52650232917446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19.512410931248453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19.512410931248453</v>
      </c>
      <c r="EZ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7" t="e">
        <f t="shared" si="77"/>
        <v>#NUM!</v>
      </c>
      <c r="FJ91" s="57">
        <f ca="1">AVERAGE(OFFSET($FI$3,0,0,'Données projet'!$E$16+1,1))-AVERAGE(OFFSET($H$3,0,0,'Données projet'!$E$16+1,1))</f>
        <v>142.88219003619457</v>
      </c>
      <c r="FK91" s="57">
        <f t="shared" si="102"/>
        <v>288.69704547625088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15.566468423272671</v>
      </c>
      <c r="FR91" s="21">
        <f>EXP(-LN(2)/25)*FR90+(1-EXP(-LN(2)/25))/(LN(2)/25)*Calculateur!FM91*Calculateur!FO91*VLOOKUP('Données projet'!$B$16,Paramètres!$A$1:$I$89,3,0)*0.475*44/12</f>
        <v>2.4871520615029166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18.053620484775585</v>
      </c>
      <c r="FU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7" t="e">
        <f t="shared" si="80"/>
        <v>#N/A</v>
      </c>
      <c r="GE91" s="57" t="e">
        <f ca="1">AVERAGE(OFFSET($GD$3,0,0,'Données projet'!$E$17+1,1))-AVERAGE(OFFSET($H$3,0,0,'Données projet'!$E$17+1,1))</f>
        <v>#N/A</v>
      </c>
      <c r="GF91" s="57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7" t="e">
        <f t="shared" si="83"/>
        <v>#N/A</v>
      </c>
      <c r="GZ91" s="57" t="e">
        <f ca="1">AVERAGE(OFFSET($GY$3,0,0,'Données projet'!$E$18+1,1))-AVERAGE(OFFSET($H$3,0,0,'Données projet'!$E$18+1,1))</f>
        <v>#N/A</v>
      </c>
      <c r="HA91" s="57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1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5">
        <f t="shared" si="56"/>
        <v>183.33333333333334</v>
      </c>
      <c r="I92" s="6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6.3</v>
      </c>
      <c r="N92" s="13">
        <f>IF('Données projet'!$A$36&gt;35,N91+M92-V91,IF(A92&lt;'Données projet'!$A$36,$K$205^A92,IF(A92='Données projet'!$A$36,'Données projet'!$B$36,N91+M92-V91)))</f>
        <v>323.2000000000001</v>
      </c>
      <c r="O92" s="13">
        <f>N92*VLOOKUP('Données projet'!$B$9,Paramètres!$A$1:$I$89,3,0)*VLOOKUP('Données projet'!$B$9,Paramètres!$A$1:$I$89,5,0)</f>
        <v>292.4313600000001</v>
      </c>
      <c r="P92" s="13">
        <f t="shared" si="87"/>
        <v>69.587433903176986</v>
      </c>
      <c r="Q92" s="20">
        <f t="shared" si="54"/>
        <v>630.51606604803339</v>
      </c>
      <c r="R92" s="57">
        <f t="shared" si="55"/>
        <v>904.53870975955692</v>
      </c>
      <c r="S92" s="57">
        <f ca="1">AVERAGE(OFFSET($R$3,0,0,'Données projet'!$E$9+1,1))-AVERAGE(OFFSET($H$3,0,0,'Données projet'!$E$9+1,1))</f>
        <v>539.63700256763173</v>
      </c>
      <c r="T92" s="57">
        <f t="shared" si="88"/>
        <v>297.32483725004136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6.3</v>
      </c>
      <c r="AI92" s="13">
        <f>IF('Données projet'!$A$62&gt;35,AI91+AH92-AQ91,IF(A92&lt;'Données projet'!$A$62,$AF$205^A92,IF(A92='Données projet'!$A$62,'Données projet'!$B$62,AI91+AH92-AQ91)))</f>
        <v>323.2000000000001</v>
      </c>
      <c r="AJ92" s="13">
        <f>AI92*VLOOKUP('Données projet'!$B$10,Paramètres!$A$1:$I$89,3,0)*VLOOKUP('Données projet'!$B$10,Paramètres!$A$1:$I$89,5,0)</f>
        <v>272.26368000000014</v>
      </c>
      <c r="AK92" s="13">
        <f t="shared" si="89"/>
        <v>65.329445627932728</v>
      </c>
      <c r="AL92" s="20">
        <f t="shared" si="58"/>
        <v>587.97469380198311</v>
      </c>
      <c r="AM92" s="57">
        <f t="shared" si="59"/>
        <v>861.99733751350664</v>
      </c>
      <c r="AN92" s="57">
        <f ca="1">AVERAGE(OFFSET($AM$3,0,0,'Données projet'!$E$10+1,1))-AVERAGE(OFFSET($H$3,0,0,'Données projet'!$E$10+1,1))</f>
        <v>508.21188526136734</v>
      </c>
      <c r="AO92" s="57">
        <f t="shared" si="90"/>
        <v>281.06176764290592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11.565375514403296</v>
      </c>
      <c r="BD92" s="12">
        <f>IF('Données projet'!$A$88&gt;35,BD91+BC92-BL91,IF(A92&lt;'Données projet'!$A$88,$BA$205^A92,IF(A92='Données projet'!$A$88,'Données projet'!$B$88,BD91+BC92-BL91)))</f>
        <v>668.43462448559671</v>
      </c>
      <c r="BE92" s="13">
        <f>BD92*VLOOKUP('Données projet'!$B$11,Paramètres!$A$1:$I$89,3,0)*VLOOKUP('Données projet'!$B$11,Paramètres!$A$1:$I$89,5,0)</f>
        <v>312.82740425925925</v>
      </c>
      <c r="BF92" s="13">
        <f t="shared" si="91"/>
        <v>73.858992336551609</v>
      </c>
      <c r="BG92" s="20">
        <f t="shared" si="61"/>
        <v>673.47880740437051</v>
      </c>
      <c r="BH92" s="57">
        <f t="shared" si="62"/>
        <v>947.50145111589404</v>
      </c>
      <c r="BI92" s="57">
        <f ca="1">AVERAGE(OFFSET($BH$3,0,0,'Données projet'!$E$11+1,1))-AVERAGE(OFFSET($H$3,0,0,'Données projet'!$E$11+1,1))</f>
        <v>449.50723280509311</v>
      </c>
      <c r="BJ92" s="57">
        <f t="shared" si="92"/>
        <v>281.26353650058275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72.303731589994101</v>
      </c>
      <c r="BQ92" s="21">
        <f>EXP(-LN(2)/25)*BQ91+(1-EXP(-LN(2)/25))/(LN(2)/25)*Calculateur!BL92*Calculateur!BN92*VLOOKUP('Données projet'!$B$11,Paramètres!$A$1:$I$89,3,0)*0.475*44/12</f>
        <v>15.445365474567318</v>
      </c>
      <c r="BR92" s="21">
        <f>EXP(-LN(2)/2)*BR91+(1-EXP(-LN(2)/2))/(LN(2)/2)*BL92*BO92*VLOOKUP('Données projet'!$B$11,Paramètres!$A$1:$I$89,3,0)*0.475*44/12</f>
        <v>0.43033018394510453</v>
      </c>
      <c r="BS92" s="22">
        <f t="shared" si="63"/>
        <v>88.179427248506528</v>
      </c>
      <c r="BT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5.4</v>
      </c>
      <c r="BY92" s="12">
        <f>IF('Données projet'!$A$114&gt;35,BY91+BX92-CG91,IF(A92&lt;'Données projet'!$A$114,$BV$205^A92,IF(A92='Données projet'!$A$114,'Données projet'!$B$114,BY91+BX92-CG91)))</f>
        <v>269.59999999999985</v>
      </c>
      <c r="BZ92" s="13">
        <f>BY92*VLOOKUP('Données projet'!$B$12,Paramètres!$A$1:$I$89,3,0)*VLOOKUP('Données projet'!$B$12,Paramètres!$A$1:$I$89,5,0)</f>
        <v>256.55135999999987</v>
      </c>
      <c r="CA92" s="13">
        <f t="shared" si="93"/>
        <v>61.986696970400146</v>
      </c>
      <c r="CB92" s="20">
        <f t="shared" si="64"/>
        <v>554.78711589011334</v>
      </c>
      <c r="CC92" s="57">
        <f t="shared" si="65"/>
        <v>828.80975960163687</v>
      </c>
      <c r="CD92" s="57">
        <f ca="1">AVERAGE(OFFSET($CC$3,0,0,'Données projet'!$E$12+1,1))-AVERAGE(OFFSET($H$3,0,0,'Données projet'!$E$12+1,1))</f>
        <v>479.4551766174892</v>
      </c>
      <c r="CE92" s="57">
        <f t="shared" si="94"/>
        <v>260.29028006191834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-2.2737367544323206E-13</v>
      </c>
      <c r="CU92" s="17">
        <f>CT92*VLOOKUP('Données projet'!$B$13,Paramètres!$A$1:$I$89,3,0)*VLOOKUP('Données projet'!$B$13,Paramètres!$A$1:$I$89,5,0)</f>
        <v>-1.2710188457276673E-13</v>
      </c>
      <c r="CV92" s="13" t="e">
        <f t="shared" si="95"/>
        <v>#NUM!</v>
      </c>
      <c r="CW92" s="20" t="e">
        <f t="shared" si="67"/>
        <v>#NUM!</v>
      </c>
      <c r="CX92" s="57" t="e">
        <f t="shared" si="68"/>
        <v>#NUM!</v>
      </c>
      <c r="CY92" s="57">
        <f ca="1">AVERAGE(OFFSET($CX$3,0,0,'Données projet'!$E$13+1,1))-AVERAGE(OFFSET($H$3,0,0,'Données projet'!$E$13+1,1))</f>
        <v>459.83870442974046</v>
      </c>
      <c r="CZ92" s="57">
        <f t="shared" si="96"/>
        <v>565.68976940602215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145.717517477234</v>
      </c>
      <c r="DG92" s="21">
        <f>EXP(-LN(2)/25)*DG91+(1-EXP(-LN(2)/25))/(LN(2)/25)*Calculateur!DB92*Calculateur!DD92*VLOOKUP('Données projet'!$B$13,Paramètres!$A$1:$I$89,3,0)*0.475*44/12</f>
        <v>28.830720404243969</v>
      </c>
      <c r="DH92" s="21">
        <f>EXP(-LN(2)/2)*DH91+(1-EXP(-LN(2)/2))/(LN(2)/2)*DB92*DE92*VLOOKUP('Données projet'!$B$13,Paramètres!$A$1:$I$89,3,0)*0.475*44/12</f>
        <v>2.4307162620066068E-3</v>
      </c>
      <c r="DI92" s="22">
        <f t="shared" si="69"/>
        <v>174.55066859773999</v>
      </c>
      <c r="DJ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7" t="e">
        <f t="shared" si="71"/>
        <v>#NUM!</v>
      </c>
      <c r="DT92" s="57">
        <f ca="1">AVERAGE(OFFSET($DS$3,0,0,'Données projet'!$E$14+1,1))-AVERAGE(OFFSET($H$3,0,0,'Données projet'!$E$14+1,1))</f>
        <v>315.23504986325418</v>
      </c>
      <c r="DU92" s="57">
        <f t="shared" si="98"/>
        <v>350.52837099886688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79.184994828518157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79.184994828518157</v>
      </c>
      <c r="EE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3.8222222222222246</v>
      </c>
      <c r="EJ92" s="12">
        <f>IF('Données projet'!$A$192&gt;35,EJ91+EI92-ER91,IF(A92&lt;'Données projet'!$A$192,$EG$205^A92,IF(A92='Données projet'!$A$192,'Données projet'!$B$192,EJ91+EI92-ER91)))</f>
        <v>143.37777777777768</v>
      </c>
      <c r="EK92" s="17">
        <f>EJ92*VLOOKUP('Données projet'!$B$15,Paramètres!$A$1:$I$89,3,0)*VLOOKUP('Données projet'!$B$15,Paramètres!$A$1:$I$89,5,0)</f>
        <v>138.67498666666657</v>
      </c>
      <c r="EL92" s="13">
        <f t="shared" si="99"/>
        <v>35.993295755854454</v>
      </c>
      <c r="EM92" s="20">
        <f t="shared" si="73"/>
        <v>304.21392521922411</v>
      </c>
      <c r="EN92" s="57">
        <f t="shared" si="74"/>
        <v>578.23656893074769</v>
      </c>
      <c r="EO92" s="57">
        <f ca="1">AVERAGE(OFFSET($EN$3,0,0,'Données projet'!$E$15+1,1))-AVERAGE(OFFSET($H$3,0,0,'Données projet'!$E$15+1,1))</f>
        <v>328.31200866623891</v>
      </c>
      <c r="EP92" s="57">
        <f t="shared" si="100"/>
        <v>195.52650232917446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19.129784454282174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19.129784454282174</v>
      </c>
      <c r="EZ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7" t="e">
        <f t="shared" si="77"/>
        <v>#NUM!</v>
      </c>
      <c r="FJ92" s="57">
        <f ca="1">AVERAGE(OFFSET($FI$3,0,0,'Données projet'!$E$16+1,1))-AVERAGE(OFFSET($H$3,0,0,'Données projet'!$E$16+1,1))</f>
        <v>142.88219003619457</v>
      </c>
      <c r="FK92" s="57">
        <f t="shared" si="102"/>
        <v>288.69704547625088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15.261219472100517</v>
      </c>
      <c r="FR92" s="21">
        <f>EXP(-LN(2)/25)*FR91+(1-EXP(-LN(2)/25))/(LN(2)/25)*Calculateur!FM92*Calculateur!FO92*VLOOKUP('Données projet'!$B$16,Paramètres!$A$1:$I$89,3,0)*0.475*44/12</f>
        <v>2.4191407575874768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17.680360229687995</v>
      </c>
      <c r="FU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7" t="e">
        <f t="shared" si="80"/>
        <v>#N/A</v>
      </c>
      <c r="GE92" s="57" t="e">
        <f ca="1">AVERAGE(OFFSET($GD$3,0,0,'Données projet'!$E$17+1,1))-AVERAGE(OFFSET($H$3,0,0,'Données projet'!$E$17+1,1))</f>
        <v>#N/A</v>
      </c>
      <c r="GF92" s="57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7" t="e">
        <f t="shared" si="83"/>
        <v>#N/A</v>
      </c>
      <c r="GZ92" s="57" t="e">
        <f ca="1">AVERAGE(OFFSET($GY$3,0,0,'Données projet'!$E$18+1,1))-AVERAGE(OFFSET($H$3,0,0,'Données projet'!$E$18+1,1))</f>
        <v>#N/A</v>
      </c>
      <c r="HA92" s="57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1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5">
        <f t="shared" si="56"/>
        <v>183.33333333333334</v>
      </c>
      <c r="I93" s="6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6.3</v>
      </c>
      <c r="N93" s="13">
        <f>IF('Données projet'!$A$36&gt;35,N92+M93-V92,IF(A93&lt;'Données projet'!$A$36,$K$205^A93,IF(A93='Données projet'!$A$36,'Données projet'!$B$36,N92+M93-V92)))</f>
        <v>329.50000000000011</v>
      </c>
      <c r="O93" s="13">
        <f>N93*VLOOKUP('Données projet'!$B$9,Paramètres!$A$1:$I$89,3,0)*VLOOKUP('Données projet'!$B$9,Paramètres!$A$1:$I$89,5,0)</f>
        <v>298.13160000000005</v>
      </c>
      <c r="P93" s="13">
        <f t="shared" si="87"/>
        <v>70.784632764376099</v>
      </c>
      <c r="Q93" s="20">
        <f t="shared" si="54"/>
        <v>642.52910539795516</v>
      </c>
      <c r="R93" s="57">
        <f t="shared" si="55"/>
        <v>916.88674640218278</v>
      </c>
      <c r="S93" s="57">
        <f ca="1">AVERAGE(OFFSET($R$3,0,0,'Données projet'!$E$9+1,1))-AVERAGE(OFFSET($H$3,0,0,'Données projet'!$E$9+1,1))</f>
        <v>539.63700256763173</v>
      </c>
      <c r="T93" s="57">
        <f t="shared" si="88"/>
        <v>297.32483725004136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6.3</v>
      </c>
      <c r="AI93" s="13">
        <f>IF('Données projet'!$A$62&gt;35,AI92+AH93-AQ92,IF(A93&lt;'Données projet'!$A$62,$AF$205^A93,IF(A93='Données projet'!$A$62,'Données projet'!$B$62,AI92+AH93-AQ92)))</f>
        <v>329.50000000000011</v>
      </c>
      <c r="AJ93" s="13">
        <f>AI93*VLOOKUP('Données projet'!$B$10,Paramètres!$A$1:$I$89,3,0)*VLOOKUP('Données projet'!$B$10,Paramètres!$A$1:$I$89,5,0)</f>
        <v>277.57080000000013</v>
      </c>
      <c r="AK93" s="13">
        <f t="shared" si="89"/>
        <v>66.453389040149204</v>
      </c>
      <c r="AL93" s="20">
        <f t="shared" si="58"/>
        <v>599.17546257826007</v>
      </c>
      <c r="AM93" s="57">
        <f t="shared" si="59"/>
        <v>873.53310358248768</v>
      </c>
      <c r="AN93" s="57">
        <f ca="1">AVERAGE(OFFSET($AM$3,0,0,'Données projet'!$E$10+1,1))-AVERAGE(OFFSET($H$3,0,0,'Données projet'!$E$10+1,1))</f>
        <v>508.21188526136734</v>
      </c>
      <c r="AO93" s="57">
        <f t="shared" si="90"/>
        <v>281.06176764290592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680</v>
      </c>
      <c r="BB93" s="12">
        <f>VLOOKUP(A93,'Données projet'!$A$87:$I$107,9,0)</f>
        <v>11.565375514403296</v>
      </c>
      <c r="BC93" s="12">
        <f t="array" ref="BC93">INDEX(BB:BB,MIN(IF(ISNUMBER(BB93:BB289),ROW(BB93:BB289),"")))</f>
        <v>11.565375514403296</v>
      </c>
      <c r="BD93" s="12">
        <f>IF('Données projet'!$A$88&gt;35,BD92+BC93-BL92,IF(A93&lt;'Données projet'!$A$88,$BA$205^A93,IF(A93='Données projet'!$A$88,'Données projet'!$B$88,BD92+BC93-BL92)))</f>
        <v>680</v>
      </c>
      <c r="BE93" s="13">
        <f>BD93*VLOOKUP('Données projet'!$B$11,Paramètres!$A$1:$I$89,3,0)*VLOOKUP('Données projet'!$B$11,Paramètres!$A$1:$I$89,5,0)</f>
        <v>318.24</v>
      </c>
      <c r="BF93" s="13">
        <f t="shared" si="91"/>
        <v>74.987033972743887</v>
      </c>
      <c r="BG93" s="20">
        <f t="shared" si="61"/>
        <v>684.87041750252899</v>
      </c>
      <c r="BH93" s="57">
        <f t="shared" si="62"/>
        <v>959.22805850675672</v>
      </c>
      <c r="BI93" s="57">
        <f ca="1">AVERAGE(OFFSET($BH$3,0,0,'Données projet'!$E$11+1,1))-AVERAGE(OFFSET($H$3,0,0,'Données projet'!$E$11+1,1))</f>
        <v>449.50723280509311</v>
      </c>
      <c r="BJ93" s="57">
        <f t="shared" si="92"/>
        <v>281.26353650058275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160.72437414266119</v>
      </c>
      <c r="BM93" s="16">
        <f>IF(ISNA(VLOOKUP(A93,'Données projet'!$A$87:$I$107,5,0)),0%,VLOOKUP(A93,'Données projet'!$A$87:$I$107,5,0)*VLOOKUP('Données projet'!$B$11,Paramètres!$A$1:$I$89,7,0))</f>
        <v>0.38500000000000001</v>
      </c>
      <c r="BN93" s="16">
        <f>IF(ISNA(VLOOKUP(A93,'Données projet'!$A$87:$I$107,6,0)),0%,VLOOKUP(A93,'Données projet'!$A$87:$I$107,6,0)*VLOOKUP('Données projet'!$B$11,Paramètres!$A$1:$I$89,7,0))</f>
        <v>9.240000000000001E-2</v>
      </c>
      <c r="BO93" s="16">
        <f>IF(ISNA(VLOOKUP(A93,'Données projet'!$A$87:$I$107,7,0)),0%,VLOOKUP(A93,'Données projet'!$A$87:$I$107,7,0))</f>
        <v>0.13200000000000001</v>
      </c>
      <c r="BP93" s="21">
        <f>EXP(-LN(2)/35)*BP92+(1-EXP(-LN(2)/35))/(LN(2)/35)*BL93*BM93*VLOOKUP('Données projet'!$B$11,Paramètres!$A$1:$I$89,3,0)*0.475*44/12</f>
        <v>109.30230107284649</v>
      </c>
      <c r="BQ93" s="21">
        <f>EXP(-LN(2)/25)*BQ92+(1-EXP(-LN(2)/25))/(LN(2)/25)*Calculateur!BL93*Calculateur!BN93*VLOOKUP('Données projet'!$B$11,Paramètres!$A$1:$I$89,3,0)*0.475*44/12</f>
        <v>24.206645114871641</v>
      </c>
      <c r="BR93" s="21">
        <f>EXP(-LN(2)/2)*BR92+(1-EXP(-LN(2)/2))/(LN(2)/2)*BL93*BO93*VLOOKUP('Données projet'!$B$11,Paramètres!$A$1:$I$89,3,0)*0.475*44/12</f>
        <v>11.546120768929343</v>
      </c>
      <c r="BS93" s="22">
        <f t="shared" si="63"/>
        <v>145.05506695664747</v>
      </c>
      <c r="BT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275</v>
      </c>
      <c r="BW93" s="12">
        <f>VLOOKUP(A93,'Données projet'!$A$113:$I$133,9,0)</f>
        <v>5.4</v>
      </c>
      <c r="BX93" s="12">
        <f t="array" ref="BX93">INDEX(BW:BW,MIN(IF(ISNUMBER(BW93:BW289),ROW(BW93:BW289),"")))</f>
        <v>5.4</v>
      </c>
      <c r="BY93" s="12">
        <f>IF('Données projet'!$A$114&gt;35,BY92+BX93-CG92,IF(A93&lt;'Données projet'!$A$114,$BV$205^A93,IF(A93='Données projet'!$A$114,'Données projet'!$B$114,BY92+BX93-CG92)))</f>
        <v>274.99999999999983</v>
      </c>
      <c r="BZ93" s="13">
        <f>BY93*VLOOKUP('Données projet'!$B$12,Paramètres!$A$1:$I$89,3,0)*VLOOKUP('Données projet'!$B$12,Paramètres!$A$1:$I$89,5,0)</f>
        <v>261.68999999999983</v>
      </c>
      <c r="CA93" s="13">
        <f t="shared" si="93"/>
        <v>63.082481711546343</v>
      </c>
      <c r="CB93" s="20">
        <f t="shared" si="64"/>
        <v>565.64540564760955</v>
      </c>
      <c r="CC93" s="57">
        <f t="shared" si="65"/>
        <v>840.00304665183717</v>
      </c>
      <c r="CD93" s="57">
        <f ca="1">AVERAGE(OFFSET($CC$3,0,0,'Données projet'!$E$12+1,1))-AVERAGE(OFFSET($H$3,0,0,'Données projet'!$E$12+1,1))</f>
        <v>479.4551766174892</v>
      </c>
      <c r="CE93" s="57">
        <f t="shared" si="94"/>
        <v>260.29028006191834</v>
      </c>
      <c r="CF93" s="15">
        <f>IF(ISNA(VLOOKUP(A93,'Données projet'!$A$113:$I$133,3,0)),0,VLOOKUP(A93,'Données projet'!$A$113:$I$133,3,0))</f>
        <v>14</v>
      </c>
      <c r="CG93" s="15">
        <f>IF(ISNA(VLOOKUP(A93,'Données projet'!$A$113:$I$133,4,0)),0,VLOOKUP(A93,'Données projet'!$A$113:$I$133,4,0))</f>
        <v>21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-2.2737367544323206E-13</v>
      </c>
      <c r="CU93" s="17">
        <f>CT93*VLOOKUP('Données projet'!$B$13,Paramètres!$A$1:$I$89,3,0)*VLOOKUP('Données projet'!$B$13,Paramètres!$A$1:$I$89,5,0)</f>
        <v>-1.2710188457276673E-13</v>
      </c>
      <c r="CV93" s="13" t="e">
        <f t="shared" si="95"/>
        <v>#NUM!</v>
      </c>
      <c r="CW93" s="20" t="e">
        <f t="shared" si="67"/>
        <v>#NUM!</v>
      </c>
      <c r="CX93" s="57" t="e">
        <f t="shared" si="68"/>
        <v>#NUM!</v>
      </c>
      <c r="CY93" s="57">
        <f ca="1">AVERAGE(OFFSET($CX$3,0,0,'Données projet'!$E$13+1,1))-AVERAGE(OFFSET($H$3,0,0,'Données projet'!$E$13+1,1))</f>
        <v>459.83870442974046</v>
      </c>
      <c r="CZ93" s="57">
        <f t="shared" si="96"/>
        <v>565.68976940602215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142.86008583841505</v>
      </c>
      <c r="DG93" s="21">
        <f>EXP(-LN(2)/25)*DG92+(1-EXP(-LN(2)/25))/(LN(2)/25)*Calculateur!DB93*Calculateur!DD93*VLOOKUP('Données projet'!$B$13,Paramètres!$A$1:$I$89,3,0)*0.475*44/12</f>
        <v>28.042342838648224</v>
      </c>
      <c r="DH93" s="21">
        <f>EXP(-LN(2)/2)*DH92+(1-EXP(-LN(2)/2))/(LN(2)/2)*DB93*DE93*VLOOKUP('Données projet'!$B$13,Paramètres!$A$1:$I$89,3,0)*0.475*44/12</f>
        <v>1.7187759520052885E-3</v>
      </c>
      <c r="DI93" s="22">
        <f t="shared" si="69"/>
        <v>170.90414745301527</v>
      </c>
      <c r="DJ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7" t="e">
        <f t="shared" si="71"/>
        <v>#NUM!</v>
      </c>
      <c r="DT93" s="57">
        <f ca="1">AVERAGE(OFFSET($DS$3,0,0,'Données projet'!$E$14+1,1))-AVERAGE(OFFSET($H$3,0,0,'Données projet'!$E$14+1,1))</f>
        <v>315.23504986325418</v>
      </c>
      <c r="DU93" s="57">
        <f t="shared" si="98"/>
        <v>350.52837099886688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77.632225378008727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77.632225378008727</v>
      </c>
      <c r="EE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147.20000000000002</v>
      </c>
      <c r="EH93" s="12">
        <f>VLOOKUP(A93,'Données projet'!$A$191:$I$211,9,0)</f>
        <v>3.8222222222222246</v>
      </c>
      <c r="EI93" s="12">
        <f t="array" ref="EI93">INDEX(EH:EH,MIN(IF(ISNUMBER(EH93:EH289),ROW(EH93:EH289),"")))</f>
        <v>3.8222222222222246</v>
      </c>
      <c r="EJ93" s="12">
        <f>IF('Données projet'!$A$192&gt;35,EJ92+EI93-ER92,IF(A93&lt;'Données projet'!$A$192,$EG$205^A93,IF(A93='Données projet'!$A$192,'Données projet'!$B$192,EJ92+EI93-ER92)))</f>
        <v>147.1999999999999</v>
      </c>
      <c r="EK93" s="17">
        <f>EJ93*VLOOKUP('Données projet'!$B$15,Paramètres!$A$1:$I$89,3,0)*VLOOKUP('Données projet'!$B$15,Paramètres!$A$1:$I$89,5,0)</f>
        <v>142.37183999999991</v>
      </c>
      <c r="EL93" s="13">
        <f t="shared" si="99"/>
        <v>36.839828327780694</v>
      </c>
      <c r="EM93" s="20">
        <f t="shared" si="73"/>
        <v>312.12698900421793</v>
      </c>
      <c r="EN93" s="57">
        <f t="shared" si="74"/>
        <v>586.48463000844561</v>
      </c>
      <c r="EO93" s="57">
        <f ca="1">AVERAGE(OFFSET($EN$3,0,0,'Données projet'!$E$15+1,1))-AVERAGE(OFFSET($H$3,0,0,'Données projet'!$E$15+1,1))</f>
        <v>328.31200866623891</v>
      </c>
      <c r="EP93" s="57">
        <f t="shared" si="100"/>
        <v>195.52650232917446</v>
      </c>
      <c r="EQ93" s="15">
        <f>IF(ISNA(VLOOKUP(A93,'Données projet'!$A$191:$I$211,3,0)),0,VLOOKUP(A93,'Données projet'!$A$191:$I$211,3,0))</f>
        <v>7</v>
      </c>
      <c r="ER93" s="15">
        <f>IF(ISNA(VLOOKUP(A93,'Données projet'!$A$191:$I$211,4,0)),0,VLOOKUP(A93,'Données projet'!$A$191:$I$211,4,0))</f>
        <v>24</v>
      </c>
      <c r="ES93" s="16">
        <f>IF(ISNA(VLOOKUP(A93,'Données projet'!$A$191:$I$211,5,0)),0%,VLOOKUP(A93,'Données projet'!$A$191:$I$211,5,0)*VLOOKUP('Données projet'!$B$15,Paramètres!$A$1:$I$89,7,0))</f>
        <v>0.30099999999999999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26.478640959782862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26.478640959782862</v>
      </c>
      <c r="EZ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7" t="e">
        <f t="shared" si="77"/>
        <v>#NUM!</v>
      </c>
      <c r="FJ93" s="57">
        <f ca="1">AVERAGE(OFFSET($FI$3,0,0,'Données projet'!$E$16+1,1))-AVERAGE(OFFSET($H$3,0,0,'Données projet'!$E$16+1,1))</f>
        <v>142.88219003619457</v>
      </c>
      <c r="FK93" s="57">
        <f t="shared" si="102"/>
        <v>288.69704547625088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14.961956266677374</v>
      </c>
      <c r="FR93" s="21">
        <f>EXP(-LN(2)/25)*FR92+(1-EXP(-LN(2)/25))/(LN(2)/25)*Calculateur!FM93*Calculateur!FO93*VLOOKUP('Données projet'!$B$16,Paramètres!$A$1:$I$89,3,0)*0.475*44/12</f>
        <v>2.3529892263541639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17.314945493031537</v>
      </c>
      <c r="FU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7" t="e">
        <f t="shared" si="80"/>
        <v>#N/A</v>
      </c>
      <c r="GE93" s="57" t="e">
        <f ca="1">AVERAGE(OFFSET($GD$3,0,0,'Données projet'!$E$17+1,1))-AVERAGE(OFFSET($H$3,0,0,'Données projet'!$E$17+1,1))</f>
        <v>#N/A</v>
      </c>
      <c r="GF93" s="57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7" t="e">
        <f t="shared" si="83"/>
        <v>#N/A</v>
      </c>
      <c r="GZ93" s="57" t="e">
        <f ca="1">AVERAGE(OFFSET($GY$3,0,0,'Données projet'!$E$18+1,1))-AVERAGE(OFFSET($H$3,0,0,'Données projet'!$E$18+1,1))</f>
        <v>#N/A</v>
      </c>
      <c r="HA93" s="57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1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5">
        <f t="shared" si="56"/>
        <v>183.33333333333334</v>
      </c>
      <c r="I94" s="6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6.3</v>
      </c>
      <c r="N94" s="13">
        <f>IF('Données projet'!$A$36&gt;35,N93+M94-V93,IF(A94&lt;'Données projet'!$A$36,$K$205^A94,IF(A94='Données projet'!$A$36,'Données projet'!$B$36,N93+M94-V93)))</f>
        <v>335.80000000000013</v>
      </c>
      <c r="O94" s="13">
        <f>N94*VLOOKUP('Données projet'!$B$9,Paramètres!$A$1:$I$89,3,0)*VLOOKUP('Données projet'!$B$9,Paramètres!$A$1:$I$89,5,0)</f>
        <v>303.83184000000011</v>
      </c>
      <c r="P94" s="13">
        <f t="shared" si="87"/>
        <v>71.979169986303972</v>
      </c>
      <c r="Q94" s="20">
        <f t="shared" si="54"/>
        <v>654.5375090594797</v>
      </c>
      <c r="R94" s="57">
        <f t="shared" si="55"/>
        <v>929.22433590232481</v>
      </c>
      <c r="S94" s="57">
        <f ca="1">AVERAGE(OFFSET($R$3,0,0,'Données projet'!$E$9+1,1))-AVERAGE(OFFSET($H$3,0,0,'Données projet'!$E$9+1,1))</f>
        <v>539.63700256763173</v>
      </c>
      <c r="T94" s="57">
        <f t="shared" si="88"/>
        <v>297.32483725004136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6.3</v>
      </c>
      <c r="AI94" s="13">
        <f>IF('Données projet'!$A$62&gt;35,AI93+AH94-AQ93,IF(A94&lt;'Données projet'!$A$62,$AF$205^A94,IF(A94='Données projet'!$A$62,'Données projet'!$B$62,AI93+AH94-AQ93)))</f>
        <v>335.80000000000013</v>
      </c>
      <c r="AJ94" s="13">
        <f>AI94*VLOOKUP('Données projet'!$B$10,Paramètres!$A$1:$I$89,3,0)*VLOOKUP('Données projet'!$B$10,Paramètres!$A$1:$I$89,5,0)</f>
        <v>282.87792000000013</v>
      </c>
      <c r="AK94" s="13">
        <f t="shared" si="89"/>
        <v>67.574833676246371</v>
      </c>
      <c r="AL94" s="20">
        <f t="shared" si="58"/>
        <v>610.37187931946266</v>
      </c>
      <c r="AM94" s="57">
        <f t="shared" si="59"/>
        <v>885.05870616230777</v>
      </c>
      <c r="AN94" s="57">
        <f ca="1">AVERAGE(OFFSET($AM$3,0,0,'Données projet'!$E$10+1,1))-AVERAGE(OFFSET($H$3,0,0,'Données projet'!$E$10+1,1))</f>
        <v>508.21188526136734</v>
      </c>
      <c r="AO94" s="57">
        <f t="shared" si="90"/>
        <v>281.06176764290592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8.0678034979423732</v>
      </c>
      <c r="BD94" s="12">
        <f>IF('Données projet'!$A$88&gt;35,BD93+BC94-BL93,IF(A94&lt;'Données projet'!$A$88,$BA$205^A94,IF(A94='Données projet'!$A$88,'Données projet'!$B$88,BD93+BC94-BL93)))</f>
        <v>527.34342935528116</v>
      </c>
      <c r="BE94" s="13">
        <f>BD94*VLOOKUP('Données projet'!$B$11,Paramètres!$A$1:$I$89,3,0)*VLOOKUP('Données projet'!$B$11,Paramètres!$A$1:$I$89,5,0)</f>
        <v>246.79672493827158</v>
      </c>
      <c r="BF94" s="13">
        <f t="shared" si="91"/>
        <v>59.89949373785069</v>
      </c>
      <c r="BG94" s="20">
        <f t="shared" si="61"/>
        <v>534.16258086091295</v>
      </c>
      <c r="BH94" s="57">
        <f t="shared" si="62"/>
        <v>808.84940770375806</v>
      </c>
      <c r="BI94" s="57">
        <f ca="1">AVERAGE(OFFSET($BH$3,0,0,'Données projet'!$E$11+1,1))-AVERAGE(OFFSET($H$3,0,0,'Données projet'!$E$11+1,1))</f>
        <v>449.50723280509311</v>
      </c>
      <c r="BJ94" s="57">
        <f t="shared" si="92"/>
        <v>281.26353650058275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107.15894961662872</v>
      </c>
      <c r="BQ94" s="21">
        <f>EXP(-LN(2)/25)*BQ93+(1-EXP(-LN(2)/25))/(LN(2)/25)*Calculateur!BL94*Calculateur!BN94*VLOOKUP('Données projet'!$B$11,Paramètres!$A$1:$I$89,3,0)*0.475*44/12</f>
        <v>23.544713131233333</v>
      </c>
      <c r="BR94" s="21">
        <f>EXP(-LN(2)/2)*BR93+(1-EXP(-LN(2)/2))/(LN(2)/2)*BL94*BO94*VLOOKUP('Données projet'!$B$11,Paramètres!$A$1:$I$89,3,0)*0.475*44/12</f>
        <v>8.1643402921087738</v>
      </c>
      <c r="BS94" s="22">
        <f t="shared" si="63"/>
        <v>138.8680030399708</v>
      </c>
      <c r="BT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4.9000000000000004</v>
      </c>
      <c r="BY94" s="12">
        <f>IF('Données projet'!$A$114&gt;35,BY93+BX94-CG93,IF(A94&lt;'Données projet'!$A$114,$BV$205^A94,IF(A94='Données projet'!$A$114,'Données projet'!$B$114,BY93+BX94-CG93)))</f>
        <v>258.89999999999981</v>
      </c>
      <c r="BZ94" s="13">
        <f>BY94*VLOOKUP('Données projet'!$B$12,Paramètres!$A$1:$I$89,3,0)*VLOOKUP('Données projet'!$B$12,Paramètres!$A$1:$I$89,5,0)</f>
        <v>246.36923999999982</v>
      </c>
      <c r="CA94" s="13">
        <f t="shared" si="93"/>
        <v>59.807807512857458</v>
      </c>
      <c r="CB94" s="20">
        <f t="shared" si="64"/>
        <v>533.25835775155974</v>
      </c>
      <c r="CC94" s="57">
        <f t="shared" si="65"/>
        <v>807.94518459440474</v>
      </c>
      <c r="CD94" s="57">
        <f ca="1">AVERAGE(OFFSET($CC$3,0,0,'Données projet'!$E$12+1,1))-AVERAGE(OFFSET($H$3,0,0,'Données projet'!$E$12+1,1))</f>
        <v>479.4551766174892</v>
      </c>
      <c r="CE94" s="57">
        <f t="shared" si="94"/>
        <v>260.29028006191834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-2.2737367544323206E-13</v>
      </c>
      <c r="CU94" s="17">
        <f>CT94*VLOOKUP('Données projet'!$B$13,Paramètres!$A$1:$I$89,3,0)*VLOOKUP('Données projet'!$B$13,Paramètres!$A$1:$I$89,5,0)</f>
        <v>-1.2710188457276673E-13</v>
      </c>
      <c r="CV94" s="13" t="e">
        <f t="shared" si="95"/>
        <v>#NUM!</v>
      </c>
      <c r="CW94" s="20" t="e">
        <f t="shared" si="67"/>
        <v>#NUM!</v>
      </c>
      <c r="CX94" s="57" t="e">
        <f t="shared" si="68"/>
        <v>#NUM!</v>
      </c>
      <c r="CY94" s="57">
        <f ca="1">AVERAGE(OFFSET($CX$3,0,0,'Données projet'!$E$13+1,1))-AVERAGE(OFFSET($H$3,0,0,'Données projet'!$E$13+1,1))</f>
        <v>459.83870442974046</v>
      </c>
      <c r="CZ94" s="57">
        <f t="shared" si="96"/>
        <v>565.68976940602215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140.05868669117211</v>
      </c>
      <c r="DG94" s="21">
        <f>EXP(-LN(2)/25)*DG93+(1-EXP(-LN(2)/25))/(LN(2)/25)*Calculateur!DB94*Calculateur!DD94*VLOOKUP('Données projet'!$B$13,Paramètres!$A$1:$I$89,3,0)*0.475*44/12</f>
        <v>27.27552349904267</v>
      </c>
      <c r="DH94" s="21">
        <f>EXP(-LN(2)/2)*DH93+(1-EXP(-LN(2)/2))/(LN(2)/2)*DB94*DE94*VLOOKUP('Données projet'!$B$13,Paramètres!$A$1:$I$89,3,0)*0.475*44/12</f>
        <v>1.2153581310033034E-3</v>
      </c>
      <c r="DI94" s="22">
        <f t="shared" si="69"/>
        <v>167.33542554834577</v>
      </c>
      <c r="DJ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7" t="e">
        <f t="shared" si="71"/>
        <v>#NUM!</v>
      </c>
      <c r="DT94" s="57">
        <f ca="1">AVERAGE(OFFSET($DS$3,0,0,'Données projet'!$E$14+1,1))-AVERAGE(OFFSET($H$3,0,0,'Données projet'!$E$14+1,1))</f>
        <v>315.23504986325418</v>
      </c>
      <c r="DU94" s="57">
        <f t="shared" si="98"/>
        <v>350.52837099886688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76.109904789327942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76.109904789327942</v>
      </c>
      <c r="EE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3.7999999999999994</v>
      </c>
      <c r="EJ94" s="12">
        <f>IF('Données projet'!$A$192&gt;35,EJ93+EI94-ER93,IF(A94&lt;'Données projet'!$A$192,$EG$205^A94,IF(A94='Données projet'!$A$192,'Données projet'!$B$192,EJ93+EI94-ER93)))</f>
        <v>126.99999999999991</v>
      </c>
      <c r="EK94" s="17">
        <f>EJ94*VLOOKUP('Données projet'!$B$15,Paramètres!$A$1:$I$89,3,0)*VLOOKUP('Données projet'!$B$15,Paramètres!$A$1:$I$89,5,0)</f>
        <v>122.83439999999993</v>
      </c>
      <c r="EL94" s="13">
        <f t="shared" si="99"/>
        <v>32.33517566520306</v>
      </c>
      <c r="EM94" s="20">
        <f t="shared" si="73"/>
        <v>270.25367761689517</v>
      </c>
      <c r="EN94" s="57">
        <f t="shared" si="74"/>
        <v>544.94050445974017</v>
      </c>
      <c r="EO94" s="57">
        <f ca="1">AVERAGE(OFFSET($EN$3,0,0,'Données projet'!$E$15+1,1))-AVERAGE(OFFSET($H$3,0,0,'Données projet'!$E$15+1,1))</f>
        <v>328.31200866623891</v>
      </c>
      <c r="EP94" s="57">
        <f t="shared" si="100"/>
        <v>195.52650232917446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25.959410960937788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25.959410960937788</v>
      </c>
      <c r="EZ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7" t="e">
        <f t="shared" si="77"/>
        <v>#NUM!</v>
      </c>
      <c r="FJ94" s="57">
        <f ca="1">AVERAGE(OFFSET($FI$3,0,0,'Données projet'!$E$16+1,1))-AVERAGE(OFFSET($H$3,0,0,'Données projet'!$E$16+1,1))</f>
        <v>142.88219003619457</v>
      </c>
      <c r="FK94" s="57">
        <f t="shared" si="102"/>
        <v>288.69704547625088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14.668561430180047</v>
      </c>
      <c r="FR94" s="21">
        <f>EXP(-LN(2)/25)*FR93+(1-EXP(-LN(2)/25))/(LN(2)/25)*Calculateur!FM94*Calculateur!FO94*VLOOKUP('Données projet'!$B$16,Paramètres!$A$1:$I$89,3,0)*0.475*44/12</f>
        <v>2.2886466122211835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16.957208042401231</v>
      </c>
      <c r="FU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7" t="e">
        <f t="shared" si="80"/>
        <v>#N/A</v>
      </c>
      <c r="GE94" s="57" t="e">
        <f ca="1">AVERAGE(OFFSET($GD$3,0,0,'Données projet'!$E$17+1,1))-AVERAGE(OFFSET($H$3,0,0,'Données projet'!$E$17+1,1))</f>
        <v>#N/A</v>
      </c>
      <c r="GF94" s="57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7" t="e">
        <f t="shared" si="83"/>
        <v>#N/A</v>
      </c>
      <c r="GZ94" s="57" t="e">
        <f ca="1">AVERAGE(OFFSET($GY$3,0,0,'Données projet'!$E$18+1,1))-AVERAGE(OFFSET($H$3,0,0,'Données projet'!$E$18+1,1))</f>
        <v>#N/A</v>
      </c>
      <c r="HA94" s="57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1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5">
        <f t="shared" si="56"/>
        <v>183.33333333333334</v>
      </c>
      <c r="I95" s="6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6.3</v>
      </c>
      <c r="N95" s="13">
        <f>IF('Données projet'!$A$36&gt;35,N94+M95-V94,IF(A95&lt;'Données projet'!$A$36,$K$205^A95,IF(A95='Données projet'!$A$36,'Données projet'!$B$36,N94+M95-V94)))</f>
        <v>342.10000000000014</v>
      </c>
      <c r="O95" s="13">
        <f>N95*VLOOKUP('Données projet'!$B$9,Paramètres!$A$1:$I$89,3,0)*VLOOKUP('Données projet'!$B$9,Paramètres!$A$1:$I$89,5,0)</f>
        <v>309.53208000000012</v>
      </c>
      <c r="P95" s="13">
        <f t="shared" si="87"/>
        <v>73.171101262671257</v>
      </c>
      <c r="Q95" s="20">
        <f t="shared" si="54"/>
        <v>666.54137403248592</v>
      </c>
      <c r="R95" s="57">
        <f t="shared" si="55"/>
        <v>941.5516760755977</v>
      </c>
      <c r="S95" s="57">
        <f ca="1">AVERAGE(OFFSET($R$3,0,0,'Données projet'!$E$9+1,1))-AVERAGE(OFFSET($H$3,0,0,'Données projet'!$E$9+1,1))</f>
        <v>539.63700256763173</v>
      </c>
      <c r="T95" s="57">
        <f t="shared" si="88"/>
        <v>297.32483725004136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6.3</v>
      </c>
      <c r="AI95" s="13">
        <f>IF('Données projet'!$A$62&gt;35,AI94+AH95-AQ94,IF(A95&lt;'Données projet'!$A$62,$AF$205^A95,IF(A95='Données projet'!$A$62,'Données projet'!$B$62,AI94+AH95-AQ94)))</f>
        <v>342.10000000000014</v>
      </c>
      <c r="AJ95" s="13">
        <f>AI95*VLOOKUP('Données projet'!$B$10,Paramètres!$A$1:$I$89,3,0)*VLOOKUP('Données projet'!$B$10,Paramètres!$A$1:$I$89,5,0)</f>
        <v>288.18504000000013</v>
      </c>
      <c r="AK95" s="13">
        <f t="shared" si="89"/>
        <v>68.693831822089962</v>
      </c>
      <c r="AL95" s="20">
        <f t="shared" si="58"/>
        <v>621.56403509014024</v>
      </c>
      <c r="AM95" s="57">
        <f t="shared" si="59"/>
        <v>896.5743371332519</v>
      </c>
      <c r="AN95" s="57">
        <f ca="1">AVERAGE(OFFSET($AM$3,0,0,'Données projet'!$E$10+1,1))-AVERAGE(OFFSET($H$3,0,0,'Données projet'!$E$10+1,1))</f>
        <v>508.21188526136734</v>
      </c>
      <c r="AO95" s="57">
        <f t="shared" si="90"/>
        <v>281.06176764290592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8.0678034979423732</v>
      </c>
      <c r="BD95" s="12">
        <f>IF('Données projet'!$A$88&gt;35,BD94+BC95-BL94,IF(A95&lt;'Données projet'!$A$88,$BA$205^A95,IF(A95='Données projet'!$A$88,'Données projet'!$B$88,BD94+BC95-BL94)))</f>
        <v>535.41123285322351</v>
      </c>
      <c r="BE95" s="13">
        <f>BD95*VLOOKUP('Données projet'!$B$11,Paramètres!$A$1:$I$89,3,0)*VLOOKUP('Données projet'!$B$11,Paramètres!$A$1:$I$89,5,0)</f>
        <v>250.5724569753086</v>
      </c>
      <c r="BF95" s="13">
        <f t="shared" si="91"/>
        <v>60.708507575265074</v>
      </c>
      <c r="BG95" s="20">
        <f t="shared" si="61"/>
        <v>542.14767992558245</v>
      </c>
      <c r="BH95" s="57">
        <f t="shared" si="62"/>
        <v>817.15798196869423</v>
      </c>
      <c r="BI95" s="57">
        <f ca="1">AVERAGE(OFFSET($BH$3,0,0,'Données projet'!$E$11+1,1))-AVERAGE(OFFSET($H$3,0,0,'Données projet'!$E$11+1,1))</f>
        <v>449.50723280509311</v>
      </c>
      <c r="BJ95" s="57">
        <f t="shared" si="92"/>
        <v>281.26353650058275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105.05762797515209</v>
      </c>
      <c r="BQ95" s="21">
        <f>EXP(-LN(2)/25)*BQ94+(1-EXP(-LN(2)/25))/(LN(2)/25)*Calculateur!BL95*Calculateur!BN95*VLOOKUP('Données projet'!$B$11,Paramètres!$A$1:$I$89,3,0)*0.475*44/12</f>
        <v>22.900881712497107</v>
      </c>
      <c r="BR95" s="21">
        <f>EXP(-LN(2)/2)*BR94+(1-EXP(-LN(2)/2))/(LN(2)/2)*BL95*BO95*VLOOKUP('Données projet'!$B$11,Paramètres!$A$1:$I$89,3,0)*0.475*44/12</f>
        <v>5.7730603844646726</v>
      </c>
      <c r="BS95" s="22">
        <f t="shared" si="63"/>
        <v>133.73157007211387</v>
      </c>
      <c r="BT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4.9000000000000004</v>
      </c>
      <c r="BY95" s="12">
        <f>IF('Données projet'!$A$114&gt;35,BY94+BX95-CG94,IF(A95&lt;'Données projet'!$A$114,$BV$205^A95,IF(A95='Données projet'!$A$114,'Données projet'!$B$114,BY94+BX95-CG94)))</f>
        <v>263.79999999999978</v>
      </c>
      <c r="BZ95" s="13">
        <f>BY95*VLOOKUP('Données projet'!$B$12,Paramètres!$A$1:$I$89,3,0)*VLOOKUP('Données projet'!$B$12,Paramètres!$A$1:$I$89,5,0)</f>
        <v>251.03207999999981</v>
      </c>
      <c r="CA95" s="13">
        <f t="shared" si="93"/>
        <v>60.80689223193356</v>
      </c>
      <c r="CB95" s="20">
        <f t="shared" si="64"/>
        <v>543.11954330395054</v>
      </c>
      <c r="CC95" s="57">
        <f t="shared" si="65"/>
        <v>818.1298453470622</v>
      </c>
      <c r="CD95" s="57">
        <f ca="1">AVERAGE(OFFSET($CC$3,0,0,'Données projet'!$E$12+1,1))-AVERAGE(OFFSET($H$3,0,0,'Données projet'!$E$12+1,1))</f>
        <v>479.4551766174892</v>
      </c>
      <c r="CE95" s="57">
        <f t="shared" si="94"/>
        <v>260.29028006191834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-2.2737367544323206E-13</v>
      </c>
      <c r="CU95" s="17">
        <f>CT95*VLOOKUP('Données projet'!$B$13,Paramètres!$A$1:$I$89,3,0)*VLOOKUP('Données projet'!$B$13,Paramètres!$A$1:$I$89,5,0)</f>
        <v>-1.2710188457276673E-13</v>
      </c>
      <c r="CV95" s="13" t="e">
        <f t="shared" si="95"/>
        <v>#NUM!</v>
      </c>
      <c r="CW95" s="20" t="e">
        <f t="shared" si="67"/>
        <v>#NUM!</v>
      </c>
      <c r="CX95" s="57" t="e">
        <f t="shared" si="68"/>
        <v>#NUM!</v>
      </c>
      <c r="CY95" s="57">
        <f ca="1">AVERAGE(OFFSET($CX$3,0,0,'Données projet'!$E$13+1,1))-AVERAGE(OFFSET($H$3,0,0,'Données projet'!$E$13+1,1))</f>
        <v>459.83870442974046</v>
      </c>
      <c r="CZ95" s="57">
        <f t="shared" si="96"/>
        <v>565.68976940602215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137.31222127252187</v>
      </c>
      <c r="DG95" s="21">
        <f>EXP(-LN(2)/25)*DG94+(1-EXP(-LN(2)/25))/(LN(2)/25)*Calculateur!DB95*Calculateur!DD95*VLOOKUP('Données projet'!$B$13,Paramètres!$A$1:$I$89,3,0)*0.475*44/12</f>
        <v>26.529672874603907</v>
      </c>
      <c r="DH95" s="21">
        <f>EXP(-LN(2)/2)*DH94+(1-EXP(-LN(2)/2))/(LN(2)/2)*DB95*DE95*VLOOKUP('Données projet'!$B$13,Paramètres!$A$1:$I$89,3,0)*0.475*44/12</f>
        <v>8.5938797600264424E-4</v>
      </c>
      <c r="DI95" s="22">
        <f t="shared" si="69"/>
        <v>163.84275353510176</v>
      </c>
      <c r="DJ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7" t="e">
        <f t="shared" si="71"/>
        <v>#NUM!</v>
      </c>
      <c r="DT95" s="57">
        <f ca="1">AVERAGE(OFFSET($DS$3,0,0,'Données projet'!$E$14+1,1))-AVERAGE(OFFSET($H$3,0,0,'Données projet'!$E$14+1,1))</f>
        <v>315.23504986325418</v>
      </c>
      <c r="DU95" s="57">
        <f t="shared" si="98"/>
        <v>350.52837099886688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74.617435978867306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74.617435978867306</v>
      </c>
      <c r="EE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3.7999999999999994</v>
      </c>
      <c r="EJ95" s="12">
        <f>IF('Données projet'!$A$192&gt;35,EJ94+EI95-ER94,IF(A95&lt;'Données projet'!$A$192,$EG$205^A95,IF(A95='Données projet'!$A$192,'Données projet'!$B$192,EJ94+EI95-ER94)))</f>
        <v>130.79999999999993</v>
      </c>
      <c r="EK95" s="17">
        <f>EJ95*VLOOKUP('Données projet'!$B$15,Paramètres!$A$1:$I$89,3,0)*VLOOKUP('Données projet'!$B$15,Paramètres!$A$1:$I$89,5,0)</f>
        <v>126.50975999999991</v>
      </c>
      <c r="EL95" s="13">
        <f t="shared" si="99"/>
        <v>33.188594384884212</v>
      </c>
      <c r="EM95" s="20">
        <f t="shared" si="73"/>
        <v>278.14130055367315</v>
      </c>
      <c r="EN95" s="57">
        <f t="shared" si="74"/>
        <v>553.15160259678487</v>
      </c>
      <c r="EO95" s="57">
        <f ca="1">AVERAGE(OFFSET($EN$3,0,0,'Données projet'!$E$15+1,1))-AVERAGE(OFFSET($H$3,0,0,'Données projet'!$E$15+1,1))</f>
        <v>328.31200866623891</v>
      </c>
      <c r="EP95" s="57">
        <f t="shared" si="100"/>
        <v>195.52650232917446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25.45036274567104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25.45036274567104</v>
      </c>
      <c r="EZ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7" t="e">
        <f t="shared" si="77"/>
        <v>#NUM!</v>
      </c>
      <c r="FJ95" s="57">
        <f ca="1">AVERAGE(OFFSET($FI$3,0,0,'Données projet'!$E$16+1,1))-AVERAGE(OFFSET($H$3,0,0,'Données projet'!$E$16+1,1))</f>
        <v>142.88219003619457</v>
      </c>
      <c r="FK95" s="57">
        <f t="shared" si="102"/>
        <v>288.69704547625088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14.380919887473251</v>
      </c>
      <c r="FR95" s="21">
        <f>EXP(-LN(2)/25)*FR94+(1-EXP(-LN(2)/25))/(LN(2)/25)*Calculateur!FM95*Calculateur!FO95*VLOOKUP('Données projet'!$B$16,Paramètres!$A$1:$I$89,3,0)*0.475*44/12</f>
        <v>2.2260634502553005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16.606983337728551</v>
      </c>
      <c r="FU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7" t="e">
        <f t="shared" si="80"/>
        <v>#N/A</v>
      </c>
      <c r="GE95" s="57" t="e">
        <f ca="1">AVERAGE(OFFSET($GD$3,0,0,'Données projet'!$E$17+1,1))-AVERAGE(OFFSET($H$3,0,0,'Données projet'!$E$17+1,1))</f>
        <v>#N/A</v>
      </c>
      <c r="GF95" s="57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7" t="e">
        <f t="shared" si="83"/>
        <v>#N/A</v>
      </c>
      <c r="GZ95" s="57" t="e">
        <f ca="1">AVERAGE(OFFSET($GY$3,0,0,'Données projet'!$E$18+1,1))-AVERAGE(OFFSET($H$3,0,0,'Données projet'!$E$18+1,1))</f>
        <v>#N/A</v>
      </c>
      <c r="HA95" s="57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1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5">
        <f t="shared" si="56"/>
        <v>183.33333333333334</v>
      </c>
      <c r="I96" s="6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6.3</v>
      </c>
      <c r="N96" s="13">
        <f>IF('Données projet'!$A$36&gt;35,N95+M96-V95,IF(A96&lt;'Données projet'!$A$36,$K$205^A96,IF(A96='Données projet'!$A$36,'Données projet'!$B$36,N95+M96-V95)))</f>
        <v>348.40000000000015</v>
      </c>
      <c r="O96" s="13">
        <f>N96*VLOOKUP('Données projet'!$B$9,Paramètres!$A$1:$I$89,3,0)*VLOOKUP('Données projet'!$B$9,Paramètres!$A$1:$I$89,5,0)</f>
        <v>315.23232000000013</v>
      </c>
      <c r="P96" s="13">
        <f t="shared" si="87"/>
        <v>74.360480118488482</v>
      </c>
      <c r="Q96" s="20">
        <f t="shared" si="54"/>
        <v>678.54079353970099</v>
      </c>
      <c r="R96" s="57">
        <f t="shared" si="55"/>
        <v>953.868959211537</v>
      </c>
      <c r="S96" s="57">
        <f ca="1">AVERAGE(OFFSET($R$3,0,0,'Données projet'!$E$9+1,1))-AVERAGE(OFFSET($H$3,0,0,'Données projet'!$E$9+1,1))</f>
        <v>539.63700256763173</v>
      </c>
      <c r="T96" s="57">
        <f t="shared" si="88"/>
        <v>297.32483725004136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6.3</v>
      </c>
      <c r="AI96" s="13">
        <f>IF('Données projet'!$A$62&gt;35,AI95+AH96-AQ95,IF(A96&lt;'Données projet'!$A$62,$AF$205^A96,IF(A96='Données projet'!$A$62,'Données projet'!$B$62,AI95+AH96-AQ95)))</f>
        <v>348.40000000000015</v>
      </c>
      <c r="AJ96" s="13">
        <f>AI96*VLOOKUP('Données projet'!$B$10,Paramètres!$A$1:$I$89,3,0)*VLOOKUP('Données projet'!$B$10,Paramètres!$A$1:$I$89,5,0)</f>
        <v>293.49216000000013</v>
      </c>
      <c r="AK96" s="13">
        <f t="shared" si="89"/>
        <v>69.810433727546524</v>
      </c>
      <c r="AL96" s="20">
        <f t="shared" si="58"/>
        <v>632.75201740881039</v>
      </c>
      <c r="AM96" s="57">
        <f t="shared" si="59"/>
        <v>908.08018308064629</v>
      </c>
      <c r="AN96" s="57">
        <f ca="1">AVERAGE(OFFSET($AM$3,0,0,'Données projet'!$E$10+1,1))-AVERAGE(OFFSET($H$3,0,0,'Données projet'!$E$10+1,1))</f>
        <v>508.21188526136734</v>
      </c>
      <c r="AO96" s="57">
        <f t="shared" si="90"/>
        <v>281.06176764290592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8.0678034979423732</v>
      </c>
      <c r="BD96" s="12">
        <f>IF('Données projet'!$A$88&gt;35,BD95+BC96-BL95,IF(A96&lt;'Données projet'!$A$88,$BA$205^A96,IF(A96='Données projet'!$A$88,'Données projet'!$B$88,BD95+BC96-BL95)))</f>
        <v>543.47903635116586</v>
      </c>
      <c r="BE96" s="13">
        <f>BD96*VLOOKUP('Données projet'!$B$11,Paramètres!$A$1:$I$89,3,0)*VLOOKUP('Données projet'!$B$11,Paramètres!$A$1:$I$89,5,0)</f>
        <v>254.34818901234564</v>
      </c>
      <c r="BF96" s="13">
        <f t="shared" si="91"/>
        <v>61.516103618045648</v>
      </c>
      <c r="BG96" s="20">
        <f t="shared" si="61"/>
        <v>550.13030966459814</v>
      </c>
      <c r="BH96" s="57">
        <f t="shared" si="62"/>
        <v>825.45847533643405</v>
      </c>
      <c r="BI96" s="57">
        <f ca="1">AVERAGE(OFFSET($BH$3,0,0,'Données projet'!$E$11+1,1))-AVERAGE(OFFSET($H$3,0,0,'Données projet'!$E$11+1,1))</f>
        <v>449.50723280509311</v>
      </c>
      <c r="BJ96" s="57">
        <f t="shared" si="92"/>
        <v>281.26353650058275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102.99751196938516</v>
      </c>
      <c r="BQ96" s="21">
        <f>EXP(-LN(2)/25)*BQ95+(1-EXP(-LN(2)/25))/(LN(2)/25)*Calculateur!BL96*Calculateur!BN96*VLOOKUP('Données projet'!$B$11,Paramètres!$A$1:$I$89,3,0)*0.475*44/12</f>
        <v>22.274655897763846</v>
      </c>
      <c r="BR96" s="21">
        <f>EXP(-LN(2)/2)*BR95+(1-EXP(-LN(2)/2))/(LN(2)/2)*BL96*BO96*VLOOKUP('Données projet'!$B$11,Paramètres!$A$1:$I$89,3,0)*0.475*44/12</f>
        <v>4.0821701460543878</v>
      </c>
      <c r="BS96" s="22">
        <f t="shared" si="63"/>
        <v>129.3543380132034</v>
      </c>
      <c r="BT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4.9000000000000004</v>
      </c>
      <c r="BY96" s="12">
        <f>IF('Données projet'!$A$114&gt;35,BY95+BX96-CG95,IF(A96&lt;'Données projet'!$A$114,$BV$205^A96,IF(A96='Données projet'!$A$114,'Données projet'!$B$114,BY95+BX96-CG95)))</f>
        <v>268.69999999999976</v>
      </c>
      <c r="BZ96" s="13">
        <f>BY96*VLOOKUP('Données projet'!$B$12,Paramètres!$A$1:$I$89,3,0)*VLOOKUP('Données projet'!$B$12,Paramètres!$A$1:$I$89,5,0)</f>
        <v>255.69491999999977</v>
      </c>
      <c r="CA96" s="13">
        <f t="shared" si="93"/>
        <v>61.803819039760484</v>
      </c>
      <c r="CB96" s="20">
        <f t="shared" si="64"/>
        <v>552.97697049424903</v>
      </c>
      <c r="CC96" s="57">
        <f t="shared" si="65"/>
        <v>828.30513616608505</v>
      </c>
      <c r="CD96" s="57">
        <f ca="1">AVERAGE(OFFSET($CC$3,0,0,'Données projet'!$E$12+1,1))-AVERAGE(OFFSET($H$3,0,0,'Données projet'!$E$12+1,1))</f>
        <v>479.4551766174892</v>
      </c>
      <c r="CE96" s="57">
        <f t="shared" si="94"/>
        <v>260.29028006191834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-2.2737367544323206E-13</v>
      </c>
      <c r="CU96" s="17">
        <f>CT96*VLOOKUP('Données projet'!$B$13,Paramètres!$A$1:$I$89,3,0)*VLOOKUP('Données projet'!$B$13,Paramètres!$A$1:$I$89,5,0)</f>
        <v>-1.2710188457276673E-13</v>
      </c>
      <c r="CV96" s="13" t="e">
        <f t="shared" si="95"/>
        <v>#NUM!</v>
      </c>
      <c r="CW96" s="20" t="e">
        <f t="shared" si="67"/>
        <v>#NUM!</v>
      </c>
      <c r="CX96" s="57" t="e">
        <f t="shared" si="68"/>
        <v>#NUM!</v>
      </c>
      <c r="CY96" s="57">
        <f ca="1">AVERAGE(OFFSET($CX$3,0,0,'Données projet'!$E$13+1,1))-AVERAGE(OFFSET($H$3,0,0,'Données projet'!$E$13+1,1))</f>
        <v>459.83870442974046</v>
      </c>
      <c r="CZ96" s="57">
        <f t="shared" si="96"/>
        <v>565.68976940602215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134.61961236555285</v>
      </c>
      <c r="DG96" s="21">
        <f>EXP(-LN(2)/25)*DG95+(1-EXP(-LN(2)/25))/(LN(2)/25)*Calculateur!DB96*Calculateur!DD96*VLOOKUP('Données projet'!$B$13,Paramètres!$A$1:$I$89,3,0)*0.475*44/12</f>
        <v>25.804217574713</v>
      </c>
      <c r="DH96" s="21">
        <f>EXP(-LN(2)/2)*DH95+(1-EXP(-LN(2)/2))/(LN(2)/2)*DB96*DE96*VLOOKUP('Données projet'!$B$13,Paramètres!$A$1:$I$89,3,0)*0.475*44/12</f>
        <v>6.076790655016517E-4</v>
      </c>
      <c r="DI96" s="22">
        <f t="shared" si="69"/>
        <v>160.42443761933134</v>
      </c>
      <c r="DJ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7" t="e">
        <f t="shared" si="71"/>
        <v>#NUM!</v>
      </c>
      <c r="DT96" s="57">
        <f ca="1">AVERAGE(OFFSET($DS$3,0,0,'Données projet'!$E$14+1,1))-AVERAGE(OFFSET($H$3,0,0,'Données projet'!$E$14+1,1))</f>
        <v>315.23504986325418</v>
      </c>
      <c r="DU96" s="57">
        <f t="shared" si="98"/>
        <v>350.52837099886688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73.15423357146372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73.15423357146372</v>
      </c>
      <c r="EE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3.7999999999999994</v>
      </c>
      <c r="EJ96" s="12">
        <f>IF('Données projet'!$A$192&gt;35,EJ95+EI96-ER95,IF(A96&lt;'Données projet'!$A$192,$EG$205^A96,IF(A96='Données projet'!$A$192,'Données projet'!$B$192,EJ95+EI96-ER95)))</f>
        <v>134.59999999999994</v>
      </c>
      <c r="EK96" s="17">
        <f>EJ96*VLOOKUP('Données projet'!$B$15,Paramètres!$A$1:$I$89,3,0)*VLOOKUP('Données projet'!$B$15,Paramètres!$A$1:$I$89,5,0)</f>
        <v>130.18511999999993</v>
      </c>
      <c r="EL96" s="13">
        <f t="shared" si="99"/>
        <v>34.039131585848828</v>
      </c>
      <c r="EM96" s="20">
        <f t="shared" si="73"/>
        <v>286.02390484535323</v>
      </c>
      <c r="EN96" s="57">
        <f t="shared" si="74"/>
        <v>561.35207051718919</v>
      </c>
      <c r="EO96" s="57">
        <f ca="1">AVERAGE(OFFSET($EN$3,0,0,'Données projet'!$E$15+1,1))-AVERAGE(OFFSET($H$3,0,0,'Données projet'!$E$15+1,1))</f>
        <v>328.31200866623891</v>
      </c>
      <c r="EP96" s="57">
        <f t="shared" si="100"/>
        <v>195.52650232917446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24.951296655416918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24.951296655416918</v>
      </c>
      <c r="EZ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7" t="e">
        <f t="shared" si="77"/>
        <v>#NUM!</v>
      </c>
      <c r="FJ96" s="57">
        <f ca="1">AVERAGE(OFFSET($FI$3,0,0,'Données projet'!$E$16+1,1))-AVERAGE(OFFSET($H$3,0,0,'Données projet'!$E$16+1,1))</f>
        <v>142.88219003619457</v>
      </c>
      <c r="FK96" s="57">
        <f t="shared" si="102"/>
        <v>288.69704547625088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14.098918819974919</v>
      </c>
      <c r="FR96" s="21">
        <f>EXP(-LN(2)/25)*FR95+(1-EXP(-LN(2)/25))/(LN(2)/25)*Calculateur!FM96*Calculateur!FO96*VLOOKUP('Données projet'!$B$16,Paramètres!$A$1:$I$89,3,0)*0.475*44/12</f>
        <v>2.1651916281444801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16.2641104481194</v>
      </c>
      <c r="FU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7" t="e">
        <f t="shared" si="80"/>
        <v>#N/A</v>
      </c>
      <c r="GE96" s="57" t="e">
        <f ca="1">AVERAGE(OFFSET($GD$3,0,0,'Données projet'!$E$17+1,1))-AVERAGE(OFFSET($H$3,0,0,'Données projet'!$E$17+1,1))</f>
        <v>#N/A</v>
      </c>
      <c r="GF96" s="57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7" t="e">
        <f t="shared" si="83"/>
        <v>#N/A</v>
      </c>
      <c r="GZ96" s="57" t="e">
        <f ca="1">AVERAGE(OFFSET($GY$3,0,0,'Données projet'!$E$18+1,1))-AVERAGE(OFFSET($H$3,0,0,'Données projet'!$E$18+1,1))</f>
        <v>#N/A</v>
      </c>
      <c r="HA96" s="57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1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5">
        <f t="shared" si="56"/>
        <v>183.33333333333334</v>
      </c>
      <c r="I97" s="6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6.3</v>
      </c>
      <c r="N97" s="13">
        <f>IF('Données projet'!$A$36&gt;35,N96+M97-V96,IF(A97&lt;'Données projet'!$A$36,$K$205^A97,IF(A97='Données projet'!$A$36,'Données projet'!$B$36,N96+M97-V96)))</f>
        <v>354.70000000000016</v>
      </c>
      <c r="O97" s="13">
        <f>N97*VLOOKUP('Données projet'!$B$9,Paramètres!$A$1:$I$89,3,0)*VLOOKUP('Données projet'!$B$9,Paramètres!$A$1:$I$89,5,0)</f>
        <v>320.93256000000014</v>
      </c>
      <c r="P97" s="13">
        <f t="shared" si="87"/>
        <v>75.54735803217622</v>
      </c>
      <c r="Q97" s="20">
        <f t="shared" si="54"/>
        <v>690.53585723937374</v>
      </c>
      <c r="R97" s="57">
        <f t="shared" si="55"/>
        <v>966.17637231661229</v>
      </c>
      <c r="S97" s="57">
        <f ca="1">AVERAGE(OFFSET($R$3,0,0,'Données projet'!$E$9+1,1))-AVERAGE(OFFSET($H$3,0,0,'Données projet'!$E$9+1,1))</f>
        <v>539.63700256763173</v>
      </c>
      <c r="T97" s="57">
        <f t="shared" si="88"/>
        <v>297.32483725004136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6.3</v>
      </c>
      <c r="AI97" s="13">
        <f>IF('Données projet'!$A$62&gt;35,AI96+AH97-AQ96,IF(A97&lt;'Données projet'!$A$62,$AF$205^A97,IF(A97='Données projet'!$A$62,'Données projet'!$B$62,AI96+AH97-AQ96)))</f>
        <v>354.70000000000016</v>
      </c>
      <c r="AJ97" s="13">
        <f>AI97*VLOOKUP('Données projet'!$B$10,Paramètres!$A$1:$I$89,3,0)*VLOOKUP('Données projet'!$B$10,Paramètres!$A$1:$I$89,5,0)</f>
        <v>298.79928000000018</v>
      </c>
      <c r="AK97" s="13">
        <f t="shared" si="89"/>
        <v>70.924687721121671</v>
      </c>
      <c r="AL97" s="20">
        <f t="shared" si="58"/>
        <v>643.93591044762059</v>
      </c>
      <c r="AM97" s="57">
        <f t="shared" si="59"/>
        <v>919.57642552485913</v>
      </c>
      <c r="AN97" s="57">
        <f ca="1">AVERAGE(OFFSET($AM$3,0,0,'Données projet'!$E$10+1,1))-AVERAGE(OFFSET($H$3,0,0,'Données projet'!$E$10+1,1))</f>
        <v>508.21188526136734</v>
      </c>
      <c r="AO97" s="57">
        <f t="shared" si="90"/>
        <v>281.06176764290592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8.0678034979423732</v>
      </c>
      <c r="BD97" s="12">
        <f>IF('Données projet'!$A$88&gt;35,BD96+BC97-BL96,IF(A97&lt;'Données projet'!$A$88,$BA$205^A97,IF(A97='Données projet'!$A$88,'Données projet'!$B$88,BD96+BC97-BL96)))</f>
        <v>551.54683984910821</v>
      </c>
      <c r="BE97" s="13">
        <f>BD97*VLOOKUP('Données projet'!$B$11,Paramètres!$A$1:$I$89,3,0)*VLOOKUP('Données projet'!$B$11,Paramètres!$A$1:$I$89,5,0)</f>
        <v>258.12392104938266</v>
      </c>
      <c r="BF97" s="13">
        <f t="shared" si="91"/>
        <v>62.322305344274874</v>
      </c>
      <c r="BG97" s="20">
        <f t="shared" si="61"/>
        <v>558.11051096895346</v>
      </c>
      <c r="BH97" s="57">
        <f t="shared" si="62"/>
        <v>833.75102604619201</v>
      </c>
      <c r="BI97" s="57">
        <f ca="1">AVERAGE(OFFSET($BH$3,0,0,'Données projet'!$E$11+1,1))-AVERAGE(OFFSET($H$3,0,0,'Données projet'!$E$11+1,1))</f>
        <v>449.50723280509311</v>
      </c>
      <c r="BJ97" s="57">
        <f t="shared" si="92"/>
        <v>281.26353650058275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100.97779358194464</v>
      </c>
      <c r="BQ97" s="21">
        <f>EXP(-LN(2)/25)*BQ96+(1-EXP(-LN(2)/25))/(LN(2)/25)*Calculateur!BL97*Calculateur!BN97*VLOOKUP('Données projet'!$B$11,Paramètres!$A$1:$I$89,3,0)*0.475*44/12</f>
        <v>21.665554260866251</v>
      </c>
      <c r="BR97" s="21">
        <f>EXP(-LN(2)/2)*BR96+(1-EXP(-LN(2)/2))/(LN(2)/2)*BL97*BO97*VLOOKUP('Données projet'!$B$11,Paramètres!$A$1:$I$89,3,0)*0.475*44/12</f>
        <v>2.8865301922323368</v>
      </c>
      <c r="BS97" s="22">
        <f t="shared" si="63"/>
        <v>125.52987803504324</v>
      </c>
      <c r="BT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4.9000000000000004</v>
      </c>
      <c r="BY97" s="12">
        <f>IF('Données projet'!$A$114&gt;35,BY96+BX97-CG96,IF(A97&lt;'Données projet'!$A$114,$BV$205^A97,IF(A97='Données projet'!$A$114,'Données projet'!$B$114,BY96+BX97-CG96)))</f>
        <v>273.59999999999974</v>
      </c>
      <c r="BZ97" s="13">
        <f>BY97*VLOOKUP('Données projet'!$B$12,Paramètres!$A$1:$I$89,3,0)*VLOOKUP('Données projet'!$B$12,Paramètres!$A$1:$I$89,5,0)</f>
        <v>260.35775999999976</v>
      </c>
      <c r="CA97" s="13">
        <f t="shared" si="93"/>
        <v>62.798631826735743</v>
      </c>
      <c r="CB97" s="20">
        <f t="shared" si="64"/>
        <v>562.8307157648976</v>
      </c>
      <c r="CC97" s="57">
        <f t="shared" si="65"/>
        <v>838.47123084213604</v>
      </c>
      <c r="CD97" s="57">
        <f ca="1">AVERAGE(OFFSET($CC$3,0,0,'Données projet'!$E$12+1,1))-AVERAGE(OFFSET($H$3,0,0,'Données projet'!$E$12+1,1))</f>
        <v>479.4551766174892</v>
      </c>
      <c r="CE97" s="57">
        <f t="shared" si="94"/>
        <v>260.29028006191834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-2.2737367544323206E-13</v>
      </c>
      <c r="CU97" s="17">
        <f>CT97*VLOOKUP('Données projet'!$B$13,Paramètres!$A$1:$I$89,3,0)*VLOOKUP('Données projet'!$B$13,Paramètres!$A$1:$I$89,5,0)</f>
        <v>-1.2710188457276673E-13</v>
      </c>
      <c r="CV97" s="13" t="e">
        <f t="shared" si="95"/>
        <v>#NUM!</v>
      </c>
      <c r="CW97" s="20" t="e">
        <f t="shared" si="67"/>
        <v>#NUM!</v>
      </c>
      <c r="CX97" s="57" t="e">
        <f t="shared" si="68"/>
        <v>#NUM!</v>
      </c>
      <c r="CY97" s="57">
        <f ca="1">AVERAGE(OFFSET($CX$3,0,0,'Données projet'!$E$13+1,1))-AVERAGE(OFFSET($H$3,0,0,'Données projet'!$E$13+1,1))</f>
        <v>459.83870442974046</v>
      </c>
      <c r="CZ97" s="57">
        <f t="shared" si="96"/>
        <v>565.68976940602215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131.97980387692024</v>
      </c>
      <c r="DG97" s="21">
        <f>EXP(-LN(2)/25)*DG96+(1-EXP(-LN(2)/25))/(LN(2)/25)*Calculateur!DB97*Calculateur!DD97*VLOOKUP('Données projet'!$B$13,Paramètres!$A$1:$I$89,3,0)*0.475*44/12</f>
        <v>25.098599888147646</v>
      </c>
      <c r="DH97" s="21">
        <f>EXP(-LN(2)/2)*DH96+(1-EXP(-LN(2)/2))/(LN(2)/2)*DB97*DE97*VLOOKUP('Données projet'!$B$13,Paramètres!$A$1:$I$89,3,0)*0.475*44/12</f>
        <v>4.2969398800132212E-4</v>
      </c>
      <c r="DI97" s="22">
        <f t="shared" si="69"/>
        <v>157.07883345905589</v>
      </c>
      <c r="DJ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7" t="e">
        <f t="shared" si="71"/>
        <v>#NUM!</v>
      </c>
      <c r="DT97" s="57">
        <f ca="1">AVERAGE(OFFSET($DS$3,0,0,'Données projet'!$E$14+1,1))-AVERAGE(OFFSET($H$3,0,0,'Données projet'!$E$14+1,1))</f>
        <v>315.23504986325418</v>
      </c>
      <c r="DU97" s="57">
        <f t="shared" si="98"/>
        <v>350.52837099886688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71.719723670803972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71.719723670803972</v>
      </c>
      <c r="EE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3.7999999999999994</v>
      </c>
      <c r="EJ97" s="12">
        <f>IF('Données projet'!$A$192&gt;35,EJ96+EI97-ER96,IF(A97&lt;'Données projet'!$A$192,$EG$205^A97,IF(A97='Données projet'!$A$192,'Données projet'!$B$192,EJ96+EI97-ER96)))</f>
        <v>138.39999999999995</v>
      </c>
      <c r="EK97" s="17">
        <f>EJ97*VLOOKUP('Données projet'!$B$15,Paramètres!$A$1:$I$89,3,0)*VLOOKUP('Données projet'!$B$15,Paramètres!$A$1:$I$89,5,0)</f>
        <v>133.86047999999994</v>
      </c>
      <c r="EL97" s="13">
        <f t="shared" si="99"/>
        <v>34.886877963092971</v>
      </c>
      <c r="EM97" s="20">
        <f t="shared" si="73"/>
        <v>293.90164845238678</v>
      </c>
      <c r="EN97" s="57">
        <f t="shared" si="74"/>
        <v>569.54216352962521</v>
      </c>
      <c r="EO97" s="57">
        <f ca="1">AVERAGE(OFFSET($EN$3,0,0,'Données projet'!$E$15+1,1))-AVERAGE(OFFSET($H$3,0,0,'Données projet'!$E$15+1,1))</f>
        <v>328.31200866623891</v>
      </c>
      <c r="EP97" s="57">
        <f t="shared" si="100"/>
        <v>195.52650232917446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24.462016946792421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24.462016946792421</v>
      </c>
      <c r="EZ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7" t="e">
        <f t="shared" si="77"/>
        <v>#NUM!</v>
      </c>
      <c r="FJ97" s="57">
        <f ca="1">AVERAGE(OFFSET($FI$3,0,0,'Données projet'!$E$16+1,1))-AVERAGE(OFFSET($H$3,0,0,'Données projet'!$E$16+1,1))</f>
        <v>142.88219003619457</v>
      </c>
      <c r="FK97" s="57">
        <f t="shared" si="102"/>
        <v>288.69704547625088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13.822447621406562</v>
      </c>
      <c r="FR97" s="21">
        <f>EXP(-LN(2)/25)*FR96+(1-EXP(-LN(2)/25))/(LN(2)/25)*Calculateur!FM97*Calculateur!FO97*VLOOKUP('Données projet'!$B$16,Paramètres!$A$1:$I$89,3,0)*0.475*44/12</f>
        <v>2.1059843492103902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15.928431970616952</v>
      </c>
      <c r="FU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7" t="e">
        <f t="shared" si="80"/>
        <v>#N/A</v>
      </c>
      <c r="GE97" s="57" t="e">
        <f ca="1">AVERAGE(OFFSET($GD$3,0,0,'Données projet'!$E$17+1,1))-AVERAGE(OFFSET($H$3,0,0,'Données projet'!$E$17+1,1))</f>
        <v>#N/A</v>
      </c>
      <c r="GF97" s="57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7" t="e">
        <f t="shared" si="83"/>
        <v>#N/A</v>
      </c>
      <c r="GZ97" s="57" t="e">
        <f ca="1">AVERAGE(OFFSET($GY$3,0,0,'Données projet'!$E$18+1,1))-AVERAGE(OFFSET($H$3,0,0,'Données projet'!$E$18+1,1))</f>
        <v>#N/A</v>
      </c>
      <c r="HA97" s="57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1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5">
        <f t="shared" si="56"/>
        <v>183.33333333333334</v>
      </c>
      <c r="I98" s="6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361</v>
      </c>
      <c r="L98" s="12">
        <f>VLOOKUP(A98,'Données projet'!$A$35:$I$55,9,0)</f>
        <v>6.3</v>
      </c>
      <c r="M98" s="12">
        <f t="array" ref="M98">INDEX(L:L,MIN(IF(ISNUMBER(L98:L294),ROW(L98:L294),"")))</f>
        <v>6.3</v>
      </c>
      <c r="N98" s="13">
        <f>IF('Données projet'!$A$36&gt;35,N97+M98-V97,IF(A98&lt;'Données projet'!$A$36,$K$205^A98,IF(A98='Données projet'!$A$36,'Données projet'!$B$36,N97+M98-V97)))</f>
        <v>361.00000000000017</v>
      </c>
      <c r="O98" s="13">
        <f>N98*VLOOKUP('Données projet'!$B$9,Paramètres!$A$1:$I$89,3,0)*VLOOKUP('Données projet'!$B$9,Paramètres!$A$1:$I$89,5,0)</f>
        <v>326.63280000000015</v>
      </c>
      <c r="P98" s="13">
        <f t="shared" si="87"/>
        <v>76.731784548754845</v>
      </c>
      <c r="Q98" s="20">
        <f t="shared" si="54"/>
        <v>702.52665142241483</v>
      </c>
      <c r="R98" s="57">
        <f t="shared" si="55"/>
        <v>978.47409734118082</v>
      </c>
      <c r="S98" s="57">
        <f ca="1">AVERAGE(OFFSET($R$3,0,0,'Données projet'!$E$9+1,1))-AVERAGE(OFFSET($H$3,0,0,'Données projet'!$E$9+1,1))</f>
        <v>539.63700256763173</v>
      </c>
      <c r="T98" s="57">
        <f t="shared" si="88"/>
        <v>297.32483725004136</v>
      </c>
      <c r="U98" s="15">
        <f>IF(ISNA(VLOOKUP(A98,'Données projet'!$A$35:$I$55,3,0)),0,VLOOKUP(A98,'Données projet'!$A$35:$I$55,3,0))</f>
        <v>14</v>
      </c>
      <c r="V98" s="15">
        <f>IF(ISNA(VLOOKUP(A98,'Données projet'!$A$35:$I$55,4,0)),0,VLOOKUP(A98,'Données projet'!$A$35:$I$55,4,0))</f>
        <v>56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361</v>
      </c>
      <c r="AG98" s="12">
        <f>VLOOKUP(A98,'Données projet'!$A$61:$I$81,9,0)</f>
        <v>6.3</v>
      </c>
      <c r="AH98" s="12">
        <f t="array" ref="AH98">INDEX(AG:AG,MIN(IF(ISNUMBER(AG98:AG294),ROW(AG98:AG294),"")))</f>
        <v>6.3</v>
      </c>
      <c r="AI98" s="13">
        <f>IF('Données projet'!$A$62&gt;35,AI97+AH98-AQ97,IF(A98&lt;'Données projet'!$A$62,$AF$205^A98,IF(A98='Données projet'!$A$62,'Données projet'!$B$62,AI97+AH98-AQ97)))</f>
        <v>361.00000000000017</v>
      </c>
      <c r="AJ98" s="13">
        <f>AI98*VLOOKUP('Données projet'!$B$10,Paramètres!$A$1:$I$89,3,0)*VLOOKUP('Données projet'!$B$10,Paramètres!$A$1:$I$89,5,0)</f>
        <v>304.10640000000018</v>
      </c>
      <c r="AK98" s="13">
        <f t="shared" si="89"/>
        <v>72.036640316223369</v>
      </c>
      <c r="AL98" s="20">
        <f t="shared" si="58"/>
        <v>655.11579521742271</v>
      </c>
      <c r="AM98" s="57">
        <f t="shared" si="59"/>
        <v>931.06324113618871</v>
      </c>
      <c r="AN98" s="57">
        <f ca="1">AVERAGE(OFFSET($AM$3,0,0,'Données projet'!$E$10+1,1))-AVERAGE(OFFSET($H$3,0,0,'Données projet'!$E$10+1,1))</f>
        <v>508.21188526136734</v>
      </c>
      <c r="AO98" s="57">
        <f t="shared" si="90"/>
        <v>281.06176764290592</v>
      </c>
      <c r="AP98" s="15">
        <f>IF(ISNA(VLOOKUP(A98,'Données projet'!$A$61:$I$81,3,0)),0,VLOOKUP(A98,'Données projet'!$A$61:$I$81,3,0))</f>
        <v>14</v>
      </c>
      <c r="AQ98" s="15">
        <f>IF(ISNA(VLOOKUP(A98,'Données projet'!$A$61:$I$81,4,0)),0,VLOOKUP(A98,'Données projet'!$A$61:$I$81,4,0))</f>
        <v>56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8.0678034979423732</v>
      </c>
      <c r="BD98" s="12">
        <f>IF('Données projet'!$A$88&gt;35,BD97+BC98-BL97,IF(A98&lt;'Données projet'!$A$88,$BA$205^A98,IF(A98='Données projet'!$A$88,'Données projet'!$B$88,BD97+BC98-BL97)))</f>
        <v>559.61464334705056</v>
      </c>
      <c r="BE98" s="13">
        <f>BD98*VLOOKUP('Données projet'!$B$11,Paramètres!$A$1:$I$89,3,0)*VLOOKUP('Données projet'!$B$11,Paramètres!$A$1:$I$89,5,0)</f>
        <v>261.89965308641968</v>
      </c>
      <c r="BF98" s="13">
        <f t="shared" si="91"/>
        <v>63.12713550574599</v>
      </c>
      <c r="BG98" s="20">
        <f t="shared" si="61"/>
        <v>566.08832346468841</v>
      </c>
      <c r="BH98" s="57">
        <f t="shared" si="62"/>
        <v>842.03576938345441</v>
      </c>
      <c r="BI98" s="57">
        <f ca="1">AVERAGE(OFFSET($BH$3,0,0,'Données projet'!$E$11+1,1))-AVERAGE(OFFSET($H$3,0,0,'Données projet'!$E$11+1,1))</f>
        <v>449.50723280509311</v>
      </c>
      <c r="BJ98" s="57">
        <f t="shared" si="92"/>
        <v>281.26353650058275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98.997680640175247</v>
      </c>
      <c r="BQ98" s="21">
        <f>EXP(-LN(2)/25)*BQ97+(1-EXP(-LN(2)/25))/(LN(2)/25)*Calculateur!BL98*Calculateur!BN98*VLOOKUP('Données projet'!$B$11,Paramètres!$A$1:$I$89,3,0)*0.475*44/12</f>
        <v>21.073108540260883</v>
      </c>
      <c r="BR98" s="21">
        <f>EXP(-LN(2)/2)*BR97+(1-EXP(-LN(2)/2))/(LN(2)/2)*BL98*BO98*VLOOKUP('Données projet'!$B$11,Paramètres!$A$1:$I$89,3,0)*0.475*44/12</f>
        <v>2.0410850730271939</v>
      </c>
      <c r="BS98" s="22">
        <f t="shared" si="63"/>
        <v>122.11187425346331</v>
      </c>
      <c r="BT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4.9000000000000004</v>
      </c>
      <c r="BY98" s="12">
        <f>IF('Données projet'!$A$114&gt;35,BY97+BX98-CG97,IF(A98&lt;'Données projet'!$A$114,$BV$205^A98,IF(A98='Données projet'!$A$114,'Données projet'!$B$114,BY97+BX98-CG97)))</f>
        <v>278.49999999999972</v>
      </c>
      <c r="BZ98" s="13">
        <f>BY98*VLOOKUP('Données projet'!$B$12,Paramètres!$A$1:$I$89,3,0)*VLOOKUP('Données projet'!$B$12,Paramètres!$A$1:$I$89,5,0)</f>
        <v>265.02059999999972</v>
      </c>
      <c r="CA98" s="13">
        <f t="shared" si="93"/>
        <v>63.791372821130103</v>
      </c>
      <c r="CB98" s="20">
        <f t="shared" si="64"/>
        <v>572.6808526634677</v>
      </c>
      <c r="CC98" s="57">
        <f t="shared" si="65"/>
        <v>848.62829858223358</v>
      </c>
      <c r="CD98" s="57">
        <f ca="1">AVERAGE(OFFSET($CC$3,0,0,'Données projet'!$E$12+1,1))-AVERAGE(OFFSET($H$3,0,0,'Données projet'!$E$12+1,1))</f>
        <v>479.4551766174892</v>
      </c>
      <c r="CE98" s="57">
        <f t="shared" si="94"/>
        <v>260.29028006191834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-2.2737367544323206E-13</v>
      </c>
      <c r="CU98" s="17">
        <f>CT98*VLOOKUP('Données projet'!$B$13,Paramètres!$A$1:$I$89,3,0)*VLOOKUP('Données projet'!$B$13,Paramètres!$A$1:$I$89,5,0)</f>
        <v>-1.2710188457276673E-13</v>
      </c>
      <c r="CV98" s="13" t="e">
        <f t="shared" si="95"/>
        <v>#NUM!</v>
      </c>
      <c r="CW98" s="20" t="e">
        <f t="shared" si="67"/>
        <v>#NUM!</v>
      </c>
      <c r="CX98" s="57" t="e">
        <f t="shared" si="68"/>
        <v>#NUM!</v>
      </c>
      <c r="CY98" s="57">
        <f ca="1">AVERAGE(OFFSET($CX$3,0,0,'Données projet'!$E$13+1,1))-AVERAGE(OFFSET($H$3,0,0,'Données projet'!$E$13+1,1))</f>
        <v>459.83870442974046</v>
      </c>
      <c r="CZ98" s="57">
        <f t="shared" si="96"/>
        <v>565.68976940602215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129.39176042262551</v>
      </c>
      <c r="DG98" s="21">
        <f>EXP(-LN(2)/25)*DG97+(1-EXP(-LN(2)/25))/(LN(2)/25)*Calculateur!DB98*Calculateur!DD98*VLOOKUP('Données projet'!$B$13,Paramètres!$A$1:$I$89,3,0)*0.475*44/12</f>
        <v>24.412277354328243</v>
      </c>
      <c r="DH98" s="21">
        <f>EXP(-LN(2)/2)*DH97+(1-EXP(-LN(2)/2))/(LN(2)/2)*DB98*DE98*VLOOKUP('Données projet'!$B$13,Paramètres!$A$1:$I$89,3,0)*0.475*44/12</f>
        <v>3.0383953275082585E-4</v>
      </c>
      <c r="DI98" s="22">
        <f t="shared" si="69"/>
        <v>153.80434161648651</v>
      </c>
      <c r="DJ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7" t="e">
        <f t="shared" si="71"/>
        <v>#NUM!</v>
      </c>
      <c r="DT98" s="57">
        <f ca="1">AVERAGE(OFFSET($DS$3,0,0,'Données projet'!$E$14+1,1))-AVERAGE(OFFSET($H$3,0,0,'Données projet'!$E$14+1,1))</f>
        <v>315.23504986325418</v>
      </c>
      <c r="DU98" s="57">
        <f t="shared" si="98"/>
        <v>350.52837099886688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70.313343634331517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70.313343634331517</v>
      </c>
      <c r="EE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3.7999999999999994</v>
      </c>
      <c r="EJ98" s="12">
        <f>IF('Données projet'!$A$192&gt;35,EJ97+EI98-ER97,IF(A98&lt;'Données projet'!$A$192,$EG$205^A98,IF(A98='Données projet'!$A$192,'Données projet'!$B$192,EJ97+EI98-ER97)))</f>
        <v>142.19999999999996</v>
      </c>
      <c r="EK98" s="17">
        <f>EJ98*VLOOKUP('Données projet'!$B$15,Paramètres!$A$1:$I$89,3,0)*VLOOKUP('Données projet'!$B$15,Paramètres!$A$1:$I$89,5,0)</f>
        <v>137.53583999999995</v>
      </c>
      <c r="EL98" s="13">
        <f t="shared" si="99"/>
        <v>35.731918947808438</v>
      </c>
      <c r="EM98" s="20">
        <f t="shared" si="73"/>
        <v>301.7746801674329</v>
      </c>
      <c r="EN98" s="57">
        <f t="shared" si="74"/>
        <v>577.72212608619884</v>
      </c>
      <c r="EO98" s="57">
        <f ca="1">AVERAGE(OFFSET($EN$3,0,0,'Données projet'!$E$15+1,1))-AVERAGE(OFFSET($H$3,0,0,'Données projet'!$E$15+1,1))</f>
        <v>328.31200866623891</v>
      </c>
      <c r="EP98" s="57">
        <f t="shared" si="100"/>
        <v>195.52650232917446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23.982331714822894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23.982331714822894</v>
      </c>
      <c r="EZ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7" t="e">
        <f t="shared" si="77"/>
        <v>#NUM!</v>
      </c>
      <c r="FJ98" s="57">
        <f ca="1">AVERAGE(OFFSET($FI$3,0,0,'Données projet'!$E$16+1,1))-AVERAGE(OFFSET($H$3,0,0,'Données projet'!$E$16+1,1))</f>
        <v>142.88219003619457</v>
      </c>
      <c r="FK98" s="57">
        <f t="shared" si="102"/>
        <v>288.69704547625088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13.55139785441135</v>
      </c>
      <c r="FR98" s="21">
        <f>EXP(-LN(2)/25)*FR97+(1-EXP(-LN(2)/25))/(LN(2)/25)*Calculateur!FM98*Calculateur!FO98*VLOOKUP('Données projet'!$B$16,Paramètres!$A$1:$I$89,3,0)*0.475*44/12</f>
        <v>2.0483960964323287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15.599793950843679</v>
      </c>
      <c r="FU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7" t="e">
        <f t="shared" si="80"/>
        <v>#N/A</v>
      </c>
      <c r="GE98" s="57" t="e">
        <f ca="1">AVERAGE(OFFSET($GD$3,0,0,'Données projet'!$E$17+1,1))-AVERAGE(OFFSET($H$3,0,0,'Données projet'!$E$17+1,1))</f>
        <v>#N/A</v>
      </c>
      <c r="GF98" s="57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7" t="e">
        <f t="shared" si="83"/>
        <v>#N/A</v>
      </c>
      <c r="GZ98" s="57" t="e">
        <f ca="1">AVERAGE(OFFSET($GY$3,0,0,'Données projet'!$E$18+1,1))-AVERAGE(OFFSET($H$3,0,0,'Données projet'!$E$18+1,1))</f>
        <v>#N/A</v>
      </c>
      <c r="HA98" s="57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1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5">
        <f t="shared" si="56"/>
        <v>183.33333333333334</v>
      </c>
      <c r="I99" s="6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5.5</v>
      </c>
      <c r="N99" s="13">
        <f>IF('Données projet'!$A$36&gt;35,N98+M99-V98,IF(A99&lt;'Données projet'!$A$36,$K$205^A99,IF(A99='Données projet'!$A$36,'Données projet'!$B$36,N98+M99-V98)))</f>
        <v>310.50000000000017</v>
      </c>
      <c r="O99" s="13">
        <f>N99*VLOOKUP('Données projet'!$B$9,Paramètres!$A$1:$I$89,3,0)*VLOOKUP('Données projet'!$B$9,Paramètres!$A$1:$I$89,5,0)</f>
        <v>280.94040000000012</v>
      </c>
      <c r="P99" s="13">
        <f t="shared" si="87"/>
        <v>67.165703636653262</v>
      </c>
      <c r="Q99" s="20">
        <f t="shared" ref="Q99:Q130" si="107">(O99+P99)*0.475*44/12</f>
        <v>606.2847971671714</v>
      </c>
      <c r="R99" s="57">
        <f t="shared" si="55"/>
        <v>882.53384936355883</v>
      </c>
      <c r="S99" s="57">
        <f ca="1">AVERAGE(OFFSET($R$3,0,0,'Données projet'!$E$9+1,1))-AVERAGE(OFFSET($H$3,0,0,'Données projet'!$E$9+1,1))</f>
        <v>539.63700256763173</v>
      </c>
      <c r="T99" s="57">
        <f t="shared" si="88"/>
        <v>297.32483725004136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5.5</v>
      </c>
      <c r="AI99" s="13">
        <f>IF('Données projet'!$A$62&gt;35,AI98+AH99-AQ98,IF(A99&lt;'Données projet'!$A$62,$AF$205^A99,IF(A99='Données projet'!$A$62,'Données projet'!$B$62,AI98+AH99-AQ98)))</f>
        <v>310.50000000000017</v>
      </c>
      <c r="AJ99" s="13">
        <f>AI99*VLOOKUP('Données projet'!$B$10,Paramètres!$A$1:$I$89,3,0)*VLOOKUP('Données projet'!$B$10,Paramètres!$A$1:$I$89,5,0)</f>
        <v>261.56520000000017</v>
      </c>
      <c r="AK99" s="13">
        <f t="shared" si="89"/>
        <v>63.055898711509393</v>
      </c>
      <c r="AL99" s="20">
        <f t="shared" si="58"/>
        <v>565.38174692254574</v>
      </c>
      <c r="AM99" s="57">
        <f t="shared" si="59"/>
        <v>841.63079911893317</v>
      </c>
      <c r="AN99" s="57">
        <f ca="1">AVERAGE(OFFSET($AM$3,0,0,'Données projet'!$E$10+1,1))-AVERAGE(OFFSET($H$3,0,0,'Données projet'!$E$10+1,1))</f>
        <v>508.21188526136734</v>
      </c>
      <c r="AO99" s="57">
        <f t="shared" si="90"/>
        <v>281.06176764290592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8.0678034979423732</v>
      </c>
      <c r="BD99" s="12">
        <f>IF('Données projet'!$A$88&gt;35,BD98+BC99-BL98,IF(A99&lt;'Données projet'!$A$88,$BA$205^A99,IF(A99='Données projet'!$A$88,'Données projet'!$B$88,BD98+BC99-BL98)))</f>
        <v>567.68244684499291</v>
      </c>
      <c r="BE99" s="13">
        <f>BD99*VLOOKUP('Données projet'!$B$11,Paramètres!$A$1:$I$89,3,0)*VLOOKUP('Données projet'!$B$11,Paramètres!$A$1:$I$89,5,0)</f>
        <v>265.67538512345669</v>
      </c>
      <c r="BF99" s="13">
        <f t="shared" si="91"/>
        <v>63.930616160570338</v>
      </c>
      <c r="BG99" s="20">
        <f t="shared" si="61"/>
        <v>574.06378556968036</v>
      </c>
      <c r="BH99" s="57">
        <f t="shared" si="62"/>
        <v>850.31283776606779</v>
      </c>
      <c r="BI99" s="57">
        <f ca="1">AVERAGE(OFFSET($BH$3,0,0,'Données projet'!$E$11+1,1))-AVERAGE(OFFSET($H$3,0,0,'Données projet'!$E$11+1,1))</f>
        <v>449.50723280509311</v>
      </c>
      <c r="BJ99" s="57">
        <f t="shared" si="92"/>
        <v>281.26353650058275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97.056396505444312</v>
      </c>
      <c r="BQ99" s="21">
        <f>EXP(-LN(2)/25)*BQ98+(1-EXP(-LN(2)/25))/(LN(2)/25)*Calculateur!BL99*Calculateur!BN99*VLOOKUP('Données projet'!$B$11,Paramètres!$A$1:$I$89,3,0)*0.475*44/12</f>
        <v>20.496863279040834</v>
      </c>
      <c r="BR99" s="21">
        <f>EXP(-LN(2)/2)*BR98+(1-EXP(-LN(2)/2))/(LN(2)/2)*BL99*BO99*VLOOKUP('Données projet'!$B$11,Paramètres!$A$1:$I$89,3,0)*0.475*44/12</f>
        <v>1.4432650961161684</v>
      </c>
      <c r="BS99" s="22">
        <f t="shared" si="63"/>
        <v>118.99652488060131</v>
      </c>
      <c r="BT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4.9000000000000004</v>
      </c>
      <c r="BY99" s="12">
        <f>IF('Données projet'!$A$114&gt;35,BY98+BX99-CG98,IF(A99&lt;'Données projet'!$A$114,$BV$205^A99,IF(A99='Données projet'!$A$114,'Données projet'!$B$114,BY98+BX99-CG98)))</f>
        <v>283.39999999999969</v>
      </c>
      <c r="BZ99" s="13">
        <f>BY99*VLOOKUP('Données projet'!$B$12,Paramètres!$A$1:$I$89,3,0)*VLOOKUP('Données projet'!$B$12,Paramètres!$A$1:$I$89,5,0)</f>
        <v>269.68343999999968</v>
      </c>
      <c r="CA99" s="13">
        <f t="shared" si="93"/>
        <v>64.782082680148662</v>
      </c>
      <c r="CB99" s="20">
        <f t="shared" si="64"/>
        <v>582.52745200125833</v>
      </c>
      <c r="CC99" s="57">
        <f t="shared" si="65"/>
        <v>858.77650419764575</v>
      </c>
      <c r="CD99" s="57">
        <f ca="1">AVERAGE(OFFSET($CC$3,0,0,'Données projet'!$E$12+1,1))-AVERAGE(OFFSET($H$3,0,0,'Données projet'!$E$12+1,1))</f>
        <v>479.4551766174892</v>
      </c>
      <c r="CE99" s="57">
        <f t="shared" si="94"/>
        <v>260.29028006191834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-2.2737367544323206E-13</v>
      </c>
      <c r="CU99" s="17">
        <f>CT99*VLOOKUP('Données projet'!$B$13,Paramètres!$A$1:$I$89,3,0)*VLOOKUP('Données projet'!$B$13,Paramètres!$A$1:$I$89,5,0)</f>
        <v>-1.2710188457276673E-13</v>
      </c>
      <c r="CV99" s="13" t="e">
        <f t="shared" si="95"/>
        <v>#NUM!</v>
      </c>
      <c r="CW99" s="20" t="e">
        <f t="shared" si="67"/>
        <v>#NUM!</v>
      </c>
      <c r="CX99" s="57" t="e">
        <f t="shared" si="68"/>
        <v>#NUM!</v>
      </c>
      <c r="CY99" s="57">
        <f ca="1">AVERAGE(OFFSET($CX$3,0,0,'Données projet'!$E$13+1,1))-AVERAGE(OFFSET($H$3,0,0,'Données projet'!$E$13+1,1))</f>
        <v>459.83870442974046</v>
      </c>
      <c r="CZ99" s="57">
        <f t="shared" si="96"/>
        <v>565.68976940602215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126.85446692191886</v>
      </c>
      <c r="DG99" s="21">
        <f>EXP(-LN(2)/25)*DG98+(1-EXP(-LN(2)/25))/(LN(2)/25)*Calculateur!DB99*Calculateur!DD99*VLOOKUP('Données projet'!$B$13,Paramètres!$A$1:$I$89,3,0)*0.475*44/12</f>
        <v>23.744722346288267</v>
      </c>
      <c r="DH99" s="21">
        <f>EXP(-LN(2)/2)*DH98+(1-EXP(-LN(2)/2))/(LN(2)/2)*DB99*DE99*VLOOKUP('Données projet'!$B$13,Paramètres!$A$1:$I$89,3,0)*0.475*44/12</f>
        <v>2.1484699400066106E-4</v>
      </c>
      <c r="DI99" s="22">
        <f t="shared" si="69"/>
        <v>150.59940411520111</v>
      </c>
      <c r="DJ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7" t="e">
        <f t="shared" si="71"/>
        <v>#NUM!</v>
      </c>
      <c r="DT99" s="57">
        <f ca="1">AVERAGE(OFFSET($DS$3,0,0,'Données projet'!$E$14+1,1))-AVERAGE(OFFSET($H$3,0,0,'Données projet'!$E$14+1,1))</f>
        <v>315.23504986325418</v>
      </c>
      <c r="DU99" s="57">
        <f t="shared" si="98"/>
        <v>350.52837099886688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68.934541852567165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68.934541852567165</v>
      </c>
      <c r="EE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3.7999999999999994</v>
      </c>
      <c r="EJ99" s="12">
        <f>IF('Données projet'!$A$192&gt;35,EJ98+EI99-ER98,IF(A99&lt;'Données projet'!$A$192,$EG$205^A99,IF(A99='Données projet'!$A$192,'Données projet'!$B$192,EJ98+EI99-ER98)))</f>
        <v>145.99999999999997</v>
      </c>
      <c r="EK99" s="17">
        <f>EJ99*VLOOKUP('Données projet'!$B$15,Paramètres!$A$1:$I$89,3,0)*VLOOKUP('Données projet'!$B$15,Paramètres!$A$1:$I$89,5,0)</f>
        <v>141.21119999999996</v>
      </c>
      <c r="EL99" s="13">
        <f t="shared" si="99"/>
        <v>36.574335145278738</v>
      </c>
      <c r="EM99" s="20">
        <f t="shared" si="73"/>
        <v>309.64314037802706</v>
      </c>
      <c r="EN99" s="57">
        <f t="shared" si="74"/>
        <v>585.89219257441448</v>
      </c>
      <c r="EO99" s="57">
        <f ca="1">AVERAGE(OFFSET($EN$3,0,0,'Données projet'!$E$15+1,1))-AVERAGE(OFFSET($H$3,0,0,'Données projet'!$E$15+1,1))</f>
        <v>328.31200866623891</v>
      </c>
      <c r="EP99" s="57">
        <f t="shared" si="100"/>
        <v>195.52650232917446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23.51205281767319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23.51205281767319</v>
      </c>
      <c r="EZ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7" t="e">
        <f t="shared" si="77"/>
        <v>#NUM!</v>
      </c>
      <c r="FJ99" s="57">
        <f ca="1">AVERAGE(OFFSET($FI$3,0,0,'Données projet'!$E$16+1,1))-AVERAGE(OFFSET($H$3,0,0,'Données projet'!$E$16+1,1))</f>
        <v>142.88219003619457</v>
      </c>
      <c r="FK99" s="57">
        <f t="shared" si="102"/>
        <v>288.69704547625088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13.28566320802288</v>
      </c>
      <c r="FR99" s="21">
        <f>EXP(-LN(2)/25)*FR98+(1-EXP(-LN(2)/25))/(LN(2)/25)*Calculateur!FM99*Calculateur!FO99*VLOOKUP('Données projet'!$B$16,Paramètres!$A$1:$I$89,3,0)*0.475*44/12</f>
        <v>1.9923825974549176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15.278045805477799</v>
      </c>
      <c r="FU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7" t="e">
        <f t="shared" si="80"/>
        <v>#N/A</v>
      </c>
      <c r="GE99" s="57" t="e">
        <f ca="1">AVERAGE(OFFSET($GD$3,0,0,'Données projet'!$E$17+1,1))-AVERAGE(OFFSET($H$3,0,0,'Données projet'!$E$17+1,1))</f>
        <v>#N/A</v>
      </c>
      <c r="GF99" s="57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7" t="e">
        <f t="shared" si="83"/>
        <v>#N/A</v>
      </c>
      <c r="GZ99" s="57" t="e">
        <f ca="1">AVERAGE(OFFSET($GY$3,0,0,'Données projet'!$E$18+1,1))-AVERAGE(OFFSET($H$3,0,0,'Données projet'!$E$18+1,1))</f>
        <v>#N/A</v>
      </c>
      <c r="HA99" s="57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1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5">
        <f t="shared" si="56"/>
        <v>183.33333333333334</v>
      </c>
      <c r="I100" s="6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5.5</v>
      </c>
      <c r="N100" s="13">
        <f>IF('Données projet'!$A$36&gt;35,N99+M100-V99,IF(A100&lt;'Données projet'!$A$36,$K$205^A100,IF(A100='Données projet'!$A$36,'Données projet'!$B$36,N99+M100-V99)))</f>
        <v>316.00000000000017</v>
      </c>
      <c r="O100" s="13">
        <f>N100*VLOOKUP('Données projet'!$B$9,Paramètres!$A$1:$I$89,3,0)*VLOOKUP('Données projet'!$B$9,Paramètres!$A$1:$I$89,5,0)</f>
        <v>285.91680000000014</v>
      </c>
      <c r="P100" s="13">
        <f t="shared" si="87"/>
        <v>68.215872977287603</v>
      </c>
      <c r="Q100" s="20">
        <f t="shared" si="107"/>
        <v>616.78107210210942</v>
      </c>
      <c r="R100" s="57">
        <f t="shared" si="55"/>
        <v>893.32649838149223</v>
      </c>
      <c r="S100" s="57">
        <f ca="1">AVERAGE(OFFSET($R$3,0,0,'Données projet'!$E$9+1,1))-AVERAGE(OFFSET($H$3,0,0,'Données projet'!$E$9+1,1))</f>
        <v>539.63700256763173</v>
      </c>
      <c r="T100" s="57">
        <f t="shared" si="88"/>
        <v>297.32483725004136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5.5</v>
      </c>
      <c r="AI100" s="13">
        <f>IF('Données projet'!$A$62&gt;35,AI99+AH100-AQ99,IF(A100&lt;'Données projet'!$A$62,$AF$205^A100,IF(A100='Données projet'!$A$62,'Données projet'!$B$62,AI99+AH100-AQ99)))</f>
        <v>316.00000000000017</v>
      </c>
      <c r="AJ100" s="13">
        <f>AI100*VLOOKUP('Données projet'!$B$10,Paramètres!$A$1:$I$89,3,0)*VLOOKUP('Données projet'!$B$10,Paramètres!$A$1:$I$89,5,0)</f>
        <v>266.19840000000016</v>
      </c>
      <c r="AK100" s="13">
        <f t="shared" si="89"/>
        <v>64.041809198373272</v>
      </c>
      <c r="AL100" s="20">
        <f t="shared" si="58"/>
        <v>575.16836435383368</v>
      </c>
      <c r="AM100" s="57">
        <f t="shared" si="59"/>
        <v>851.71379063321649</v>
      </c>
      <c r="AN100" s="57">
        <f ca="1">AVERAGE(OFFSET($AM$3,0,0,'Données projet'!$E$10+1,1))-AVERAGE(OFFSET($H$3,0,0,'Données projet'!$E$10+1,1))</f>
        <v>508.21188526136734</v>
      </c>
      <c r="AO100" s="57">
        <f t="shared" si="90"/>
        <v>281.06176764290592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8.0678034979423732</v>
      </c>
      <c r="BD100" s="12">
        <f>IF('Données projet'!$A$88&gt;35,BD99+BC100-BL99,IF(A100&lt;'Données projet'!$A$88,$BA$205^A100,IF(A100='Données projet'!$A$88,'Données projet'!$B$88,BD99+BC100-BL99)))</f>
        <v>575.75025034293526</v>
      </c>
      <c r="BE100" s="13">
        <f>BD100*VLOOKUP('Données projet'!$B$11,Paramètres!$A$1:$I$89,3,0)*VLOOKUP('Données projet'!$B$11,Paramètres!$A$1:$I$89,5,0)</f>
        <v>269.45111716049371</v>
      </c>
      <c r="BF100" s="13">
        <f t="shared" si="91"/>
        <v>64.732768703879586</v>
      </c>
      <c r="BG100" s="20">
        <f t="shared" si="61"/>
        <v>582.03693454711674</v>
      </c>
      <c r="BH100" s="57">
        <f t="shared" si="62"/>
        <v>858.58236082649955</v>
      </c>
      <c r="BI100" s="57">
        <f ca="1">AVERAGE(OFFSET($BH$3,0,0,'Données projet'!$E$11+1,1))-AVERAGE(OFFSET($H$3,0,0,'Données projet'!$E$11+1,1))</f>
        <v>449.50723280509311</v>
      </c>
      <c r="BJ100" s="57">
        <f t="shared" si="92"/>
        <v>281.26353650058275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95.153179768529043</v>
      </c>
      <c r="BQ100" s="21">
        <f>EXP(-LN(2)/25)*BQ99+(1-EXP(-LN(2)/25))/(LN(2)/25)*Calculateur!BL100*Calculateur!BN100*VLOOKUP('Données projet'!$B$11,Paramètres!$A$1:$I$89,3,0)*0.475*44/12</f>
        <v>19.936375474792268</v>
      </c>
      <c r="BR100" s="21">
        <f>EXP(-LN(2)/2)*BR99+(1-EXP(-LN(2)/2))/(LN(2)/2)*BL100*BO100*VLOOKUP('Données projet'!$B$11,Paramètres!$A$1:$I$89,3,0)*0.475*44/12</f>
        <v>1.0205425365135969</v>
      </c>
      <c r="BS100" s="22">
        <f t="shared" si="63"/>
        <v>116.11009777983492</v>
      </c>
      <c r="BT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4.9000000000000004</v>
      </c>
      <c r="BY100" s="12">
        <f>IF('Données projet'!$A$114&gt;35,BY99+BX100-CG99,IF(A100&lt;'Données projet'!$A$114,$BV$205^A100,IF(A100='Données projet'!$A$114,'Données projet'!$B$114,BY99+BX100-CG99)))</f>
        <v>288.29999999999967</v>
      </c>
      <c r="BZ100" s="13">
        <f>BY100*VLOOKUP('Données projet'!$B$12,Paramètres!$A$1:$I$89,3,0)*VLOOKUP('Données projet'!$B$12,Paramètres!$A$1:$I$89,5,0)</f>
        <v>274.34627999999969</v>
      </c>
      <c r="CA100" s="13">
        <f t="shared" si="93"/>
        <v>65.770800574515619</v>
      </c>
      <c r="CB100" s="20">
        <f t="shared" si="64"/>
        <v>592.37058200061415</v>
      </c>
      <c r="CC100" s="57">
        <f t="shared" si="65"/>
        <v>868.91600827999696</v>
      </c>
      <c r="CD100" s="57">
        <f ca="1">AVERAGE(OFFSET($CC$3,0,0,'Données projet'!$E$12+1,1))-AVERAGE(OFFSET($H$3,0,0,'Données projet'!$E$12+1,1))</f>
        <v>479.4551766174892</v>
      </c>
      <c r="CE100" s="57">
        <f t="shared" si="94"/>
        <v>260.29028006191834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-2.2737367544323206E-13</v>
      </c>
      <c r="CU100" s="17">
        <f>CT100*VLOOKUP('Données projet'!$B$13,Paramètres!$A$1:$I$89,3,0)*VLOOKUP('Données projet'!$B$13,Paramètres!$A$1:$I$89,5,0)</f>
        <v>-1.2710188457276673E-13</v>
      </c>
      <c r="CV100" s="13" t="e">
        <f t="shared" si="95"/>
        <v>#NUM!</v>
      </c>
      <c r="CW100" s="20" t="e">
        <f t="shared" si="67"/>
        <v>#NUM!</v>
      </c>
      <c r="CX100" s="57" t="e">
        <f t="shared" si="68"/>
        <v>#NUM!</v>
      </c>
      <c r="CY100" s="57">
        <f ca="1">AVERAGE(OFFSET($CX$3,0,0,'Données projet'!$E$13+1,1))-AVERAGE(OFFSET($H$3,0,0,'Données projet'!$E$13+1,1))</f>
        <v>459.83870442974046</v>
      </c>
      <c r="CZ100" s="57">
        <f t="shared" si="96"/>
        <v>565.68976940602215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124.36692819916485</v>
      </c>
      <c r="DG100" s="21">
        <f>EXP(-LN(2)/25)*DG99+(1-EXP(-LN(2)/25))/(LN(2)/25)*Calculateur!DB100*Calculateur!DD100*VLOOKUP('Données projet'!$B$13,Paramètres!$A$1:$I$89,3,0)*0.475*44/12</f>
        <v>23.095421665048335</v>
      </c>
      <c r="DH100" s="21">
        <f>EXP(-LN(2)/2)*DH99+(1-EXP(-LN(2)/2))/(LN(2)/2)*DB100*DE100*VLOOKUP('Données projet'!$B$13,Paramètres!$A$1:$I$89,3,0)*0.475*44/12</f>
        <v>1.5191976637541293E-4</v>
      </c>
      <c r="DI100" s="22">
        <f t="shared" si="69"/>
        <v>147.46250178397958</v>
      </c>
      <c r="DJ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7" t="e">
        <f t="shared" si="71"/>
        <v>#NUM!</v>
      </c>
      <c r="DT100" s="57">
        <f ca="1">AVERAGE(OFFSET($DS$3,0,0,'Données projet'!$E$14+1,1))-AVERAGE(OFFSET($H$3,0,0,'Données projet'!$E$14+1,1))</f>
        <v>315.23504986325418</v>
      </c>
      <c r="DU100" s="57">
        <f t="shared" si="98"/>
        <v>350.52837099886688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67.582777532757163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67.582777532757163</v>
      </c>
      <c r="EE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3.7999999999999994</v>
      </c>
      <c r="EJ100" s="12">
        <f>IF('Données projet'!$A$192&gt;35,EJ99+EI100-ER99,IF(A100&lt;'Données projet'!$A$192,$EG$205^A100,IF(A100='Données projet'!$A$192,'Données projet'!$B$192,EJ99+EI100-ER99)))</f>
        <v>149.79999999999998</v>
      </c>
      <c r="EK100" s="17">
        <f>EJ100*VLOOKUP('Données projet'!$B$15,Paramètres!$A$1:$I$89,3,0)*VLOOKUP('Données projet'!$B$15,Paramètres!$A$1:$I$89,5,0)</f>
        <v>144.88656</v>
      </c>
      <c r="EL100" s="13">
        <f t="shared" si="99"/>
        <v>37.414202725902875</v>
      </c>
      <c r="EM100" s="20">
        <f t="shared" si="73"/>
        <v>317.50716174761419</v>
      </c>
      <c r="EN100" s="57">
        <f t="shared" si="74"/>
        <v>594.052588026997</v>
      </c>
      <c r="EO100" s="57">
        <f ca="1">AVERAGE(OFFSET($EN$3,0,0,'Données projet'!$E$15+1,1))-AVERAGE(OFFSET($H$3,0,0,'Données projet'!$E$15+1,1))</f>
        <v>328.31200866623891</v>
      </c>
      <c r="EP100" s="57">
        <f t="shared" si="100"/>
        <v>195.52650232917446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23.050995802854789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23.050995802854789</v>
      </c>
      <c r="EZ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7" t="e">
        <f t="shared" si="77"/>
        <v>#NUM!</v>
      </c>
      <c r="FJ100" s="57">
        <f ca="1">AVERAGE(OFFSET($FI$3,0,0,'Données projet'!$E$16+1,1))-AVERAGE(OFFSET($H$3,0,0,'Données projet'!$E$16+1,1))</f>
        <v>142.88219003619457</v>
      </c>
      <c r="FK100" s="57">
        <f t="shared" si="102"/>
        <v>288.69704547625088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13.02513945596796</v>
      </c>
      <c r="FR100" s="21">
        <f>EXP(-LN(2)/25)*FR99+(1-EXP(-LN(2)/25))/(LN(2)/25)*Calculateur!FM100*Calculateur!FO100*VLOOKUP('Données projet'!$B$16,Paramètres!$A$1:$I$89,3,0)*0.475*44/12</f>
        <v>1.9379007905526657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14.963040246520626</v>
      </c>
      <c r="FU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7" t="e">
        <f t="shared" si="80"/>
        <v>#N/A</v>
      </c>
      <c r="GE100" s="57" t="e">
        <f ca="1">AVERAGE(OFFSET($GD$3,0,0,'Données projet'!$E$17+1,1))-AVERAGE(OFFSET($H$3,0,0,'Données projet'!$E$17+1,1))</f>
        <v>#N/A</v>
      </c>
      <c r="GF100" s="57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7" t="e">
        <f t="shared" si="83"/>
        <v>#N/A</v>
      </c>
      <c r="GZ100" s="57" t="e">
        <f ca="1">AVERAGE(OFFSET($GY$3,0,0,'Données projet'!$E$18+1,1))-AVERAGE(OFFSET($H$3,0,0,'Données projet'!$E$18+1,1))</f>
        <v>#N/A</v>
      </c>
      <c r="HA100" s="57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1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5">
        <f t="shared" si="56"/>
        <v>183.33333333333334</v>
      </c>
      <c r="I101" s="6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5.5</v>
      </c>
      <c r="N101" s="13">
        <f>IF('Données projet'!$A$36&gt;35,N100+M101-V100,IF(A101&lt;'Données projet'!$A$36,$K$205^A101,IF(A101='Données projet'!$A$36,'Données projet'!$B$36,N100+M101-V100)))</f>
        <v>321.50000000000017</v>
      </c>
      <c r="O101" s="13">
        <f>N101*VLOOKUP('Données projet'!$B$9,Paramètres!$A$1:$I$89,3,0)*VLOOKUP('Données projet'!$B$9,Paramètres!$A$1:$I$89,5,0)</f>
        <v>290.89320000000015</v>
      </c>
      <c r="P101" s="13">
        <f t="shared" si="87"/>
        <v>69.263916768293996</v>
      </c>
      <c r="Q101" s="20">
        <f t="shared" si="107"/>
        <v>627.27364503811225</v>
      </c>
      <c r="R101" s="57">
        <f t="shared" si="55"/>
        <v>904.11030397274362</v>
      </c>
      <c r="S101" s="57">
        <f ca="1">AVERAGE(OFFSET($R$3,0,0,'Données projet'!$E$9+1,1))-AVERAGE(OFFSET($H$3,0,0,'Données projet'!$E$9+1,1))</f>
        <v>539.63700256763173</v>
      </c>
      <c r="T101" s="57">
        <f t="shared" si="88"/>
        <v>297.32483725004136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5.5</v>
      </c>
      <c r="AI101" s="13">
        <f>IF('Données projet'!$A$62&gt;35,AI100+AH101-AQ100,IF(A101&lt;'Données projet'!$A$62,$AF$205^A101,IF(A101='Données projet'!$A$62,'Données projet'!$B$62,AI100+AH101-AQ100)))</f>
        <v>321.50000000000017</v>
      </c>
      <c r="AJ101" s="13">
        <f>AI101*VLOOKUP('Données projet'!$B$10,Paramètres!$A$1:$I$89,3,0)*VLOOKUP('Données projet'!$B$10,Paramètres!$A$1:$I$89,5,0)</f>
        <v>270.83160000000015</v>
      </c>
      <c r="AK101" s="13">
        <f t="shared" si="89"/>
        <v>65.025724195950474</v>
      </c>
      <c r="AL101" s="20">
        <f t="shared" si="58"/>
        <v>584.9515063079474</v>
      </c>
      <c r="AM101" s="57">
        <f t="shared" si="59"/>
        <v>861.78816524257877</v>
      </c>
      <c r="AN101" s="57">
        <f ca="1">AVERAGE(OFFSET($AM$3,0,0,'Données projet'!$E$10+1,1))-AVERAGE(OFFSET($H$3,0,0,'Données projet'!$E$10+1,1))</f>
        <v>508.21188526136734</v>
      </c>
      <c r="AO101" s="57">
        <f t="shared" si="90"/>
        <v>281.06176764290592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8.0678034979423732</v>
      </c>
      <c r="BD101" s="12">
        <f>IF('Données projet'!$A$88&gt;35,BD100+BC101-BL100,IF(A101&lt;'Données projet'!$A$88,$BA$205^A101,IF(A101='Données projet'!$A$88,'Données projet'!$B$88,BD100+BC101-BL100)))</f>
        <v>583.81805384087761</v>
      </c>
      <c r="BE101" s="13">
        <f>BD101*VLOOKUP('Données projet'!$B$11,Paramètres!$A$1:$I$89,3,0)*VLOOKUP('Données projet'!$B$11,Paramètres!$A$1:$I$89,5,0)</f>
        <v>273.22684919753073</v>
      </c>
      <c r="BF101" s="13">
        <f t="shared" si="91"/>
        <v>65.533613896757245</v>
      </c>
      <c r="BG101" s="20">
        <f t="shared" si="61"/>
        <v>590.00780655588483</v>
      </c>
      <c r="BH101" s="57">
        <f t="shared" si="62"/>
        <v>866.8444654905162</v>
      </c>
      <c r="BI101" s="57">
        <f ca="1">AVERAGE(OFFSET($BH$3,0,0,'Données projet'!$E$11+1,1))-AVERAGE(OFFSET($H$3,0,0,'Données projet'!$E$11+1,1))</f>
        <v>449.50723280509311</v>
      </c>
      <c r="BJ101" s="57">
        <f t="shared" si="92"/>
        <v>281.26353650058275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93.287283950977098</v>
      </c>
      <c r="BQ101" s="21">
        <f>EXP(-LN(2)/25)*BQ100+(1-EXP(-LN(2)/25))/(LN(2)/25)*Calculateur!BL101*Calculateur!BN101*VLOOKUP('Données projet'!$B$11,Paramètres!$A$1:$I$89,3,0)*0.475*44/12</f>
        <v>19.391214239025651</v>
      </c>
      <c r="BR101" s="21">
        <f>EXP(-LN(2)/2)*BR100+(1-EXP(-LN(2)/2))/(LN(2)/2)*BL101*BO101*VLOOKUP('Données projet'!$B$11,Paramètres!$A$1:$I$89,3,0)*0.475*44/12</f>
        <v>0.72163254805808419</v>
      </c>
      <c r="BS101" s="22">
        <f t="shared" si="63"/>
        <v>113.40013073806084</v>
      </c>
      <c r="BT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4.9000000000000004</v>
      </c>
      <c r="BY101" s="12">
        <f>IF('Données projet'!$A$114&gt;35,BY100+BX101-CG100,IF(A101&lt;'Données projet'!$A$114,$BV$205^A101,IF(A101='Données projet'!$A$114,'Données projet'!$B$114,BY100+BX101-CG100)))</f>
        <v>293.19999999999965</v>
      </c>
      <c r="BZ101" s="13">
        <f>BY101*VLOOKUP('Données projet'!$B$12,Paramètres!$A$1:$I$89,3,0)*VLOOKUP('Données projet'!$B$12,Paramètres!$A$1:$I$89,5,0)</f>
        <v>279.00911999999965</v>
      </c>
      <c r="CA101" s="13">
        <f t="shared" si="93"/>
        <v>66.757564267146137</v>
      </c>
      <c r="CB101" s="20">
        <f t="shared" si="64"/>
        <v>602.21030843194558</v>
      </c>
      <c r="CC101" s="57">
        <f t="shared" si="65"/>
        <v>879.04696736657695</v>
      </c>
      <c r="CD101" s="57">
        <f ca="1">AVERAGE(OFFSET($CC$3,0,0,'Données projet'!$E$12+1,1))-AVERAGE(OFFSET($H$3,0,0,'Données projet'!$E$12+1,1))</f>
        <v>479.4551766174892</v>
      </c>
      <c r="CE101" s="57">
        <f t="shared" si="94"/>
        <v>260.29028006191834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-2.2737367544323206E-13</v>
      </c>
      <c r="CU101" s="17">
        <f>CT101*VLOOKUP('Données projet'!$B$13,Paramètres!$A$1:$I$89,3,0)*VLOOKUP('Données projet'!$B$13,Paramètres!$A$1:$I$89,5,0)</f>
        <v>-1.2710188457276673E-13</v>
      </c>
      <c r="CV101" s="13" t="e">
        <f t="shared" si="95"/>
        <v>#NUM!</v>
      </c>
      <c r="CW101" s="20" t="e">
        <f t="shared" si="67"/>
        <v>#NUM!</v>
      </c>
      <c r="CX101" s="57" t="e">
        <f t="shared" si="68"/>
        <v>#NUM!</v>
      </c>
      <c r="CY101" s="57">
        <f ca="1">AVERAGE(OFFSET($CX$3,0,0,'Données projet'!$E$13+1,1))-AVERAGE(OFFSET($H$3,0,0,'Données projet'!$E$13+1,1))</f>
        <v>459.83870442974046</v>
      </c>
      <c r="CZ101" s="57">
        <f t="shared" si="96"/>
        <v>565.68976940602215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121.92816859351524</v>
      </c>
      <c r="DG101" s="21">
        <f>EXP(-LN(2)/25)*DG100+(1-EXP(-LN(2)/25))/(LN(2)/25)*Calculateur!DB101*Calculateur!DD101*VLOOKUP('Données projet'!$B$13,Paramètres!$A$1:$I$89,3,0)*0.475*44/12</f>
        <v>22.463876145082146</v>
      </c>
      <c r="DH101" s="21">
        <f>EXP(-LN(2)/2)*DH100+(1-EXP(-LN(2)/2))/(LN(2)/2)*DB101*DE101*VLOOKUP('Données projet'!$B$13,Paramètres!$A$1:$I$89,3,0)*0.475*44/12</f>
        <v>1.0742349700033053E-4</v>
      </c>
      <c r="DI101" s="22">
        <f t="shared" si="69"/>
        <v>144.39215216209439</v>
      </c>
      <c r="DJ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7" t="e">
        <f t="shared" si="71"/>
        <v>#NUM!</v>
      </c>
      <c r="DT101" s="57">
        <f ca="1">AVERAGE(OFFSET($DS$3,0,0,'Données projet'!$E$14+1,1))-AVERAGE(OFFSET($H$3,0,0,'Données projet'!$E$14+1,1))</f>
        <v>315.23504986325418</v>
      </c>
      <c r="DU101" s="57">
        <f t="shared" si="98"/>
        <v>350.52837099886688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66.257520486763809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66.257520486763809</v>
      </c>
      <c r="EE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3.7999999999999994</v>
      </c>
      <c r="EJ101" s="12">
        <f>IF('Données projet'!$A$192&gt;35,EJ100+EI101-ER100,IF(A101&lt;'Données projet'!$A$192,$EG$205^A101,IF(A101='Données projet'!$A$192,'Données projet'!$B$192,EJ100+EI101-ER100)))</f>
        <v>153.6</v>
      </c>
      <c r="EK101" s="17">
        <f>EJ101*VLOOKUP('Données projet'!$B$15,Paramètres!$A$1:$I$89,3,0)*VLOOKUP('Données projet'!$B$15,Paramètres!$A$1:$I$89,5,0)</f>
        <v>148.56192000000001</v>
      </c>
      <c r="EL101" s="13">
        <f t="shared" si="99"/>
        <v>38.251593775426244</v>
      </c>
      <c r="EM101" s="20">
        <f t="shared" si="73"/>
        <v>325.36686982553408</v>
      </c>
      <c r="EN101" s="57">
        <f t="shared" si="74"/>
        <v>602.20352876016545</v>
      </c>
      <c r="EO101" s="57">
        <f ca="1">AVERAGE(OFFSET($EN$3,0,0,'Données projet'!$E$15+1,1))-AVERAGE(OFFSET($H$3,0,0,'Données projet'!$E$15+1,1))</f>
        <v>328.31200866623891</v>
      </c>
      <c r="EP101" s="57">
        <f t="shared" si="100"/>
        <v>195.52650232917446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22.598979834879966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22.598979834879966</v>
      </c>
      <c r="EZ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7" t="e">
        <f t="shared" si="77"/>
        <v>#NUM!</v>
      </c>
      <c r="FJ101" s="57">
        <f ca="1">AVERAGE(OFFSET($FI$3,0,0,'Données projet'!$E$16+1,1))-AVERAGE(OFFSET($H$3,0,0,'Données projet'!$E$16+1,1))</f>
        <v>142.88219003619457</v>
      </c>
      <c r="FK101" s="57">
        <f t="shared" si="102"/>
        <v>288.69704547625088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12.769724415787037</v>
      </c>
      <c r="FR101" s="21">
        <f>EXP(-LN(2)/25)*FR100+(1-EXP(-LN(2)/25))/(LN(2)/25)*Calculateur!FM101*Calculateur!FO101*VLOOKUP('Données projet'!$B$16,Paramètres!$A$1:$I$89,3,0)*0.475*44/12</f>
        <v>1.8849087915252296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14.654633207312266</v>
      </c>
      <c r="FU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7" t="e">
        <f t="shared" si="80"/>
        <v>#N/A</v>
      </c>
      <c r="GE101" s="57" t="e">
        <f ca="1">AVERAGE(OFFSET($GD$3,0,0,'Données projet'!$E$17+1,1))-AVERAGE(OFFSET($H$3,0,0,'Données projet'!$E$17+1,1))</f>
        <v>#N/A</v>
      </c>
      <c r="GF101" s="57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7" t="e">
        <f t="shared" si="83"/>
        <v>#N/A</v>
      </c>
      <c r="GZ101" s="57" t="e">
        <f ca="1">AVERAGE(OFFSET($GY$3,0,0,'Données projet'!$E$18+1,1))-AVERAGE(OFFSET($H$3,0,0,'Données projet'!$E$18+1,1))</f>
        <v>#N/A</v>
      </c>
      <c r="HA101" s="57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1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5">
        <f t="shared" si="56"/>
        <v>183.33333333333334</v>
      </c>
      <c r="I102" s="6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5.5</v>
      </c>
      <c r="N102" s="13">
        <f>IF('Données projet'!$A$36&gt;35,N101+M102-V101,IF(A102&lt;'Données projet'!$A$36,$K$205^A102,IF(A102='Données projet'!$A$36,'Données projet'!$B$36,N101+M102-V101)))</f>
        <v>327.00000000000017</v>
      </c>
      <c r="O102" s="13">
        <f>N102*VLOOKUP('Données projet'!$B$9,Paramètres!$A$1:$I$89,3,0)*VLOOKUP('Données projet'!$B$9,Paramètres!$A$1:$I$89,5,0)</f>
        <v>295.86960000000016</v>
      </c>
      <c r="P102" s="13">
        <f t="shared" si="87"/>
        <v>70.309875568291275</v>
      </c>
      <c r="Q102" s="20">
        <f t="shared" si="107"/>
        <v>637.76258661477414</v>
      </c>
      <c r="R102" s="57">
        <f t="shared" si="55"/>
        <v>914.88542596918433</v>
      </c>
      <c r="S102" s="57">
        <f ca="1">AVERAGE(OFFSET($R$3,0,0,'Données projet'!$E$9+1,1))-AVERAGE(OFFSET($H$3,0,0,'Données projet'!$E$9+1,1))</f>
        <v>539.63700256763173</v>
      </c>
      <c r="T102" s="57">
        <f t="shared" si="88"/>
        <v>297.32483725004136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5.5</v>
      </c>
      <c r="AI102" s="13">
        <f>IF('Données projet'!$A$62&gt;35,AI101+AH102-AQ101,IF(A102&lt;'Données projet'!$A$62,$AF$205^A102,IF(A102='Données projet'!$A$62,'Données projet'!$B$62,AI101+AH102-AQ101)))</f>
        <v>327.00000000000017</v>
      </c>
      <c r="AJ102" s="13">
        <f>AI102*VLOOKUP('Données projet'!$B$10,Paramètres!$A$1:$I$89,3,0)*VLOOKUP('Données projet'!$B$10,Paramètres!$A$1:$I$89,5,0)</f>
        <v>275.46480000000014</v>
      </c>
      <c r="AK102" s="13">
        <f t="shared" si="89"/>
        <v>66.007681781116673</v>
      </c>
      <c r="AL102" s="20">
        <f t="shared" si="58"/>
        <v>594.73123910211177</v>
      </c>
      <c r="AM102" s="57">
        <f t="shared" si="59"/>
        <v>871.85407845652185</v>
      </c>
      <c r="AN102" s="57">
        <f ca="1">AVERAGE(OFFSET($AM$3,0,0,'Données projet'!$E$10+1,1))-AVERAGE(OFFSET($H$3,0,0,'Données projet'!$E$10+1,1))</f>
        <v>508.21188526136734</v>
      </c>
      <c r="AO102" s="57">
        <f t="shared" si="90"/>
        <v>281.06176764290592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8.0678034979423732</v>
      </c>
      <c r="BD102" s="12">
        <f>IF('Données projet'!$A$88&gt;35,BD101+BC102-BL101,IF(A102&lt;'Données projet'!$A$88,$BA$205^A102,IF(A102='Données projet'!$A$88,'Données projet'!$B$88,BD101+BC102-BL101)))</f>
        <v>591.88585733881996</v>
      </c>
      <c r="BE102" s="13">
        <f>BD102*VLOOKUP('Données projet'!$B$11,Paramètres!$A$1:$I$89,3,0)*VLOOKUP('Données projet'!$B$11,Paramètres!$A$1:$I$89,5,0)</f>
        <v>277.00258123456774</v>
      </c>
      <c r="BF102" s="13">
        <f t="shared" si="91"/>
        <v>66.333171893526156</v>
      </c>
      <c r="BG102" s="20">
        <f t="shared" si="61"/>
        <v>597.97643669809679</v>
      </c>
      <c r="BH102" s="57">
        <f t="shared" si="62"/>
        <v>875.09927605250687</v>
      </c>
      <c r="BI102" s="57">
        <f ca="1">AVERAGE(OFFSET($BH$3,0,0,'Données projet'!$E$11+1,1))-AVERAGE(OFFSET($H$3,0,0,'Données projet'!$E$11+1,1))</f>
        <v>449.50723280509311</v>
      </c>
      <c r="BJ102" s="57">
        <f t="shared" si="92"/>
        <v>281.26353650058275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91.457977212323271</v>
      </c>
      <c r="BQ102" s="21">
        <f>EXP(-LN(2)/25)*BQ101+(1-EXP(-LN(2)/25))/(LN(2)/25)*Calculateur!BL102*Calculateur!BN102*VLOOKUP('Données projet'!$B$11,Paramètres!$A$1:$I$89,3,0)*0.475*44/12</f>
        <v>18.860960465919856</v>
      </c>
      <c r="BR102" s="21">
        <f>EXP(-LN(2)/2)*BR101+(1-EXP(-LN(2)/2))/(LN(2)/2)*BL102*BO102*VLOOKUP('Données projet'!$B$11,Paramètres!$A$1:$I$89,3,0)*0.475*44/12</f>
        <v>0.51027126825679847</v>
      </c>
      <c r="BS102" s="22">
        <f t="shared" si="63"/>
        <v>110.82920894649993</v>
      </c>
      <c r="BT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4.9000000000000004</v>
      </c>
      <c r="BY102" s="12">
        <f>IF('Données projet'!$A$114&gt;35,BY101+BX102-CG101,IF(A102&lt;'Données projet'!$A$114,$BV$205^A102,IF(A102='Données projet'!$A$114,'Données projet'!$B$114,BY101+BX102-CG101)))</f>
        <v>298.09999999999962</v>
      </c>
      <c r="BZ102" s="13">
        <f>BY102*VLOOKUP('Données projet'!$B$12,Paramètres!$A$1:$I$89,3,0)*VLOOKUP('Données projet'!$B$12,Paramètres!$A$1:$I$89,5,0)</f>
        <v>283.67195999999967</v>
      </c>
      <c r="CA102" s="13">
        <f t="shared" si="93"/>
        <v>67.742410186409387</v>
      </c>
      <c r="CB102" s="20">
        <f t="shared" si="64"/>
        <v>612.04669474132913</v>
      </c>
      <c r="CC102" s="57">
        <f t="shared" si="65"/>
        <v>889.16953409573921</v>
      </c>
      <c r="CD102" s="57">
        <f ca="1">AVERAGE(OFFSET($CC$3,0,0,'Données projet'!$E$12+1,1))-AVERAGE(OFFSET($H$3,0,0,'Données projet'!$E$12+1,1))</f>
        <v>479.4551766174892</v>
      </c>
      <c r="CE102" s="57">
        <f t="shared" si="94"/>
        <v>260.29028006191834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-2.2737367544323206E-13</v>
      </c>
      <c r="CU102" s="17">
        <f>CT102*VLOOKUP('Données projet'!$B$13,Paramètres!$A$1:$I$89,3,0)*VLOOKUP('Données projet'!$B$13,Paramètres!$A$1:$I$89,5,0)</f>
        <v>-1.2710188457276673E-13</v>
      </c>
      <c r="CV102" s="13" t="e">
        <f t="shared" si="95"/>
        <v>#NUM!</v>
      </c>
      <c r="CW102" s="20" t="e">
        <f t="shared" si="67"/>
        <v>#NUM!</v>
      </c>
      <c r="CX102" s="57" t="e">
        <f t="shared" si="68"/>
        <v>#NUM!</v>
      </c>
      <c r="CY102" s="57">
        <f ca="1">AVERAGE(OFFSET($CX$3,0,0,'Données projet'!$E$13+1,1))-AVERAGE(OFFSET($H$3,0,0,'Données projet'!$E$13+1,1))</f>
        <v>459.83870442974046</v>
      </c>
      <c r="CZ102" s="57">
        <f t="shared" si="96"/>
        <v>565.68976940602215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119.53723157623594</v>
      </c>
      <c r="DG102" s="21">
        <f>EXP(-LN(2)/25)*DG101+(1-EXP(-LN(2)/25))/(LN(2)/25)*Calculateur!DB102*Calculateur!DD102*VLOOKUP('Données projet'!$B$13,Paramètres!$A$1:$I$89,3,0)*0.475*44/12</f>
        <v>21.849600270570971</v>
      </c>
      <c r="DH102" s="21">
        <f>EXP(-LN(2)/2)*DH101+(1-EXP(-LN(2)/2))/(LN(2)/2)*DB102*DE102*VLOOKUP('Données projet'!$B$13,Paramètres!$A$1:$I$89,3,0)*0.475*44/12</f>
        <v>7.5959883187706463E-5</v>
      </c>
      <c r="DI102" s="22">
        <f t="shared" si="69"/>
        <v>141.38690780669009</v>
      </c>
      <c r="DJ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7" t="e">
        <f t="shared" si="71"/>
        <v>#NUM!</v>
      </c>
      <c r="DT102" s="57">
        <f ca="1">AVERAGE(OFFSET($DS$3,0,0,'Données projet'!$E$14+1,1))-AVERAGE(OFFSET($H$3,0,0,'Données projet'!$E$14+1,1))</f>
        <v>315.23504986325418</v>
      </c>
      <c r="DU102" s="57">
        <f t="shared" si="98"/>
        <v>350.52837099886688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64.958250923115401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64.958250923115401</v>
      </c>
      <c r="EE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3.7999999999999994</v>
      </c>
      <c r="EJ102" s="12">
        <f>IF('Données projet'!$A$192&gt;35,EJ101+EI102-ER101,IF(A102&lt;'Données projet'!$A$192,$EG$205^A102,IF(A102='Données projet'!$A$192,'Données projet'!$B$192,EJ101+EI102-ER101)))</f>
        <v>157.4</v>
      </c>
      <c r="EK102" s="17">
        <f>EJ102*VLOOKUP('Données projet'!$B$15,Paramètres!$A$1:$I$89,3,0)*VLOOKUP('Données projet'!$B$15,Paramètres!$A$1:$I$89,5,0)</f>
        <v>152.23728000000003</v>
      </c>
      <c r="EL102" s="13">
        <f t="shared" si="99"/>
        <v>39.086576609537346</v>
      </c>
      <c r="EM102" s="20">
        <f t="shared" si="73"/>
        <v>333.22238359494423</v>
      </c>
      <c r="EN102" s="57">
        <f t="shared" si="74"/>
        <v>610.34522294935437</v>
      </c>
      <c r="EO102" s="57">
        <f ca="1">AVERAGE(OFFSET($EN$3,0,0,'Données projet'!$E$15+1,1))-AVERAGE(OFFSET($H$3,0,0,'Données projet'!$E$15+1,1))</f>
        <v>328.31200866623891</v>
      </c>
      <c r="EP102" s="57">
        <f t="shared" si="100"/>
        <v>195.52650232917446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22.155827624334609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22.155827624334609</v>
      </c>
      <c r="EZ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7" t="e">
        <f t="shared" si="77"/>
        <v>#NUM!</v>
      </c>
      <c r="FJ102" s="57">
        <f ca="1">AVERAGE(OFFSET($FI$3,0,0,'Données projet'!$E$16+1,1))-AVERAGE(OFFSET($H$3,0,0,'Données projet'!$E$16+1,1))</f>
        <v>142.88219003619457</v>
      </c>
      <c r="FK102" s="57">
        <f t="shared" si="102"/>
        <v>288.69704547625088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12.519317908756269</v>
      </c>
      <c r="FR102" s="21">
        <f>EXP(-LN(2)/25)*FR101+(1-EXP(-LN(2)/25))/(LN(2)/25)*Calculateur!FM102*Calculateur!FO102*VLOOKUP('Données projet'!$B$16,Paramètres!$A$1:$I$89,3,0)*0.475*44/12</f>
        <v>1.8333658614979269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14.352683770254195</v>
      </c>
      <c r="FU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7" t="e">
        <f t="shared" si="80"/>
        <v>#N/A</v>
      </c>
      <c r="GE102" s="57" t="e">
        <f ca="1">AVERAGE(OFFSET($GD$3,0,0,'Données projet'!$E$17+1,1))-AVERAGE(OFFSET($H$3,0,0,'Données projet'!$E$17+1,1))</f>
        <v>#N/A</v>
      </c>
      <c r="GF102" s="57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7" t="e">
        <f t="shared" si="83"/>
        <v>#N/A</v>
      </c>
      <c r="GZ102" s="57" t="e">
        <f ca="1">AVERAGE(OFFSET($GY$3,0,0,'Données projet'!$E$18+1,1))-AVERAGE(OFFSET($H$3,0,0,'Données projet'!$E$18+1,1))</f>
        <v>#N/A</v>
      </c>
      <c r="HA102" s="57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1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5">
        <f t="shared" si="56"/>
        <v>183.33333333333334</v>
      </c>
      <c r="I103" s="6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5.5</v>
      </c>
      <c r="N103" s="13">
        <f>IF('Données projet'!$A$36&gt;35,N102+M103-V102,IF(A103&lt;'Données projet'!$A$36,$K$205^A103,IF(A103='Données projet'!$A$36,'Données projet'!$B$36,N102+M103-V102)))</f>
        <v>332.50000000000017</v>
      </c>
      <c r="O103" s="13">
        <f>N103*VLOOKUP('Données projet'!$B$9,Paramètres!$A$1:$I$89,3,0)*VLOOKUP('Données projet'!$B$9,Paramètres!$A$1:$I$89,5,0)</f>
        <v>300.84600000000012</v>
      </c>
      <c r="P103" s="13">
        <f t="shared" si="87"/>
        <v>71.353788493344268</v>
      </c>
      <c r="Q103" s="20">
        <f t="shared" si="107"/>
        <v>648.24796495924147</v>
      </c>
      <c r="R103" s="57">
        <f t="shared" si="55"/>
        <v>925.65202014295073</v>
      </c>
      <c r="S103" s="57">
        <f ca="1">AVERAGE(OFFSET($R$3,0,0,'Données projet'!$E$9+1,1))-AVERAGE(OFFSET($H$3,0,0,'Données projet'!$E$9+1,1))</f>
        <v>539.63700256763173</v>
      </c>
      <c r="T103" s="57">
        <f t="shared" si="88"/>
        <v>297.32483725004136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5.5</v>
      </c>
      <c r="AI103" s="13">
        <f>IF('Données projet'!$A$62&gt;35,AI102+AH103-AQ102,IF(A103&lt;'Données projet'!$A$62,$AF$205^A103,IF(A103='Données projet'!$A$62,'Données projet'!$B$62,AI102+AH103-AQ102)))</f>
        <v>332.50000000000017</v>
      </c>
      <c r="AJ103" s="13">
        <f>AI103*VLOOKUP('Données projet'!$B$10,Paramètres!$A$1:$I$89,3,0)*VLOOKUP('Données projet'!$B$10,Paramètres!$A$1:$I$89,5,0)</f>
        <v>280.09800000000018</v>
      </c>
      <c r="AK103" s="13">
        <f t="shared" si="89"/>
        <v>66.987718676462464</v>
      </c>
      <c r="AL103" s="20">
        <f t="shared" si="58"/>
        <v>604.50762669483913</v>
      </c>
      <c r="AM103" s="57">
        <f t="shared" si="59"/>
        <v>881.91168187854828</v>
      </c>
      <c r="AN103" s="57">
        <f ca="1">AVERAGE(OFFSET($AM$3,0,0,'Données projet'!$E$10+1,1))-AVERAGE(OFFSET($H$3,0,0,'Données projet'!$E$10+1,1))</f>
        <v>508.21188526136734</v>
      </c>
      <c r="AO103" s="57">
        <f t="shared" si="90"/>
        <v>281.06176764290592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599.95366083676254</v>
      </c>
      <c r="BB103" s="12">
        <f>VLOOKUP(A103,'Données projet'!$A$87:$I$107,9,0)</f>
        <v>8.0678034979423732</v>
      </c>
      <c r="BC103" s="12">
        <f t="array" ref="BC103">INDEX(BB:BB,MIN(IF(ISNUMBER(BB103:BB299),ROW(BB103:BB299),"")))</f>
        <v>8.0678034979423732</v>
      </c>
      <c r="BD103" s="12">
        <f>IF('Données projet'!$A$88&gt;35,BD102+BC103-BL102,IF(A103&lt;'Données projet'!$A$88,$BA$205^A103,IF(A103='Données projet'!$A$88,'Données projet'!$B$88,BD102+BC103-BL102)))</f>
        <v>599.95366083676231</v>
      </c>
      <c r="BE103" s="13">
        <f>BD103*VLOOKUP('Données projet'!$B$11,Paramètres!$A$1:$I$89,3,0)*VLOOKUP('Données projet'!$B$11,Paramètres!$A$1:$I$89,5,0)</f>
        <v>280.77831327160476</v>
      </c>
      <c r="BF103" s="13">
        <f t="shared" si="91"/>
        <v>67.131462267505285</v>
      </c>
      <c r="BG103" s="20">
        <f t="shared" si="61"/>
        <v>605.94285906394998</v>
      </c>
      <c r="BH103" s="57">
        <f t="shared" si="62"/>
        <v>883.34691424765924</v>
      </c>
      <c r="BI103" s="57">
        <f ca="1">AVERAGE(OFFSET($BH$3,0,0,'Données projet'!$E$11+1,1))-AVERAGE(OFFSET($H$3,0,0,'Données projet'!$E$11+1,1))</f>
        <v>449.50723280509311</v>
      </c>
      <c r="BJ103" s="57">
        <f t="shared" si="92"/>
        <v>281.26353650058275</v>
      </c>
      <c r="BK103" s="15" t="str">
        <f>IF(ISNA(VLOOKUP(A103,'Données projet'!$A$87:$I$107,3,0)),0,VLOOKUP(A103,'Données projet'!$A$87:$I$107,3,0))</f>
        <v>CR</v>
      </c>
      <c r="BL103" s="15">
        <f>IF(ISNA(VLOOKUP(A103,'Données projet'!$A$87:$I$107,4,0)),0,VLOOKUP(A103,'Données projet'!$A$87:$I$107,4,0))</f>
        <v>599.95366083676254</v>
      </c>
      <c r="BM103" s="16">
        <f>IF(ISNA(VLOOKUP(A103,'Données projet'!$A$87:$I$107,5,0)),0%,VLOOKUP(A103,'Données projet'!$A$87:$I$107,5,0)*VLOOKUP('Données projet'!$B$11,Paramètres!$A$1:$I$89,7,0))</f>
        <v>0.38500000000000001</v>
      </c>
      <c r="BN103" s="16">
        <f>IF(ISNA(VLOOKUP(A103,'Données projet'!$A$87:$I$107,6,0)),0%,VLOOKUP(A103,'Données projet'!$A$87:$I$107,6,0)*VLOOKUP('Données projet'!$B$11,Paramètres!$A$1:$I$89,7,0))</f>
        <v>9.240000000000001E-2</v>
      </c>
      <c r="BO103" s="16">
        <f>IF(ISNA(VLOOKUP(A103,'Données projet'!$A$87:$I$107,7,0)),0%,VLOOKUP(A103,'Données projet'!$A$87:$I$107,7,0))</f>
        <v>0.13200000000000001</v>
      </c>
      <c r="BP103" s="21">
        <f>EXP(-LN(2)/35)*BP102+(1-EXP(-LN(2)/35))/(LN(2)/35)*BL103*BM103*VLOOKUP('Données projet'!$B$11,Paramètres!$A$1:$I$89,3,0)*0.475*44/12</f>
        <v>233.06569620713347</v>
      </c>
      <c r="BQ103" s="21">
        <f>EXP(-LN(2)/25)*BQ102+(1-EXP(-LN(2)/25))/(LN(2)/25)*Calculateur!BL103*Calculateur!BN103*VLOOKUP('Données projet'!$B$11,Paramètres!$A$1:$I$89,3,0)*0.475*44/12</f>
        <v>52.625973508547816</v>
      </c>
      <c r="BR103" s="21">
        <f>EXP(-LN(2)/2)*BR102+(1-EXP(-LN(2)/2))/(LN(2)/2)*BL103*BO103*VLOOKUP('Données projet'!$B$11,Paramètres!$A$1:$I$89,3,0)*0.475*44/12</f>
        <v>42.32444453853622</v>
      </c>
      <c r="BS103" s="22">
        <f t="shared" si="63"/>
        <v>328.01611425421754</v>
      </c>
      <c r="BT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303</v>
      </c>
      <c r="BW103" s="12">
        <f>VLOOKUP(A103,'Données projet'!$A$113:$I$133,9,0)</f>
        <v>4.9000000000000004</v>
      </c>
      <c r="BX103" s="12">
        <f t="array" ref="BX103">INDEX(BW:BW,MIN(IF(ISNUMBER(BW103:BW299),ROW(BW103:BW299),"")))</f>
        <v>4.9000000000000004</v>
      </c>
      <c r="BY103" s="12">
        <f>IF('Données projet'!$A$114&gt;35,BY102+BX103-CG102,IF(A103&lt;'Données projet'!$A$114,$BV$205^A103,IF(A103='Données projet'!$A$114,'Données projet'!$B$114,BY102+BX103-CG102)))</f>
        <v>302.9999999999996</v>
      </c>
      <c r="BZ103" s="13">
        <f>BY103*VLOOKUP('Données projet'!$B$12,Paramètres!$A$1:$I$89,3,0)*VLOOKUP('Données projet'!$B$12,Paramètres!$A$1:$I$89,5,0)</f>
        <v>288.33479999999963</v>
      </c>
      <c r="CA103" s="13">
        <f t="shared" si="93"/>
        <v>68.725373494438841</v>
      </c>
      <c r="CB103" s="20">
        <f t="shared" si="64"/>
        <v>621.87980216948029</v>
      </c>
      <c r="CC103" s="57">
        <f t="shared" si="65"/>
        <v>899.28385735318943</v>
      </c>
      <c r="CD103" s="57">
        <f ca="1">AVERAGE(OFFSET($CC$3,0,0,'Données projet'!$E$12+1,1))-AVERAGE(OFFSET($H$3,0,0,'Données projet'!$E$12+1,1))</f>
        <v>479.4551766174892</v>
      </c>
      <c r="CE103" s="57">
        <f t="shared" si="94"/>
        <v>260.29028006191834</v>
      </c>
      <c r="CF103" s="15">
        <f>IF(ISNA(VLOOKUP(A103,'Données projet'!$A$113:$I$133,3,0)),0,VLOOKUP(A103,'Données projet'!$A$113:$I$133,3,0))</f>
        <v>15</v>
      </c>
      <c r="CG103" s="15">
        <f>IF(ISNA(VLOOKUP(A103,'Données projet'!$A$113:$I$133,4,0)),0,VLOOKUP(A103,'Données projet'!$A$113:$I$133,4,0))</f>
        <v>42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-2.2737367544323206E-13</v>
      </c>
      <c r="CU103" s="17">
        <f>CT103*VLOOKUP('Données projet'!$B$13,Paramètres!$A$1:$I$89,3,0)*VLOOKUP('Données projet'!$B$13,Paramètres!$A$1:$I$89,5,0)</f>
        <v>-1.2710188457276673E-13</v>
      </c>
      <c r="CV103" s="13" t="e">
        <f t="shared" si="95"/>
        <v>#NUM!</v>
      </c>
      <c r="CW103" s="20" t="e">
        <f t="shared" si="67"/>
        <v>#NUM!</v>
      </c>
      <c r="CX103" s="57" t="e">
        <f t="shared" si="68"/>
        <v>#NUM!</v>
      </c>
      <c r="CY103" s="57">
        <f ca="1">AVERAGE(OFFSET($CX$3,0,0,'Données projet'!$E$13+1,1))-AVERAGE(OFFSET($H$3,0,0,'Données projet'!$E$13+1,1))</f>
        <v>459.83870442974046</v>
      </c>
      <c r="CZ103" s="57">
        <f t="shared" si="96"/>
        <v>565.68976940602215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117.19317937553789</v>
      </c>
      <c r="DG103" s="21">
        <f>EXP(-LN(2)/25)*DG102+(1-EXP(-LN(2)/25))/(LN(2)/25)*Calculateur!DB103*Calculateur!DD103*VLOOKUP('Données projet'!$B$13,Paramètres!$A$1:$I$89,3,0)*0.475*44/12</f>
        <v>21.252121802151667</v>
      </c>
      <c r="DH103" s="21">
        <f>EXP(-LN(2)/2)*DH102+(1-EXP(-LN(2)/2))/(LN(2)/2)*DB103*DE103*VLOOKUP('Données projet'!$B$13,Paramètres!$A$1:$I$89,3,0)*0.475*44/12</f>
        <v>5.3711748500165265E-5</v>
      </c>
      <c r="DI103" s="22">
        <f t="shared" si="69"/>
        <v>138.44535488943808</v>
      </c>
      <c r="DJ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7" t="e">
        <f t="shared" si="71"/>
        <v>#NUM!</v>
      </c>
      <c r="DT103" s="57">
        <f ca="1">AVERAGE(OFFSET($DS$3,0,0,'Données projet'!$E$14+1,1))-AVERAGE(OFFSET($H$3,0,0,'Données projet'!$E$14+1,1))</f>
        <v>315.23504986325418</v>
      </c>
      <c r="DU103" s="57">
        <f t="shared" si="98"/>
        <v>350.52837099886688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63.684459243133958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63.684459243133958</v>
      </c>
      <c r="EE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3.7999999999999994</v>
      </c>
      <c r="EJ103" s="12">
        <f>IF('Données projet'!$A$192&gt;35,EJ102+EI103-ER102,IF(A103&lt;'Données projet'!$A$192,$EG$205^A103,IF(A103='Données projet'!$A$192,'Données projet'!$B$192,EJ102+EI103-ER102)))</f>
        <v>161.20000000000002</v>
      </c>
      <c r="EK103" s="17">
        <f>EJ103*VLOOKUP('Données projet'!$B$15,Paramètres!$A$1:$I$89,3,0)*VLOOKUP('Données projet'!$B$15,Paramètres!$A$1:$I$89,5,0)</f>
        <v>155.91264000000004</v>
      </c>
      <c r="EL103" s="13">
        <f t="shared" si="99"/>
        <v>39.919216057228688</v>
      </c>
      <c r="EM103" s="20">
        <f t="shared" si="73"/>
        <v>341.07381596633996</v>
      </c>
      <c r="EN103" s="57">
        <f t="shared" si="74"/>
        <v>618.47787115004917</v>
      </c>
      <c r="EO103" s="57">
        <f ca="1">AVERAGE(OFFSET($EN$3,0,0,'Données projet'!$E$15+1,1))-AVERAGE(OFFSET($H$3,0,0,'Données projet'!$E$15+1,1))</f>
        <v>328.31200866623891</v>
      </c>
      <c r="EP103" s="57">
        <f t="shared" si="100"/>
        <v>195.52650232917446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21.721365358341888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21.721365358341888</v>
      </c>
      <c r="EZ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7" t="e">
        <f t="shared" si="77"/>
        <v>#NUM!</v>
      </c>
      <c r="FJ103" s="57">
        <f ca="1">AVERAGE(OFFSET($FI$3,0,0,'Données projet'!$E$16+1,1))-AVERAGE(OFFSET($H$3,0,0,'Données projet'!$E$16+1,1))</f>
        <v>142.88219003619457</v>
      </c>
      <c r="FK103" s="57">
        <f t="shared" si="102"/>
        <v>288.69704547625088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12.273821720595487</v>
      </c>
      <c r="FR103" s="21">
        <f>EXP(-LN(2)/25)*FR102+(1-EXP(-LN(2)/25))/(LN(2)/25)*Calculateur!FM103*Calculateur!FO103*VLOOKUP('Données projet'!$B$16,Paramètres!$A$1:$I$89,3,0)*0.475*44/12</f>
        <v>1.7832323756027457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14.057054096198232</v>
      </c>
      <c r="FU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7" t="e">
        <f t="shared" si="80"/>
        <v>#N/A</v>
      </c>
      <c r="GE103" s="57" t="e">
        <f ca="1">AVERAGE(OFFSET($GD$3,0,0,'Données projet'!$E$17+1,1))-AVERAGE(OFFSET($H$3,0,0,'Données projet'!$E$17+1,1))</f>
        <v>#N/A</v>
      </c>
      <c r="GF103" s="57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7" t="e">
        <f t="shared" si="83"/>
        <v>#N/A</v>
      </c>
      <c r="GZ103" s="57" t="e">
        <f ca="1">AVERAGE(OFFSET($GY$3,0,0,'Données projet'!$E$18+1,1))-AVERAGE(OFFSET($H$3,0,0,'Données projet'!$E$18+1,1))</f>
        <v>#N/A</v>
      </c>
      <c r="HA103" s="57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1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5">
        <f t="shared" si="56"/>
        <v>183.33333333333334</v>
      </c>
      <c r="I104" s="6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5.5</v>
      </c>
      <c r="N104" s="13">
        <f>IF('Données projet'!$A$36&gt;35,N103+M104-V103,IF(A104&lt;'Données projet'!$A$36,$K$205^A104,IF(A104='Données projet'!$A$36,'Données projet'!$B$36,N103+M104-V103)))</f>
        <v>338.00000000000017</v>
      </c>
      <c r="O104" s="13">
        <f>N104*VLOOKUP('Données projet'!$B$9,Paramètres!$A$1:$I$89,3,0)*VLOOKUP('Données projet'!$B$9,Paramètres!$A$1:$I$89,5,0)</f>
        <v>305.82240000000013</v>
      </c>
      <c r="P104" s="13">
        <f t="shared" si="87"/>
        <v>72.395693291268998</v>
      </c>
      <c r="Q104" s="20">
        <f t="shared" si="107"/>
        <v>658.72984581562707</v>
      </c>
      <c r="R104" s="57">
        <f t="shared" si="55"/>
        <v>936.41023836270142</v>
      </c>
      <c r="S104" s="57">
        <f ca="1">AVERAGE(OFFSET($R$3,0,0,'Données projet'!$E$9+1,1))-AVERAGE(OFFSET($H$3,0,0,'Données projet'!$E$9+1,1))</f>
        <v>539.63700256763173</v>
      </c>
      <c r="T104" s="57">
        <f t="shared" si="88"/>
        <v>297.32483725004136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5.5</v>
      </c>
      <c r="AI104" s="13">
        <f>IF('Données projet'!$A$62&gt;35,AI103+AH104-AQ103,IF(A104&lt;'Données projet'!$A$62,$AF$205^A104,IF(A104='Données projet'!$A$62,'Données projet'!$B$62,AI103+AH104-AQ103)))</f>
        <v>338.00000000000017</v>
      </c>
      <c r="AJ104" s="13">
        <f>AI104*VLOOKUP('Données projet'!$B$10,Paramètres!$A$1:$I$89,3,0)*VLOOKUP('Données projet'!$B$10,Paramètres!$A$1:$I$89,5,0)</f>
        <v>284.73120000000017</v>
      </c>
      <c r="AK104" s="13">
        <f t="shared" si="89"/>
        <v>67.96587032005101</v>
      </c>
      <c r="AL104" s="20">
        <f t="shared" si="58"/>
        <v>614.2807308074224</v>
      </c>
      <c r="AM104" s="57">
        <f t="shared" si="59"/>
        <v>891.96112335449675</v>
      </c>
      <c r="AN104" s="57">
        <f ca="1">AVERAGE(OFFSET($AM$3,0,0,'Données projet'!$E$10+1,1))-AVERAGE(OFFSET($H$3,0,0,'Données projet'!$E$10+1,1))</f>
        <v>508.21188526136734</v>
      </c>
      <c r="AO104" s="57">
        <f t="shared" si="90"/>
        <v>281.06176764290592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-1.064108801074326E-13</v>
      </c>
      <c r="BF104" s="13" t="e">
        <f t="shared" si="91"/>
        <v>#NUM!</v>
      </c>
      <c r="BG104" s="20" t="e">
        <f t="shared" si="61"/>
        <v>#NUM!</v>
      </c>
      <c r="BH104" s="57" t="e">
        <f t="shared" si="62"/>
        <v>#NUM!</v>
      </c>
      <c r="BI104" s="57">
        <f ca="1">AVERAGE(OFFSET($BH$3,0,0,'Données projet'!$E$11+1,1))-AVERAGE(OFFSET($H$3,0,0,'Données projet'!$E$11+1,1))</f>
        <v>449.50723280509311</v>
      </c>
      <c r="BJ104" s="57">
        <f t="shared" si="92"/>
        <v>281.26353650058275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228.49542006054952</v>
      </c>
      <c r="BQ104" s="21">
        <f>EXP(-LN(2)/25)*BQ103+(1-EXP(-LN(2)/25))/(LN(2)/25)*Calculateur!BL104*Calculateur!BN104*VLOOKUP('Données projet'!$B$11,Paramètres!$A$1:$I$89,3,0)*0.475*44/12</f>
        <v>51.186913495476908</v>
      </c>
      <c r="BR104" s="21">
        <f>EXP(-LN(2)/2)*BR103+(1-EXP(-LN(2)/2))/(LN(2)/2)*BL104*BO104*VLOOKUP('Données projet'!$B$11,Paramètres!$A$1:$I$89,3,0)*0.475*44/12</f>
        <v>29.927901743152898</v>
      </c>
      <c r="BS104" s="22">
        <f t="shared" si="63"/>
        <v>309.61023529917935</v>
      </c>
      <c r="BT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4.4000000000000004</v>
      </c>
      <c r="BY104" s="12">
        <f>IF('Données projet'!$A$114&gt;35,BY103+BX104-CG103,IF(A104&lt;'Données projet'!$A$114,$BV$205^A104,IF(A104='Données projet'!$A$114,'Données projet'!$B$114,BY103+BX104-CG103)))</f>
        <v>265.39999999999958</v>
      </c>
      <c r="BZ104" s="13">
        <f>BY104*VLOOKUP('Données projet'!$B$12,Paramètres!$A$1:$I$89,3,0)*VLOOKUP('Données projet'!$B$12,Paramètres!$A$1:$I$89,5,0)</f>
        <v>252.55463999999961</v>
      </c>
      <c r="CA104" s="13">
        <f t="shared" si="93"/>
        <v>61.132654455470018</v>
      </c>
      <c r="CB104" s="20">
        <f t="shared" si="64"/>
        <v>546.33870450994289</v>
      </c>
      <c r="CC104" s="57">
        <f t="shared" si="65"/>
        <v>824.01909705701723</v>
      </c>
      <c r="CD104" s="57">
        <f ca="1">AVERAGE(OFFSET($CC$3,0,0,'Données projet'!$E$12+1,1))-AVERAGE(OFFSET($H$3,0,0,'Données projet'!$E$12+1,1))</f>
        <v>479.4551766174892</v>
      </c>
      <c r="CE104" s="57">
        <f t="shared" si="94"/>
        <v>260.29028006191834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-2.2737367544323206E-13</v>
      </c>
      <c r="CU104" s="17">
        <f>CT104*VLOOKUP('Données projet'!$B$13,Paramètres!$A$1:$I$89,3,0)*VLOOKUP('Données projet'!$B$13,Paramètres!$A$1:$I$89,5,0)</f>
        <v>-1.2710188457276673E-13</v>
      </c>
      <c r="CV104" s="13" t="e">
        <f t="shared" si="95"/>
        <v>#NUM!</v>
      </c>
      <c r="CW104" s="20" t="e">
        <f t="shared" si="67"/>
        <v>#NUM!</v>
      </c>
      <c r="CX104" s="57" t="e">
        <f t="shared" si="68"/>
        <v>#NUM!</v>
      </c>
      <c r="CY104" s="57">
        <f ca="1">AVERAGE(OFFSET($CX$3,0,0,'Données projet'!$E$13+1,1))-AVERAGE(OFFSET($H$3,0,0,'Données projet'!$E$13+1,1))</f>
        <v>459.83870442974046</v>
      </c>
      <c r="CZ104" s="57">
        <f t="shared" si="96"/>
        <v>565.68976940602215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114.89509260876487</v>
      </c>
      <c r="DG104" s="21">
        <f>EXP(-LN(2)/25)*DG103+(1-EXP(-LN(2)/25))/(LN(2)/25)*Calculateur!DB104*Calculateur!DD104*VLOOKUP('Données projet'!$B$13,Paramètres!$A$1:$I$89,3,0)*0.475*44/12</f>
        <v>20.670981413871317</v>
      </c>
      <c r="DH104" s="21">
        <f>EXP(-LN(2)/2)*DH103+(1-EXP(-LN(2)/2))/(LN(2)/2)*DB104*DE104*VLOOKUP('Données projet'!$B$13,Paramètres!$A$1:$I$89,3,0)*0.475*44/12</f>
        <v>3.7979941593853231E-5</v>
      </c>
      <c r="DI104" s="22">
        <f t="shared" si="69"/>
        <v>135.5661120025778</v>
      </c>
      <c r="DJ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7" t="e">
        <f t="shared" si="71"/>
        <v>#NUM!</v>
      </c>
      <c r="DT104" s="57">
        <f ca="1">AVERAGE(OFFSET($DS$3,0,0,'Données projet'!$E$14+1,1))-AVERAGE(OFFSET($H$3,0,0,'Données projet'!$E$14+1,1))</f>
        <v>315.23504986325418</v>
      </c>
      <c r="DU104" s="57">
        <f t="shared" si="98"/>
        <v>350.52837099886688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62.435645841060747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62.435645841060747</v>
      </c>
      <c r="EE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3.7999999999999994</v>
      </c>
      <c r="EJ104" s="12">
        <f>IF('Données projet'!$A$192&gt;35,EJ103+EI104-ER103,IF(A104&lt;'Données projet'!$A$192,$EG$205^A104,IF(A104='Données projet'!$A$192,'Données projet'!$B$192,EJ103+EI104-ER103)))</f>
        <v>165.00000000000003</v>
      </c>
      <c r="EK104" s="17">
        <f>EJ104*VLOOKUP('Données projet'!$B$15,Paramètres!$A$1:$I$89,3,0)*VLOOKUP('Données projet'!$B$15,Paramètres!$A$1:$I$89,5,0)</f>
        <v>159.58800000000002</v>
      </c>
      <c r="EL104" s="13">
        <f t="shared" si="99"/>
        <v>40.74957371668588</v>
      </c>
      <c r="EM104" s="20">
        <f t="shared" si="73"/>
        <v>348.92127422322795</v>
      </c>
      <c r="EN104" s="57">
        <f t="shared" si="74"/>
        <v>626.60166677030236</v>
      </c>
      <c r="EO104" s="57">
        <f ca="1">AVERAGE(OFFSET($EN$3,0,0,'Données projet'!$E$15+1,1))-AVERAGE(OFFSET($H$3,0,0,'Données projet'!$E$15+1,1))</f>
        <v>328.31200866623891</v>
      </c>
      <c r="EP104" s="57">
        <f t="shared" si="100"/>
        <v>195.52650232917446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21.295422632389471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21.295422632389471</v>
      </c>
      <c r="EZ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7" t="e">
        <f t="shared" si="77"/>
        <v>#NUM!</v>
      </c>
      <c r="FJ104" s="57">
        <f ca="1">AVERAGE(OFFSET($FI$3,0,0,'Données projet'!$E$16+1,1))-AVERAGE(OFFSET($H$3,0,0,'Données projet'!$E$16+1,1))</f>
        <v>142.88219003619457</v>
      </c>
      <c r="FK104" s="57">
        <f t="shared" si="102"/>
        <v>288.69704547625088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12.03313956294665</v>
      </c>
      <c r="FR104" s="21">
        <f>EXP(-LN(2)/25)*FR103+(1-EXP(-LN(2)/25))/(LN(2)/25)*Calculateur!FM104*Calculateur!FO104*VLOOKUP('Données projet'!$B$16,Paramètres!$A$1:$I$89,3,0)*0.475*44/12</f>
        <v>1.7344697925157737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13.767609355462422</v>
      </c>
      <c r="FU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7" t="e">
        <f t="shared" si="80"/>
        <v>#N/A</v>
      </c>
      <c r="GE104" s="57" t="e">
        <f ca="1">AVERAGE(OFFSET($GD$3,0,0,'Données projet'!$E$17+1,1))-AVERAGE(OFFSET($H$3,0,0,'Données projet'!$E$17+1,1))</f>
        <v>#N/A</v>
      </c>
      <c r="GF104" s="57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7" t="e">
        <f t="shared" si="83"/>
        <v>#N/A</v>
      </c>
      <c r="GZ104" s="57" t="e">
        <f ca="1">AVERAGE(OFFSET($GY$3,0,0,'Données projet'!$E$18+1,1))-AVERAGE(OFFSET($H$3,0,0,'Données projet'!$E$18+1,1))</f>
        <v>#N/A</v>
      </c>
      <c r="HA104" s="57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1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5">
        <f t="shared" si="56"/>
        <v>183.33333333333334</v>
      </c>
      <c r="I105" s="6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5.5</v>
      </c>
      <c r="N105" s="13">
        <f>IF('Données projet'!$A$36&gt;35,N104+M105-V104,IF(A105&lt;'Données projet'!$A$36,$K$205^A105,IF(A105='Données projet'!$A$36,'Données projet'!$B$36,N104+M105-V104)))</f>
        <v>343.50000000000017</v>
      </c>
      <c r="O105" s="13">
        <f>N105*VLOOKUP('Données projet'!$B$9,Paramètres!$A$1:$I$89,3,0)*VLOOKUP('Données projet'!$B$9,Paramètres!$A$1:$I$89,5,0)</f>
        <v>310.79880000000014</v>
      </c>
      <c r="P105" s="13">
        <f t="shared" si="87"/>
        <v>73.435626410963707</v>
      </c>
      <c r="Q105" s="20">
        <f t="shared" si="107"/>
        <v>669.20829266576197</v>
      </c>
      <c r="R105" s="57">
        <f t="shared" si="55"/>
        <v>947.16022874074497</v>
      </c>
      <c r="S105" s="57">
        <f ca="1">AVERAGE(OFFSET($R$3,0,0,'Données projet'!$E$9+1,1))-AVERAGE(OFFSET($H$3,0,0,'Données projet'!$E$9+1,1))</f>
        <v>539.63700256763173</v>
      </c>
      <c r="T105" s="57">
        <f t="shared" si="88"/>
        <v>297.32483725004136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5.5</v>
      </c>
      <c r="AI105" s="13">
        <f>IF('Données projet'!$A$62&gt;35,AI104+AH105-AQ104,IF(A105&lt;'Données projet'!$A$62,$AF$205^A105,IF(A105='Données projet'!$A$62,'Données projet'!$B$62,AI104+AH105-AQ104)))</f>
        <v>343.50000000000017</v>
      </c>
      <c r="AJ105" s="13">
        <f>AI105*VLOOKUP('Données projet'!$B$10,Paramètres!$A$1:$I$89,3,0)*VLOOKUP('Données projet'!$B$10,Paramètres!$A$1:$I$89,5,0)</f>
        <v>289.36440000000016</v>
      </c>
      <c r="AK105" s="13">
        <f t="shared" si="89"/>
        <v>68.942170930507686</v>
      </c>
      <c r="AL105" s="20">
        <f t="shared" si="58"/>
        <v>624.05061103730111</v>
      </c>
      <c r="AM105" s="57">
        <f t="shared" si="59"/>
        <v>902.00254711228399</v>
      </c>
      <c r="AN105" s="57">
        <f ca="1">AVERAGE(OFFSET($AM$3,0,0,'Données projet'!$E$10+1,1))-AVERAGE(OFFSET($H$3,0,0,'Données projet'!$E$10+1,1))</f>
        <v>508.21188526136734</v>
      </c>
      <c r="AO105" s="57">
        <f t="shared" si="90"/>
        <v>281.06176764290592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-1.064108801074326E-13</v>
      </c>
      <c r="BF105" s="13" t="e">
        <f t="shared" si="91"/>
        <v>#NUM!</v>
      </c>
      <c r="BG105" s="20" t="e">
        <f t="shared" si="61"/>
        <v>#NUM!</v>
      </c>
      <c r="BH105" s="57" t="e">
        <f t="shared" si="62"/>
        <v>#NUM!</v>
      </c>
      <c r="BI105" s="57">
        <f ca="1">AVERAGE(OFFSET($BH$3,0,0,'Données projet'!$E$11+1,1))-AVERAGE(OFFSET($H$3,0,0,'Données projet'!$E$11+1,1))</f>
        <v>449.50723280509311</v>
      </c>
      <c r="BJ105" s="57">
        <f t="shared" si="92"/>
        <v>281.26353650058275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224.01476424160688</v>
      </c>
      <c r="BQ105" s="21">
        <f>EXP(-LN(2)/25)*BQ104+(1-EXP(-LN(2)/25))/(LN(2)/25)*Calculateur!BL105*Calculateur!BN105*VLOOKUP('Données projet'!$B$11,Paramètres!$A$1:$I$89,3,0)*0.475*44/12</f>
        <v>49.787204654140304</v>
      </c>
      <c r="BR105" s="21">
        <f>EXP(-LN(2)/2)*BR104+(1-EXP(-LN(2)/2))/(LN(2)/2)*BL105*BO105*VLOOKUP('Données projet'!$B$11,Paramètres!$A$1:$I$89,3,0)*0.475*44/12</f>
        <v>21.162222269268113</v>
      </c>
      <c r="BS105" s="22">
        <f t="shared" si="63"/>
        <v>294.96419116501528</v>
      </c>
      <c r="BT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4.4000000000000004</v>
      </c>
      <c r="BY105" s="12">
        <f>IF('Données projet'!$A$114&gt;35,BY104+BX105-CG104,IF(A105&lt;'Données projet'!$A$114,$BV$205^A105,IF(A105='Données projet'!$A$114,'Données projet'!$B$114,BY104+BX105-CG104)))</f>
        <v>269.79999999999956</v>
      </c>
      <c r="BZ105" s="13">
        <f>BY105*VLOOKUP('Données projet'!$B$12,Paramètres!$A$1:$I$89,3,0)*VLOOKUP('Données projet'!$B$12,Paramètres!$A$1:$I$89,5,0)</f>
        <v>256.74167999999958</v>
      </c>
      <c r="CA105" s="13">
        <f t="shared" si="93"/>
        <v>62.027326852695658</v>
      </c>
      <c r="CB105" s="20">
        <f t="shared" si="64"/>
        <v>555.1893536017775</v>
      </c>
      <c r="CC105" s="57">
        <f t="shared" si="65"/>
        <v>833.14128967676038</v>
      </c>
      <c r="CD105" s="57">
        <f ca="1">AVERAGE(OFFSET($CC$3,0,0,'Données projet'!$E$12+1,1))-AVERAGE(OFFSET($H$3,0,0,'Données projet'!$E$12+1,1))</f>
        <v>479.4551766174892</v>
      </c>
      <c r="CE105" s="57">
        <f t="shared" si="94"/>
        <v>260.29028006191834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-2.2737367544323206E-13</v>
      </c>
      <c r="CU105" s="17">
        <f>CT105*VLOOKUP('Données projet'!$B$13,Paramètres!$A$1:$I$89,3,0)*VLOOKUP('Données projet'!$B$13,Paramètres!$A$1:$I$89,5,0)</f>
        <v>-1.2710188457276673E-13</v>
      </c>
      <c r="CV105" s="13" t="e">
        <f t="shared" si="95"/>
        <v>#NUM!</v>
      </c>
      <c r="CW105" s="20" t="e">
        <f t="shared" si="67"/>
        <v>#NUM!</v>
      </c>
      <c r="CX105" s="57" t="e">
        <f t="shared" si="68"/>
        <v>#NUM!</v>
      </c>
      <c r="CY105" s="57">
        <f ca="1">AVERAGE(OFFSET($CX$3,0,0,'Données projet'!$E$13+1,1))-AVERAGE(OFFSET($H$3,0,0,'Données projet'!$E$13+1,1))</f>
        <v>459.83870442974046</v>
      </c>
      <c r="CZ105" s="57">
        <f t="shared" si="96"/>
        <v>565.68976940602215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112.64206992179375</v>
      </c>
      <c r="DG105" s="21">
        <f>EXP(-LN(2)/25)*DG104+(1-EXP(-LN(2)/25))/(LN(2)/25)*Calculateur!DB105*Calculateur!DD105*VLOOKUP('Données projet'!$B$13,Paramètres!$A$1:$I$89,3,0)*0.475*44/12</f>
        <v>20.105732340069338</v>
      </c>
      <c r="DH105" s="21">
        <f>EXP(-LN(2)/2)*DH104+(1-EXP(-LN(2)/2))/(LN(2)/2)*DB105*DE105*VLOOKUP('Données projet'!$B$13,Paramètres!$A$1:$I$89,3,0)*0.475*44/12</f>
        <v>2.6855874250082633E-5</v>
      </c>
      <c r="DI105" s="22">
        <f t="shared" si="69"/>
        <v>132.74782911773733</v>
      </c>
      <c r="DJ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7" t="e">
        <f t="shared" si="71"/>
        <v>#NUM!</v>
      </c>
      <c r="DT105" s="57">
        <f ca="1">AVERAGE(OFFSET($DS$3,0,0,'Données projet'!$E$14+1,1))-AVERAGE(OFFSET($H$3,0,0,'Données projet'!$E$14+1,1))</f>
        <v>315.23504986325418</v>
      </c>
      <c r="DU105" s="57">
        <f t="shared" si="98"/>
        <v>350.52837099886688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61.211320908101229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61.211320908101229</v>
      </c>
      <c r="EE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>
        <f>VLOOKUP(A105,'Données projet'!$A$191:$I$211,2,0)</f>
        <v>168.8</v>
      </c>
      <c r="EH105" s="12">
        <f>VLOOKUP(A105,'Données projet'!$A$191:$I$211,9,0)</f>
        <v>3.7999999999999994</v>
      </c>
      <c r="EI105" s="12">
        <f t="array" ref="EI105">INDEX(EH:EH,MIN(IF(ISNUMBER(EH105:EH301),ROW(EH105:EH301),"")))</f>
        <v>3.7999999999999994</v>
      </c>
      <c r="EJ105" s="12">
        <f>IF('Données projet'!$A$192&gt;35,EJ104+EI105-ER104,IF(A105&lt;'Données projet'!$A$192,$EG$205^A105,IF(A105='Données projet'!$A$192,'Données projet'!$B$192,EJ104+EI105-ER104)))</f>
        <v>168.80000000000004</v>
      </c>
      <c r="EK105" s="17">
        <f>EJ105*VLOOKUP('Données projet'!$B$15,Paramètres!$A$1:$I$89,3,0)*VLOOKUP('Données projet'!$B$15,Paramètres!$A$1:$I$89,5,0)</f>
        <v>163.26336000000003</v>
      </c>
      <c r="EL105" s="13">
        <f t="shared" si="99"/>
        <v>41.57770818694005</v>
      </c>
      <c r="EM105" s="20">
        <f t="shared" si="73"/>
        <v>356.7648604255873</v>
      </c>
      <c r="EN105" s="57">
        <f t="shared" si="74"/>
        <v>634.71679650057024</v>
      </c>
      <c r="EO105" s="57">
        <f ca="1">AVERAGE(OFFSET($EN$3,0,0,'Données projet'!$E$15+1,1))-AVERAGE(OFFSET($H$3,0,0,'Données projet'!$E$15+1,1))</f>
        <v>328.31200866623891</v>
      </c>
      <c r="EP105" s="57">
        <f t="shared" si="100"/>
        <v>195.52650232917446</v>
      </c>
      <c r="EQ105" s="15">
        <f>IF(ISNA(VLOOKUP(A105,'Données projet'!$A$191:$I$211,3,0)),0,VLOOKUP(A105,'Données projet'!$A$191:$I$211,3,0))</f>
        <v>8</v>
      </c>
      <c r="ER105" s="15">
        <f>IF(ISNA(VLOOKUP(A105,'Données projet'!$A$191:$I$211,4,0)),0,VLOOKUP(A105,'Données projet'!$A$191:$I$211,4,0))</f>
        <v>32.800000000000004</v>
      </c>
      <c r="ES105" s="16">
        <f>IF(ISNA(VLOOKUP(A105,'Données projet'!$A$191:$I$211,5,0)),0%,VLOOKUP(A105,'Données projet'!$A$191:$I$211,5,0)*VLOOKUP('Données projet'!$B$15,Paramètres!$A$1:$I$89,7,0))</f>
        <v>0.38700000000000001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34.449968512176852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34.449968512176852</v>
      </c>
      <c r="EZ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7" t="e">
        <f t="shared" si="77"/>
        <v>#NUM!</v>
      </c>
      <c r="FJ105" s="57">
        <f ca="1">AVERAGE(OFFSET($FI$3,0,0,'Données projet'!$E$16+1,1))-AVERAGE(OFFSET($H$3,0,0,'Données projet'!$E$16+1,1))</f>
        <v>142.88219003619457</v>
      </c>
      <c r="FK105" s="57">
        <f t="shared" si="102"/>
        <v>288.69704547625088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11.797177035607685</v>
      </c>
      <c r="FR105" s="21">
        <f>EXP(-LN(2)/25)*FR104+(1-EXP(-LN(2)/25))/(LN(2)/25)*Calculateur!FM105*Calculateur!FO105*VLOOKUP('Données projet'!$B$16,Paramètres!$A$1:$I$89,3,0)*0.475*44/12</f>
        <v>1.6870406248276277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13.484217660435313</v>
      </c>
      <c r="FU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7" t="e">
        <f t="shared" si="80"/>
        <v>#N/A</v>
      </c>
      <c r="GE105" s="57" t="e">
        <f ca="1">AVERAGE(OFFSET($GD$3,0,0,'Données projet'!$E$17+1,1))-AVERAGE(OFFSET($H$3,0,0,'Données projet'!$E$17+1,1))</f>
        <v>#N/A</v>
      </c>
      <c r="GF105" s="57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7" t="e">
        <f t="shared" si="83"/>
        <v>#N/A</v>
      </c>
      <c r="GZ105" s="57" t="e">
        <f ca="1">AVERAGE(OFFSET($GY$3,0,0,'Données projet'!$E$18+1,1))-AVERAGE(OFFSET($H$3,0,0,'Données projet'!$E$18+1,1))</f>
        <v>#N/A</v>
      </c>
      <c r="HA105" s="57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1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5">
        <f t="shared" si="56"/>
        <v>183.33333333333334</v>
      </c>
      <c r="I106" s="6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5.5</v>
      </c>
      <c r="N106" s="13">
        <f>IF('Données projet'!$A$36&gt;35,N105+M106-V105,IF(A106&lt;'Données projet'!$A$36,$K$205^A106,IF(A106='Données projet'!$A$36,'Données projet'!$B$36,N105+M106-V105)))</f>
        <v>349.00000000000017</v>
      </c>
      <c r="O106" s="13">
        <f>N106*VLOOKUP('Données projet'!$B$9,Paramètres!$A$1:$I$89,3,0)*VLOOKUP('Données projet'!$B$9,Paramètres!$A$1:$I$89,5,0)</f>
        <v>315.7752000000001</v>
      </c>
      <c r="P106" s="13">
        <f t="shared" si="87"/>
        <v>74.473623067174074</v>
      </c>
      <c r="Q106" s="20">
        <f t="shared" si="107"/>
        <v>679.68336684199494</v>
      </c>
      <c r="R106" s="57">
        <f t="shared" si="55"/>
        <v>957.90213577175768</v>
      </c>
      <c r="S106" s="57">
        <f ca="1">AVERAGE(OFFSET($R$3,0,0,'Données projet'!$E$9+1,1))-AVERAGE(OFFSET($H$3,0,0,'Données projet'!$E$9+1,1))</f>
        <v>539.63700256763173</v>
      </c>
      <c r="T106" s="57">
        <f t="shared" si="88"/>
        <v>297.32483725004136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5.5</v>
      </c>
      <c r="AI106" s="13">
        <f>IF('Données projet'!$A$62&gt;35,AI105+AH106-AQ105,IF(A106&lt;'Données projet'!$A$62,$AF$205^A106,IF(A106='Données projet'!$A$62,'Données projet'!$B$62,AI105+AH106-AQ105)))</f>
        <v>349.00000000000017</v>
      </c>
      <c r="AJ106" s="13">
        <f>AI106*VLOOKUP('Données projet'!$B$10,Paramètres!$A$1:$I$89,3,0)*VLOOKUP('Données projet'!$B$10,Paramètres!$A$1:$I$89,5,0)</f>
        <v>293.99760000000015</v>
      </c>
      <c r="AK106" s="13">
        <f t="shared" si="89"/>
        <v>69.916653567821541</v>
      </c>
      <c r="AL106" s="20">
        <f t="shared" si="58"/>
        <v>633.81732496395614</v>
      </c>
      <c r="AM106" s="57">
        <f t="shared" si="59"/>
        <v>912.03609389371877</v>
      </c>
      <c r="AN106" s="57">
        <f ca="1">AVERAGE(OFFSET($AM$3,0,0,'Données projet'!$E$10+1,1))-AVERAGE(OFFSET($H$3,0,0,'Données projet'!$E$10+1,1))</f>
        <v>508.21188526136734</v>
      </c>
      <c r="AO106" s="57">
        <f t="shared" si="90"/>
        <v>281.06176764290592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-1.064108801074326E-13</v>
      </c>
      <c r="BF106" s="13" t="e">
        <f t="shared" si="91"/>
        <v>#NUM!</v>
      </c>
      <c r="BG106" s="20" t="e">
        <f t="shared" si="61"/>
        <v>#NUM!</v>
      </c>
      <c r="BH106" s="57" t="e">
        <f t="shared" si="62"/>
        <v>#NUM!</v>
      </c>
      <c r="BI106" s="57">
        <f ca="1">AVERAGE(OFFSET($BH$3,0,0,'Données projet'!$E$11+1,1))-AVERAGE(OFFSET($H$3,0,0,'Données projet'!$E$11+1,1))</f>
        <v>449.50723280509311</v>
      </c>
      <c r="BJ106" s="57">
        <f t="shared" si="92"/>
        <v>281.26353650058275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219.62197135034353</v>
      </c>
      <c r="BQ106" s="21">
        <f>EXP(-LN(2)/25)*BQ105+(1-EXP(-LN(2)/25))/(LN(2)/25)*Calculateur!BL106*Calculateur!BN106*VLOOKUP('Données projet'!$B$11,Paramètres!$A$1:$I$89,3,0)*0.475*44/12</f>
        <v>48.425770924677536</v>
      </c>
      <c r="BR106" s="21">
        <f>EXP(-LN(2)/2)*BR105+(1-EXP(-LN(2)/2))/(LN(2)/2)*BL106*BO106*VLOOKUP('Données projet'!$B$11,Paramètres!$A$1:$I$89,3,0)*0.475*44/12</f>
        <v>14.963950871576452</v>
      </c>
      <c r="BS106" s="22">
        <f t="shared" si="63"/>
        <v>283.01169314659751</v>
      </c>
      <c r="BT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4.4000000000000004</v>
      </c>
      <c r="BY106" s="12">
        <f>IF('Données projet'!$A$114&gt;35,BY105+BX106-CG105,IF(A106&lt;'Données projet'!$A$114,$BV$205^A106,IF(A106='Données projet'!$A$114,'Données projet'!$B$114,BY105+BX106-CG105)))</f>
        <v>274.19999999999953</v>
      </c>
      <c r="BZ106" s="13">
        <f>BY106*VLOOKUP('Données projet'!$B$12,Paramètres!$A$1:$I$89,3,0)*VLOOKUP('Données projet'!$B$12,Paramètres!$A$1:$I$89,5,0)</f>
        <v>260.92871999999954</v>
      </c>
      <c r="CA106" s="13">
        <f t="shared" si="93"/>
        <v>62.920302429197918</v>
      </c>
      <c r="CB106" s="20">
        <f t="shared" si="64"/>
        <v>564.0370473975189</v>
      </c>
      <c r="CC106" s="57">
        <f t="shared" si="65"/>
        <v>842.25581632728154</v>
      </c>
      <c r="CD106" s="57">
        <f ca="1">AVERAGE(OFFSET($CC$3,0,0,'Données projet'!$E$12+1,1))-AVERAGE(OFFSET($H$3,0,0,'Données projet'!$E$12+1,1))</f>
        <v>479.4551766174892</v>
      </c>
      <c r="CE106" s="57">
        <f t="shared" si="94"/>
        <v>260.29028006191834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-2.2737367544323206E-13</v>
      </c>
      <c r="CU106" s="17">
        <f>CT106*VLOOKUP('Données projet'!$B$13,Paramètres!$A$1:$I$89,3,0)*VLOOKUP('Données projet'!$B$13,Paramètres!$A$1:$I$89,5,0)</f>
        <v>-1.2710188457276673E-13</v>
      </c>
      <c r="CV106" s="13" t="e">
        <f t="shared" si="95"/>
        <v>#NUM!</v>
      </c>
      <c r="CW106" s="20" t="e">
        <f t="shared" si="67"/>
        <v>#NUM!</v>
      </c>
      <c r="CX106" s="57" t="e">
        <f t="shared" si="68"/>
        <v>#NUM!</v>
      </c>
      <c r="CY106" s="57">
        <f ca="1">AVERAGE(OFFSET($CX$3,0,0,'Données projet'!$E$13+1,1))-AVERAGE(OFFSET($H$3,0,0,'Données projet'!$E$13+1,1))</f>
        <v>459.83870442974046</v>
      </c>
      <c r="CZ106" s="57">
        <f t="shared" si="96"/>
        <v>565.68976940602215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110.43322763550599</v>
      </c>
      <c r="DG106" s="21">
        <f>EXP(-LN(2)/25)*DG105+(1-EXP(-LN(2)/25))/(LN(2)/25)*Calculateur!DB106*Calculateur!DD106*VLOOKUP('Données projet'!$B$13,Paramètres!$A$1:$I$89,3,0)*0.475*44/12</f>
        <v>19.555940031915629</v>
      </c>
      <c r="DH106" s="21">
        <f>EXP(-LN(2)/2)*DH105+(1-EXP(-LN(2)/2))/(LN(2)/2)*DB106*DE106*VLOOKUP('Données projet'!$B$13,Paramètres!$A$1:$I$89,3,0)*0.475*44/12</f>
        <v>1.8989970796926616E-5</v>
      </c>
      <c r="DI106" s="22">
        <f t="shared" si="69"/>
        <v>129.98918665739239</v>
      </c>
      <c r="DJ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7" t="e">
        <f t="shared" si="71"/>
        <v>#NUM!</v>
      </c>
      <c r="DT106" s="57">
        <f ca="1">AVERAGE(OFFSET($DS$3,0,0,'Données projet'!$E$14+1,1))-AVERAGE(OFFSET($H$3,0,0,'Données projet'!$E$14+1,1))</f>
        <v>315.23504986325418</v>
      </c>
      <c r="DU106" s="57">
        <f t="shared" si="98"/>
        <v>350.52837099886688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60.011004240312573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60.011004240312573</v>
      </c>
      <c r="EE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3.6666666666666665</v>
      </c>
      <c r="EJ106" s="12">
        <f>IF('Données projet'!$A$192&gt;35,EJ105+EI106-ER105,IF(A106&lt;'Données projet'!$A$192,$EG$205^A106,IF(A106='Données projet'!$A$192,'Données projet'!$B$192,EJ105+EI106-ER105)))</f>
        <v>139.66666666666669</v>
      </c>
      <c r="EK106" s="17">
        <f>EJ106*VLOOKUP('Données projet'!$B$15,Paramètres!$A$1:$I$89,3,0)*VLOOKUP('Données projet'!$B$15,Paramètres!$A$1:$I$89,5,0)</f>
        <v>135.08560000000003</v>
      </c>
      <c r="EL106" s="13">
        <f t="shared" si="99"/>
        <v>35.168854814636411</v>
      </c>
      <c r="EM106" s="20">
        <f t="shared" si="73"/>
        <v>296.52650880215845</v>
      </c>
      <c r="EN106" s="57">
        <f t="shared" si="74"/>
        <v>574.74527773192108</v>
      </c>
      <c r="EO106" s="57">
        <f ca="1">AVERAGE(OFFSET($EN$3,0,0,'Données projet'!$E$15+1,1))-AVERAGE(OFFSET($H$3,0,0,'Données projet'!$E$15+1,1))</f>
        <v>328.31200866623891</v>
      </c>
      <c r="EP106" s="57">
        <f t="shared" si="100"/>
        <v>195.52650232917446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33.77442564205905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33.77442564205905</v>
      </c>
      <c r="EZ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7" t="e">
        <f t="shared" si="77"/>
        <v>#NUM!</v>
      </c>
      <c r="FJ106" s="57">
        <f ca="1">AVERAGE(OFFSET($FI$3,0,0,'Données projet'!$E$16+1,1))-AVERAGE(OFFSET($H$3,0,0,'Données projet'!$E$16+1,1))</f>
        <v>142.88219003619457</v>
      </c>
      <c r="FK106" s="57">
        <f t="shared" si="102"/>
        <v>288.69704547625088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11.565841589506906</v>
      </c>
      <c r="FR106" s="21">
        <f>EXP(-LN(2)/25)*FR105+(1-EXP(-LN(2)/25))/(LN(2)/25)*Calculateur!FM106*Calculateur!FO106*VLOOKUP('Données projet'!$B$16,Paramètres!$A$1:$I$89,3,0)*0.475*44/12</f>
        <v>1.6409084102241056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13.206749999731011</v>
      </c>
      <c r="FU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7" t="e">
        <f t="shared" si="80"/>
        <v>#N/A</v>
      </c>
      <c r="GE106" s="57" t="e">
        <f ca="1">AVERAGE(OFFSET($GD$3,0,0,'Données projet'!$E$17+1,1))-AVERAGE(OFFSET($H$3,0,0,'Données projet'!$E$17+1,1))</f>
        <v>#N/A</v>
      </c>
      <c r="GF106" s="57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7" t="e">
        <f t="shared" si="83"/>
        <v>#N/A</v>
      </c>
      <c r="GZ106" s="57" t="e">
        <f ca="1">AVERAGE(OFFSET($GY$3,0,0,'Données projet'!$E$18+1,1))-AVERAGE(OFFSET($H$3,0,0,'Données projet'!$E$18+1,1))</f>
        <v>#N/A</v>
      </c>
      <c r="HA106" s="57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1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5">
        <f t="shared" si="56"/>
        <v>183.33333333333334</v>
      </c>
      <c r="I107" s="6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5.5</v>
      </c>
      <c r="N107" s="13">
        <f>IF('Données projet'!$A$36&gt;35,N106+M107-V106,IF(A107&lt;'Données projet'!$A$36,$K$205^A107,IF(A107='Données projet'!$A$36,'Données projet'!$B$36,N106+M107-V106)))</f>
        <v>354.50000000000017</v>
      </c>
      <c r="O107" s="13">
        <f>N107*VLOOKUP('Données projet'!$B$9,Paramètres!$A$1:$I$89,3,0)*VLOOKUP('Données projet'!$B$9,Paramètres!$A$1:$I$89,5,0)</f>
        <v>320.75160000000017</v>
      </c>
      <c r="P107" s="13">
        <f t="shared" si="87"/>
        <v>75.509717301059425</v>
      </c>
      <c r="Q107" s="20">
        <f t="shared" si="107"/>
        <v>690.15512763267873</v>
      </c>
      <c r="R107" s="57">
        <f t="shared" si="55"/>
        <v>968.63610046373969</v>
      </c>
      <c r="S107" s="57">
        <f ca="1">AVERAGE(OFFSET($R$3,0,0,'Données projet'!$E$9+1,1))-AVERAGE(OFFSET($H$3,0,0,'Données projet'!$E$9+1,1))</f>
        <v>539.63700256763173</v>
      </c>
      <c r="T107" s="57">
        <f t="shared" si="88"/>
        <v>297.32483725004136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5.5</v>
      </c>
      <c r="AI107" s="13">
        <f>IF('Données projet'!$A$62&gt;35,AI106+AH107-AQ106,IF(A107&lt;'Données projet'!$A$62,$AF$205^A107,IF(A107='Données projet'!$A$62,'Données projet'!$B$62,AI106+AH107-AQ106)))</f>
        <v>354.50000000000017</v>
      </c>
      <c r="AJ107" s="13">
        <f>AI107*VLOOKUP('Données projet'!$B$10,Paramètres!$A$1:$I$89,3,0)*VLOOKUP('Données projet'!$B$10,Paramètres!$A$1:$I$89,5,0)</f>
        <v>298.63080000000014</v>
      </c>
      <c r="AK107" s="13">
        <f t="shared" si="89"/>
        <v>70.889350190206017</v>
      </c>
      <c r="AL107" s="20">
        <f t="shared" si="58"/>
        <v>643.58092824794232</v>
      </c>
      <c r="AM107" s="57">
        <f t="shared" si="59"/>
        <v>922.06190107900329</v>
      </c>
      <c r="AN107" s="57">
        <f ca="1">AVERAGE(OFFSET($AM$3,0,0,'Données projet'!$E$10+1,1))-AVERAGE(OFFSET($H$3,0,0,'Données projet'!$E$10+1,1))</f>
        <v>508.21188526136734</v>
      </c>
      <c r="AO107" s="57">
        <f t="shared" si="90"/>
        <v>281.06176764290592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-1.064108801074326E-13</v>
      </c>
      <c r="BF107" s="13" t="e">
        <f t="shared" si="91"/>
        <v>#NUM!</v>
      </c>
      <c r="BG107" s="20" t="e">
        <f t="shared" si="61"/>
        <v>#NUM!</v>
      </c>
      <c r="BH107" s="57" t="e">
        <f t="shared" si="62"/>
        <v>#NUM!</v>
      </c>
      <c r="BI107" s="57">
        <f ca="1">AVERAGE(OFFSET($BH$3,0,0,'Données projet'!$E$11+1,1))-AVERAGE(OFFSET($H$3,0,0,'Données projet'!$E$11+1,1))</f>
        <v>449.50723280509311</v>
      </c>
      <c r="BJ107" s="57">
        <f t="shared" si="92"/>
        <v>281.26353650058275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215.31531844833873</v>
      </c>
      <c r="BQ107" s="21">
        <f>EXP(-LN(2)/25)*BQ106+(1-EXP(-LN(2)/25))/(LN(2)/25)*Calculateur!BL107*Calculateur!BN107*VLOOKUP('Données projet'!$B$11,Paramètres!$A$1:$I$89,3,0)*0.475*44/12</f>
        <v>47.101565672141618</v>
      </c>
      <c r="BR107" s="21">
        <f>EXP(-LN(2)/2)*BR106+(1-EXP(-LN(2)/2))/(LN(2)/2)*BL107*BO107*VLOOKUP('Données projet'!$B$11,Paramètres!$A$1:$I$89,3,0)*0.475*44/12</f>
        <v>10.581111134634059</v>
      </c>
      <c r="BS107" s="22">
        <f t="shared" si="63"/>
        <v>272.9979952551144</v>
      </c>
      <c r="BT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4.4000000000000004</v>
      </c>
      <c r="BY107" s="12">
        <f>IF('Données projet'!$A$114&gt;35,BY106+BX107-CG106,IF(A107&lt;'Données projet'!$A$114,$BV$205^A107,IF(A107='Données projet'!$A$114,'Données projet'!$B$114,BY106+BX107-CG106)))</f>
        <v>278.59999999999951</v>
      </c>
      <c r="BZ107" s="13">
        <f>BY107*VLOOKUP('Données projet'!$B$12,Paramètres!$A$1:$I$89,3,0)*VLOOKUP('Données projet'!$B$12,Paramètres!$A$1:$I$89,5,0)</f>
        <v>265.11575999999951</v>
      </c>
      <c r="CA107" s="13">
        <f t="shared" si="93"/>
        <v>63.811611556951689</v>
      </c>
      <c r="CB107" s="20">
        <f t="shared" si="64"/>
        <v>572.88183879502333</v>
      </c>
      <c r="CC107" s="57">
        <f t="shared" si="65"/>
        <v>851.36281162608429</v>
      </c>
      <c r="CD107" s="57">
        <f ca="1">AVERAGE(OFFSET($CC$3,0,0,'Données projet'!$E$12+1,1))-AVERAGE(OFFSET($H$3,0,0,'Données projet'!$E$12+1,1))</f>
        <v>479.4551766174892</v>
      </c>
      <c r="CE107" s="57">
        <f t="shared" si="94"/>
        <v>260.29028006191834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-2.2737367544323206E-13</v>
      </c>
      <c r="CU107" s="17">
        <f>CT107*VLOOKUP('Données projet'!$B$13,Paramètres!$A$1:$I$89,3,0)*VLOOKUP('Données projet'!$B$13,Paramètres!$A$1:$I$89,5,0)</f>
        <v>-1.2710188457276673E-13</v>
      </c>
      <c r="CV107" s="13" t="e">
        <f t="shared" si="95"/>
        <v>#NUM!</v>
      </c>
      <c r="CW107" s="20" t="e">
        <f t="shared" si="67"/>
        <v>#NUM!</v>
      </c>
      <c r="CX107" s="57" t="e">
        <f t="shared" si="68"/>
        <v>#NUM!</v>
      </c>
      <c r="CY107" s="57">
        <f ca="1">AVERAGE(OFFSET($CX$3,0,0,'Données projet'!$E$13+1,1))-AVERAGE(OFFSET($H$3,0,0,'Données projet'!$E$13+1,1))</f>
        <v>459.83870442974046</v>
      </c>
      <c r="CZ107" s="57">
        <f t="shared" si="96"/>
        <v>565.68976940602215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108.26769939919156</v>
      </c>
      <c r="DG107" s="21">
        <f>EXP(-LN(2)/25)*DG106+(1-EXP(-LN(2)/25))/(LN(2)/25)*Calculateur!DB107*Calculateur!DD107*VLOOKUP('Données projet'!$B$13,Paramètres!$A$1:$I$89,3,0)*0.475*44/12</f>
        <v>19.021181823340704</v>
      </c>
      <c r="DH107" s="21">
        <f>EXP(-LN(2)/2)*DH106+(1-EXP(-LN(2)/2))/(LN(2)/2)*DB107*DE107*VLOOKUP('Données projet'!$B$13,Paramètres!$A$1:$I$89,3,0)*0.475*44/12</f>
        <v>1.3427937125041316E-5</v>
      </c>
      <c r="DI107" s="22">
        <f t="shared" si="69"/>
        <v>127.28889465046939</v>
      </c>
      <c r="DJ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7" t="e">
        <f t="shared" si="71"/>
        <v>#NUM!</v>
      </c>
      <c r="DT107" s="57">
        <f ca="1">AVERAGE(OFFSET($DS$3,0,0,'Données projet'!$E$14+1,1))-AVERAGE(OFFSET($H$3,0,0,'Données projet'!$E$14+1,1))</f>
        <v>315.23504986325418</v>
      </c>
      <c r="DU107" s="57">
        <f t="shared" si="98"/>
        <v>350.52837099886688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58.834225050258375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58.834225050258375</v>
      </c>
      <c r="EE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3.6666666666666665</v>
      </c>
      <c r="EJ107" s="12">
        <f>IF('Données projet'!$A$192&gt;35,EJ106+EI107-ER106,IF(A107&lt;'Données projet'!$A$192,$EG$205^A107,IF(A107='Données projet'!$A$192,'Données projet'!$B$192,EJ106+EI107-ER106)))</f>
        <v>143.33333333333334</v>
      </c>
      <c r="EK107" s="17">
        <f>EJ107*VLOOKUP('Données projet'!$B$15,Paramètres!$A$1:$I$89,3,0)*VLOOKUP('Données projet'!$B$15,Paramètres!$A$1:$I$89,5,0)</f>
        <v>138.63200000000001</v>
      </c>
      <c r="EL107" s="13">
        <f t="shared" si="99"/>
        <v>35.98343702988933</v>
      </c>
      <c r="EM107" s="20">
        <f t="shared" si="73"/>
        <v>304.1218861603906</v>
      </c>
      <c r="EN107" s="57">
        <f t="shared" si="74"/>
        <v>582.60285899145151</v>
      </c>
      <c r="EO107" s="57">
        <f ca="1">AVERAGE(OFFSET($EN$3,0,0,'Données projet'!$E$15+1,1))-AVERAGE(OFFSET($H$3,0,0,'Données projet'!$E$15+1,1))</f>
        <v>328.31200866623891</v>
      </c>
      <c r="EP107" s="57">
        <f t="shared" si="100"/>
        <v>195.52650232917446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33.112129755583794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33.112129755583794</v>
      </c>
      <c r="EZ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7" t="e">
        <f t="shared" si="77"/>
        <v>#NUM!</v>
      </c>
      <c r="FJ107" s="57">
        <f ca="1">AVERAGE(OFFSET($FI$3,0,0,'Données projet'!$E$16+1,1))-AVERAGE(OFFSET($H$3,0,0,'Données projet'!$E$16+1,1))</f>
        <v>142.88219003619457</v>
      </c>
      <c r="FK107" s="57">
        <f t="shared" si="102"/>
        <v>288.69704547625088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11.339042490403475</v>
      </c>
      <c r="FR107" s="21">
        <f>EXP(-LN(2)/25)*FR106+(1-EXP(-LN(2)/25))/(LN(2)/25)*Calculateur!FM107*Calculateur!FO107*VLOOKUP('Données projet'!$B$16,Paramètres!$A$1:$I$89,3,0)*0.475*44/12</f>
        <v>1.5960376834549046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12.935080173858379</v>
      </c>
      <c r="FU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7" t="e">
        <f t="shared" si="80"/>
        <v>#N/A</v>
      </c>
      <c r="GE107" s="57" t="e">
        <f ca="1">AVERAGE(OFFSET($GD$3,0,0,'Données projet'!$E$17+1,1))-AVERAGE(OFFSET($H$3,0,0,'Données projet'!$E$17+1,1))</f>
        <v>#N/A</v>
      </c>
      <c r="GF107" s="57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7" t="e">
        <f t="shared" si="83"/>
        <v>#N/A</v>
      </c>
      <c r="GZ107" s="57" t="e">
        <f ca="1">AVERAGE(OFFSET($GY$3,0,0,'Données projet'!$E$18+1,1))-AVERAGE(OFFSET($H$3,0,0,'Données projet'!$E$18+1,1))</f>
        <v>#N/A</v>
      </c>
      <c r="HA107" s="57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1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5">
        <f t="shared" si="56"/>
        <v>183.33333333333334</v>
      </c>
      <c r="I108" s="6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360</v>
      </c>
      <c r="L108" s="12">
        <f>VLOOKUP(A108,'Données projet'!$A$35:$I$55,9,0)</f>
        <v>5.5</v>
      </c>
      <c r="M108" s="12">
        <f t="array" ref="M108">INDEX(L:L,MIN(IF(ISNUMBER(L108:L304),ROW(L108:L304),"")))</f>
        <v>5.5</v>
      </c>
      <c r="N108" s="13">
        <f>IF('Données projet'!$A$36&gt;35,N107+M108-V107,IF(A108&lt;'Données projet'!$A$36,$K$205^A108,IF(A108='Données projet'!$A$36,'Données projet'!$B$36,N107+M108-V107)))</f>
        <v>360.00000000000017</v>
      </c>
      <c r="O108" s="13">
        <f>N108*VLOOKUP('Données projet'!$B$9,Paramètres!$A$1:$I$89,3,0)*VLOOKUP('Données projet'!$B$9,Paramètres!$A$1:$I$89,5,0)</f>
        <v>325.72800000000018</v>
      </c>
      <c r="P108" s="13">
        <f t="shared" si="87"/>
        <v>76.543942036894109</v>
      </c>
      <c r="Q108" s="20">
        <f t="shared" si="107"/>
        <v>700.62363238092428</v>
      </c>
      <c r="R108" s="57">
        <f t="shared" si="55"/>
        <v>979.36226046179604</v>
      </c>
      <c r="S108" s="57">
        <f ca="1">AVERAGE(OFFSET($R$3,0,0,'Données projet'!$E$9+1,1))-AVERAGE(OFFSET($H$3,0,0,'Données projet'!$E$9+1,1))</f>
        <v>539.63700256763173</v>
      </c>
      <c r="T108" s="57">
        <f t="shared" si="88"/>
        <v>297.32483725004136</v>
      </c>
      <c r="U108" s="15">
        <f>IF(ISNA(VLOOKUP(A108,'Données projet'!$A$35:$I$55,3,0)),0,VLOOKUP(A108,'Données projet'!$A$35:$I$55,3,0))</f>
        <v>15</v>
      </c>
      <c r="V108" s="15">
        <f>IF(ISNA(VLOOKUP(A108,'Données projet'!$A$35:$I$55,4,0)),0,VLOOKUP(A108,'Données projet'!$A$35:$I$55,4,0))</f>
        <v>53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360</v>
      </c>
      <c r="AG108" s="12">
        <f>VLOOKUP(A108,'Données projet'!$A$61:$I$81,9,0)</f>
        <v>5.5</v>
      </c>
      <c r="AH108" s="12">
        <f t="array" ref="AH108">INDEX(AG:AG,MIN(IF(ISNUMBER(AG108:AG304),ROW(AG108:AG304),"")))</f>
        <v>5.5</v>
      </c>
      <c r="AI108" s="13">
        <f>IF('Données projet'!$A$62&gt;35,AI107+AH108-AQ107,IF(A108&lt;'Données projet'!$A$62,$AF$205^A108,IF(A108='Données projet'!$A$62,'Données projet'!$B$62,AI107+AH108-AQ107)))</f>
        <v>360.00000000000017</v>
      </c>
      <c r="AJ108" s="13">
        <f>AI108*VLOOKUP('Données projet'!$B$10,Paramètres!$A$1:$I$89,3,0)*VLOOKUP('Données projet'!$B$10,Paramètres!$A$1:$I$89,5,0)</f>
        <v>303.26400000000018</v>
      </c>
      <c r="AK108" s="13">
        <f t="shared" si="89"/>
        <v>71.860291707330859</v>
      </c>
      <c r="AL108" s="20">
        <f t="shared" si="58"/>
        <v>653.34147472360155</v>
      </c>
      <c r="AM108" s="57">
        <f t="shared" si="59"/>
        <v>932.08010280447331</v>
      </c>
      <c r="AN108" s="57">
        <f ca="1">AVERAGE(OFFSET($AM$3,0,0,'Données projet'!$E$10+1,1))-AVERAGE(OFFSET($H$3,0,0,'Données projet'!$E$10+1,1))</f>
        <v>508.21188526136734</v>
      </c>
      <c r="AO108" s="57">
        <f t="shared" si="90"/>
        <v>281.06176764290592</v>
      </c>
      <c r="AP108" s="15">
        <f>IF(ISNA(VLOOKUP(A108,'Données projet'!$A$61:$I$81,3,0)),0,VLOOKUP(A108,'Données projet'!$A$61:$I$81,3,0))</f>
        <v>15</v>
      </c>
      <c r="AQ108" s="15">
        <f>IF(ISNA(VLOOKUP(A108,'Données projet'!$A$61:$I$81,4,0)),0,VLOOKUP(A108,'Données projet'!$A$61:$I$81,4,0))</f>
        <v>53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-1.064108801074326E-13</v>
      </c>
      <c r="BF108" s="13" t="e">
        <f t="shared" si="91"/>
        <v>#NUM!</v>
      </c>
      <c r="BG108" s="20" t="e">
        <f t="shared" si="61"/>
        <v>#NUM!</v>
      </c>
      <c r="BH108" s="57" t="e">
        <f t="shared" si="62"/>
        <v>#NUM!</v>
      </c>
      <c r="BI108" s="57">
        <f ca="1">AVERAGE(OFFSET($BH$3,0,0,'Données projet'!$E$11+1,1))-AVERAGE(OFFSET($H$3,0,0,'Données projet'!$E$11+1,1))</f>
        <v>449.50723280509311</v>
      </c>
      <c r="BJ108" s="57">
        <f t="shared" si="92"/>
        <v>281.26353650058275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211.09311638294335</v>
      </c>
      <c r="BQ108" s="21">
        <f>EXP(-LN(2)/25)*BQ107+(1-EXP(-LN(2)/25))/(LN(2)/25)*Calculateur!BL108*Calculateur!BN108*VLOOKUP('Données projet'!$B$11,Paramètres!$A$1:$I$89,3,0)*0.475*44/12</f>
        <v>45.813570881873218</v>
      </c>
      <c r="BR108" s="21">
        <f>EXP(-LN(2)/2)*BR107+(1-EXP(-LN(2)/2))/(LN(2)/2)*BL108*BO108*VLOOKUP('Données projet'!$B$11,Paramètres!$A$1:$I$89,3,0)*0.475*44/12</f>
        <v>7.4819754357882271</v>
      </c>
      <c r="BS108" s="22">
        <f t="shared" si="63"/>
        <v>264.38866270060481</v>
      </c>
      <c r="BT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4.4000000000000004</v>
      </c>
      <c r="BY108" s="12">
        <f>IF('Données projet'!$A$114&gt;35,BY107+BX108-CG107,IF(A108&lt;'Données projet'!$A$114,$BV$205^A108,IF(A108='Données projet'!$A$114,'Données projet'!$B$114,BY107+BX108-CG107)))</f>
        <v>282.99999999999949</v>
      </c>
      <c r="BZ108" s="13">
        <f>BY108*VLOOKUP('Données projet'!$B$12,Paramètres!$A$1:$I$89,3,0)*VLOOKUP('Données projet'!$B$12,Paramètres!$A$1:$I$89,5,0)</f>
        <v>269.30279999999954</v>
      </c>
      <c r="CA108" s="13">
        <f t="shared" si="93"/>
        <v>64.701283593559836</v>
      </c>
      <c r="CB108" s="20">
        <f t="shared" si="64"/>
        <v>581.72377892544921</v>
      </c>
      <c r="CC108" s="57">
        <f t="shared" si="65"/>
        <v>860.46240700632097</v>
      </c>
      <c r="CD108" s="57">
        <f ca="1">AVERAGE(OFFSET($CC$3,0,0,'Données projet'!$E$12+1,1))-AVERAGE(OFFSET($H$3,0,0,'Données projet'!$E$12+1,1))</f>
        <v>479.4551766174892</v>
      </c>
      <c r="CE108" s="57">
        <f t="shared" si="94"/>
        <v>260.29028006191834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-2.2737367544323206E-13</v>
      </c>
      <c r="CU108" s="17">
        <f>CT108*VLOOKUP('Données projet'!$B$13,Paramètres!$A$1:$I$89,3,0)*VLOOKUP('Données projet'!$B$13,Paramètres!$A$1:$I$89,5,0)</f>
        <v>-1.2710188457276673E-13</v>
      </c>
      <c r="CV108" s="13" t="e">
        <f t="shared" si="95"/>
        <v>#NUM!</v>
      </c>
      <c r="CW108" s="20" t="e">
        <f t="shared" si="67"/>
        <v>#NUM!</v>
      </c>
      <c r="CX108" s="57" t="e">
        <f t="shared" si="68"/>
        <v>#NUM!</v>
      </c>
      <c r="CY108" s="57">
        <f ca="1">AVERAGE(OFFSET($CX$3,0,0,'Données projet'!$E$13+1,1))-AVERAGE(OFFSET($H$3,0,0,'Données projet'!$E$13+1,1))</f>
        <v>459.83870442974046</v>
      </c>
      <c r="CZ108" s="57">
        <f t="shared" si="96"/>
        <v>565.68976940602215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106.14463585074945</v>
      </c>
      <c r="DG108" s="21">
        <f>EXP(-LN(2)/25)*DG107+(1-EXP(-LN(2)/25))/(LN(2)/25)*Calculateur!DB108*Calculateur!DD108*VLOOKUP('Données projet'!$B$13,Paramètres!$A$1:$I$89,3,0)*0.475*44/12</f>
        <v>18.501046606100974</v>
      </c>
      <c r="DH108" s="21">
        <f>EXP(-LN(2)/2)*DH107+(1-EXP(-LN(2)/2))/(LN(2)/2)*DB108*DE108*VLOOKUP('Données projet'!$B$13,Paramètres!$A$1:$I$89,3,0)*0.475*44/12</f>
        <v>9.4949853984633079E-6</v>
      </c>
      <c r="DI108" s="22">
        <f t="shared" si="69"/>
        <v>124.64569195183581</v>
      </c>
      <c r="DJ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7" t="e">
        <f t="shared" si="71"/>
        <v>#NUM!</v>
      </c>
      <c r="DT108" s="57">
        <f ca="1">AVERAGE(OFFSET($DS$3,0,0,'Données projet'!$E$14+1,1))-AVERAGE(OFFSET($H$3,0,0,'Données projet'!$E$14+1,1))</f>
        <v>315.23504986325418</v>
      </c>
      <c r="DU108" s="57">
        <f t="shared" si="98"/>
        <v>350.52837099886688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57.680521782356706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57.680521782356706</v>
      </c>
      <c r="EE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3.6666666666666665</v>
      </c>
      <c r="EJ108" s="12">
        <f>IF('Données projet'!$A$192&gt;35,EJ107+EI108-ER107,IF(A108&lt;'Données projet'!$A$192,$EG$205^A108,IF(A108='Données projet'!$A$192,'Données projet'!$B$192,EJ107+EI108-ER107)))</f>
        <v>147</v>
      </c>
      <c r="EK108" s="17">
        <f>EJ108*VLOOKUP('Données projet'!$B$15,Paramètres!$A$1:$I$89,3,0)*VLOOKUP('Données projet'!$B$15,Paramètres!$A$1:$I$89,5,0)</f>
        <v>142.17840000000001</v>
      </c>
      <c r="EL108" s="13">
        <f t="shared" si="99"/>
        <v>36.795597013009356</v>
      </c>
      <c r="EM108" s="20">
        <f t="shared" si="73"/>
        <v>311.71304479765791</v>
      </c>
      <c r="EN108" s="57">
        <f t="shared" si="74"/>
        <v>590.45167287852973</v>
      </c>
      <c r="EO108" s="57">
        <f ca="1">AVERAGE(OFFSET($EN$3,0,0,'Données projet'!$E$15+1,1))-AVERAGE(OFFSET($H$3,0,0,'Données projet'!$E$15+1,1))</f>
        <v>328.31200866623891</v>
      </c>
      <c r="EP108" s="57">
        <f t="shared" si="100"/>
        <v>195.52650232917446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32.462821087481714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32.462821087481714</v>
      </c>
      <c r="EZ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7" t="e">
        <f t="shared" si="77"/>
        <v>#NUM!</v>
      </c>
      <c r="FJ108" s="57">
        <f ca="1">AVERAGE(OFFSET($FI$3,0,0,'Données projet'!$E$16+1,1))-AVERAGE(OFFSET($H$3,0,0,'Données projet'!$E$16+1,1))</f>
        <v>142.88219003619457</v>
      </c>
      <c r="FK108" s="57">
        <f t="shared" si="102"/>
        <v>288.69704547625088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11.116690783299671</v>
      </c>
      <c r="FR108" s="21">
        <f>EXP(-LN(2)/25)*FR107+(1-EXP(-LN(2)/25))/(LN(2)/25)*Calculateur!FM108*Calculateur!FO108*VLOOKUP('Données projet'!$B$16,Paramètres!$A$1:$I$89,3,0)*0.475*44/12</f>
        <v>1.5523939490688563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12.669084732368527</v>
      </c>
      <c r="FU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7" t="e">
        <f t="shared" si="80"/>
        <v>#N/A</v>
      </c>
      <c r="GE108" s="57" t="e">
        <f ca="1">AVERAGE(OFFSET($GD$3,0,0,'Données projet'!$E$17+1,1))-AVERAGE(OFFSET($H$3,0,0,'Données projet'!$E$17+1,1))</f>
        <v>#N/A</v>
      </c>
      <c r="GF108" s="57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7" t="e">
        <f t="shared" si="83"/>
        <v>#N/A</v>
      </c>
      <c r="GZ108" s="57" t="e">
        <f ca="1">AVERAGE(OFFSET($GY$3,0,0,'Données projet'!$E$18+1,1))-AVERAGE(OFFSET($H$3,0,0,'Données projet'!$E$18+1,1))</f>
        <v>#N/A</v>
      </c>
      <c r="HA108" s="57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1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5">
        <f t="shared" si="56"/>
        <v>183.33333333333334</v>
      </c>
      <c r="I109" s="6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4.9000000000000004</v>
      </c>
      <c r="N109" s="13">
        <f>IF('Données projet'!$A$36&gt;35,N108+M109-V108,IF(A109&lt;'Données projet'!$A$36,$K$205^A109,IF(A109='Données projet'!$A$36,'Données projet'!$B$36,N108+M109-V108)))</f>
        <v>311.90000000000015</v>
      </c>
      <c r="O109" s="13">
        <f>N109*VLOOKUP('Données projet'!$B$9,Paramètres!$A$1:$I$89,3,0)*VLOOKUP('Données projet'!$B$9,Paramètres!$A$1:$I$89,5,0)</f>
        <v>282.20712000000015</v>
      </c>
      <c r="P109" s="13">
        <f t="shared" si="87"/>
        <v>67.433223428275326</v>
      </c>
      <c r="Q109" s="20">
        <f t="shared" si="107"/>
        <v>608.95693147091299</v>
      </c>
      <c r="R109" s="57">
        <f t="shared" si="55"/>
        <v>887.94874505904204</v>
      </c>
      <c r="S109" s="57">
        <f ca="1">AVERAGE(OFFSET($R$3,0,0,'Données projet'!$E$9+1,1))-AVERAGE(OFFSET($H$3,0,0,'Données projet'!$E$9+1,1))</f>
        <v>539.63700256763173</v>
      </c>
      <c r="T109" s="57">
        <f t="shared" si="88"/>
        <v>297.32483725004136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4.9000000000000004</v>
      </c>
      <c r="AI109" s="13">
        <f>IF('Données projet'!$A$62&gt;35,AI108+AH109-AQ108,IF(A109&lt;'Données projet'!$A$62,$AF$205^A109,IF(A109='Données projet'!$A$62,'Données projet'!$B$62,AI108+AH109-AQ108)))</f>
        <v>311.90000000000015</v>
      </c>
      <c r="AJ109" s="13">
        <f>AI109*VLOOKUP('Données projet'!$B$10,Paramètres!$A$1:$I$89,3,0)*VLOOKUP('Données projet'!$B$10,Paramètres!$A$1:$I$89,5,0)</f>
        <v>262.74456000000015</v>
      </c>
      <c r="AK109" s="13">
        <f t="shared" si="89"/>
        <v>63.307049223906304</v>
      </c>
      <c r="AL109" s="20">
        <f t="shared" si="58"/>
        <v>567.8732193983036</v>
      </c>
      <c r="AM109" s="57">
        <f t="shared" si="59"/>
        <v>846.86503298643265</v>
      </c>
      <c r="AN109" s="57">
        <f ca="1">AVERAGE(OFFSET($AM$3,0,0,'Données projet'!$E$10+1,1))-AVERAGE(OFFSET($H$3,0,0,'Données projet'!$E$10+1,1))</f>
        <v>508.21188526136734</v>
      </c>
      <c r="AO109" s="57">
        <f t="shared" si="90"/>
        <v>281.06176764290592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-1.064108801074326E-13</v>
      </c>
      <c r="BF109" s="13" t="e">
        <f t="shared" si="91"/>
        <v>#NUM!</v>
      </c>
      <c r="BG109" s="20" t="e">
        <f t="shared" si="61"/>
        <v>#NUM!</v>
      </c>
      <c r="BH109" s="57" t="e">
        <f t="shared" si="62"/>
        <v>#NUM!</v>
      </c>
      <c r="BI109" s="57">
        <f ca="1">AVERAGE(OFFSET($BH$3,0,0,'Données projet'!$E$11+1,1))-AVERAGE(OFFSET($H$3,0,0,'Données projet'!$E$11+1,1))</f>
        <v>449.50723280509311</v>
      </c>
      <c r="BJ109" s="57">
        <f t="shared" si="92"/>
        <v>281.26353650058275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206.95370912476142</v>
      </c>
      <c r="BQ109" s="21">
        <f>EXP(-LN(2)/25)*BQ108+(1-EXP(-LN(2)/25))/(LN(2)/25)*Calculateur!BL109*Calculateur!BN109*VLOOKUP('Données projet'!$B$11,Paramètres!$A$1:$I$89,3,0)*0.475*44/12</f>
        <v>44.560796376877413</v>
      </c>
      <c r="BR109" s="21">
        <f>EXP(-LN(2)/2)*BR108+(1-EXP(-LN(2)/2))/(LN(2)/2)*BL109*BO109*VLOOKUP('Données projet'!$B$11,Paramètres!$A$1:$I$89,3,0)*0.475*44/12</f>
        <v>5.2905555673170301</v>
      </c>
      <c r="BS109" s="22">
        <f t="shared" si="63"/>
        <v>256.80506106895587</v>
      </c>
      <c r="BT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4.4000000000000004</v>
      </c>
      <c r="BY109" s="12">
        <f>IF('Données projet'!$A$114&gt;35,BY108+BX109-CG108,IF(A109&lt;'Données projet'!$A$114,$BV$205^A109,IF(A109='Données projet'!$A$114,'Données projet'!$B$114,BY108+BX109-CG108)))</f>
        <v>287.39999999999947</v>
      </c>
      <c r="BZ109" s="13">
        <f>BY109*VLOOKUP('Données projet'!$B$12,Paramètres!$A$1:$I$89,3,0)*VLOOKUP('Données projet'!$B$12,Paramètres!$A$1:$I$89,5,0)</f>
        <v>273.4898399999995</v>
      </c>
      <c r="CA109" s="13">
        <f t="shared" si="93"/>
        <v>65.58934693136635</v>
      </c>
      <c r="CB109" s="20">
        <f t="shared" si="64"/>
        <v>590.56291723879542</v>
      </c>
      <c r="CC109" s="57">
        <f t="shared" si="65"/>
        <v>869.55473082692447</v>
      </c>
      <c r="CD109" s="57">
        <f ca="1">AVERAGE(OFFSET($CC$3,0,0,'Données projet'!$E$12+1,1))-AVERAGE(OFFSET($H$3,0,0,'Données projet'!$E$12+1,1))</f>
        <v>479.4551766174892</v>
      </c>
      <c r="CE109" s="57">
        <f t="shared" si="94"/>
        <v>260.29028006191834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-2.2737367544323206E-13</v>
      </c>
      <c r="CU109" s="17">
        <f>CT109*VLOOKUP('Données projet'!$B$13,Paramètres!$A$1:$I$89,3,0)*VLOOKUP('Données projet'!$B$13,Paramètres!$A$1:$I$89,5,0)</f>
        <v>-1.2710188457276673E-13</v>
      </c>
      <c r="CV109" s="13" t="e">
        <f t="shared" si="95"/>
        <v>#NUM!</v>
      </c>
      <c r="CW109" s="20" t="e">
        <f t="shared" si="67"/>
        <v>#NUM!</v>
      </c>
      <c r="CX109" s="57" t="e">
        <f t="shared" si="68"/>
        <v>#NUM!</v>
      </c>
      <c r="CY109" s="57">
        <f ca="1">AVERAGE(OFFSET($CX$3,0,0,'Données projet'!$E$13+1,1))-AVERAGE(OFFSET($H$3,0,0,'Données projet'!$E$13+1,1))</f>
        <v>459.83870442974046</v>
      </c>
      <c r="CZ109" s="57">
        <f t="shared" si="96"/>
        <v>565.68976940602215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104.0632042835514</v>
      </c>
      <c r="DG109" s="21">
        <f>EXP(-LN(2)/25)*DG108+(1-EXP(-LN(2)/25))/(LN(2)/25)*Calculateur!DB109*Calculateur!DD109*VLOOKUP('Données projet'!$B$13,Paramètres!$A$1:$I$89,3,0)*0.475*44/12</f>
        <v>17.995134513729386</v>
      </c>
      <c r="DH109" s="21">
        <f>EXP(-LN(2)/2)*DH108+(1-EXP(-LN(2)/2))/(LN(2)/2)*DB109*DE109*VLOOKUP('Données projet'!$B$13,Paramètres!$A$1:$I$89,3,0)*0.475*44/12</f>
        <v>6.7139685625206581E-6</v>
      </c>
      <c r="DI109" s="22">
        <f t="shared" si="69"/>
        <v>122.05834551124934</v>
      </c>
      <c r="DJ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7" t="e">
        <f t="shared" si="71"/>
        <v>#NUM!</v>
      </c>
      <c r="DT109" s="57">
        <f ca="1">AVERAGE(OFFSET($DS$3,0,0,'Données projet'!$E$14+1,1))-AVERAGE(OFFSET($H$3,0,0,'Données projet'!$E$14+1,1))</f>
        <v>315.23504986325418</v>
      </c>
      <c r="DU109" s="57">
        <f t="shared" si="98"/>
        <v>350.52837099886688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56.549441931849081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56.549441931849081</v>
      </c>
      <c r="EE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3.6666666666666665</v>
      </c>
      <c r="EJ109" s="12">
        <f>IF('Données projet'!$A$192&gt;35,EJ108+EI109-ER108,IF(A109&lt;'Données projet'!$A$192,$EG$205^A109,IF(A109='Données projet'!$A$192,'Données projet'!$B$192,EJ108+EI109-ER108)))</f>
        <v>150.66666666666666</v>
      </c>
      <c r="EK109" s="17">
        <f>EJ109*VLOOKUP('Données projet'!$B$15,Paramètres!$A$1:$I$89,3,0)*VLOOKUP('Données projet'!$B$15,Paramètres!$A$1:$I$89,5,0)</f>
        <v>145.72479999999999</v>
      </c>
      <c r="EL109" s="13">
        <f t="shared" si="99"/>
        <v>37.605402131504519</v>
      </c>
      <c r="EM109" s="20">
        <f t="shared" si="73"/>
        <v>319.30010204570368</v>
      </c>
      <c r="EN109" s="57">
        <f t="shared" si="74"/>
        <v>598.29191563383279</v>
      </c>
      <c r="EO109" s="57">
        <f ca="1">AVERAGE(OFFSET($EN$3,0,0,'Données projet'!$E$15+1,1))-AVERAGE(OFFSET($H$3,0,0,'Données projet'!$E$15+1,1))</f>
        <v>328.31200866623891</v>
      </c>
      <c r="EP109" s="57">
        <f t="shared" si="100"/>
        <v>195.52650232917446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31.826244966321937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31.826244966321937</v>
      </c>
      <c r="EZ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7" t="e">
        <f t="shared" si="77"/>
        <v>#NUM!</v>
      </c>
      <c r="FJ109" s="57">
        <f ca="1">AVERAGE(OFFSET($FI$3,0,0,'Données projet'!$E$16+1,1))-AVERAGE(OFFSET($H$3,0,0,'Données projet'!$E$16+1,1))</f>
        <v>142.88219003619457</v>
      </c>
      <c r="FK109" s="57">
        <f t="shared" si="102"/>
        <v>288.69704547625088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10.898699257551021</v>
      </c>
      <c r="FR109" s="21">
        <f>EXP(-LN(2)/25)*FR108+(1-EXP(-LN(2)/25))/(LN(2)/25)*Calculateur!FM109*Calculateur!FO109*VLOOKUP('Données projet'!$B$16,Paramètres!$A$1:$I$89,3,0)*0.475*44/12</f>
        <v>1.5099436548947187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12.408642912445739</v>
      </c>
      <c r="FU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7" t="e">
        <f t="shared" si="80"/>
        <v>#N/A</v>
      </c>
      <c r="GE109" s="57" t="e">
        <f ca="1">AVERAGE(OFFSET($GD$3,0,0,'Données projet'!$E$17+1,1))-AVERAGE(OFFSET($H$3,0,0,'Données projet'!$E$17+1,1))</f>
        <v>#N/A</v>
      </c>
      <c r="GF109" s="57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7" t="e">
        <f t="shared" si="83"/>
        <v>#N/A</v>
      </c>
      <c r="GZ109" s="57" t="e">
        <f ca="1">AVERAGE(OFFSET($GY$3,0,0,'Données projet'!$E$18+1,1))-AVERAGE(OFFSET($H$3,0,0,'Données projet'!$E$18+1,1))</f>
        <v>#N/A</v>
      </c>
      <c r="HA109" s="57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1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5">
        <f t="shared" si="56"/>
        <v>183.33333333333334</v>
      </c>
      <c r="I110" s="6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4.9000000000000004</v>
      </c>
      <c r="N110" s="13">
        <f>IF('Données projet'!$A$36&gt;35,N109+M110-V109,IF(A110&lt;'Données projet'!$A$36,$K$205^A110,IF(A110='Données projet'!$A$36,'Données projet'!$B$36,N109+M110-V109)))</f>
        <v>316.80000000000013</v>
      </c>
      <c r="O110" s="13">
        <f>N110*VLOOKUP('Données projet'!$B$9,Paramètres!$A$1:$I$89,3,0)*VLOOKUP('Données projet'!$B$9,Paramètres!$A$1:$I$89,5,0)</f>
        <v>286.64064000000008</v>
      </c>
      <c r="P110" s="13">
        <f t="shared" si="87"/>
        <v>68.368446832003599</v>
      </c>
      <c r="Q110" s="20">
        <f t="shared" si="107"/>
        <v>618.30749289907305</v>
      </c>
      <c r="R110" s="57">
        <f t="shared" si="55"/>
        <v>897.5480997919467</v>
      </c>
      <c r="S110" s="57">
        <f ca="1">AVERAGE(OFFSET($R$3,0,0,'Données projet'!$E$9+1,1))-AVERAGE(OFFSET($H$3,0,0,'Données projet'!$E$9+1,1))</f>
        <v>539.63700256763173</v>
      </c>
      <c r="T110" s="57">
        <f t="shared" si="88"/>
        <v>297.32483725004136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4.9000000000000004</v>
      </c>
      <c r="AI110" s="13">
        <f>IF('Données projet'!$A$62&gt;35,AI109+AH110-AQ109,IF(A110&lt;'Données projet'!$A$62,$AF$205^A110,IF(A110='Données projet'!$A$62,'Données projet'!$B$62,AI109+AH110-AQ109)))</f>
        <v>316.80000000000013</v>
      </c>
      <c r="AJ110" s="13">
        <f>AI110*VLOOKUP('Données projet'!$B$10,Paramètres!$A$1:$I$89,3,0)*VLOOKUP('Données projet'!$B$10,Paramètres!$A$1:$I$89,5,0)</f>
        <v>266.87232000000017</v>
      </c>
      <c r="AK110" s="13">
        <f t="shared" si="89"/>
        <v>64.185047205393118</v>
      </c>
      <c r="AL110" s="20">
        <f t="shared" si="58"/>
        <v>576.59158121606004</v>
      </c>
      <c r="AM110" s="57">
        <f t="shared" si="59"/>
        <v>855.83218810893368</v>
      </c>
      <c r="AN110" s="57">
        <f ca="1">AVERAGE(OFFSET($AM$3,0,0,'Données projet'!$E$10+1,1))-AVERAGE(OFFSET($H$3,0,0,'Données projet'!$E$10+1,1))</f>
        <v>508.21188526136734</v>
      </c>
      <c r="AO110" s="57">
        <f t="shared" si="90"/>
        <v>281.06176764290592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-1.064108801074326E-13</v>
      </c>
      <c r="BF110" s="13" t="e">
        <f t="shared" si="91"/>
        <v>#NUM!</v>
      </c>
      <c r="BG110" s="20" t="e">
        <f t="shared" si="61"/>
        <v>#NUM!</v>
      </c>
      <c r="BH110" s="57" t="e">
        <f t="shared" si="62"/>
        <v>#NUM!</v>
      </c>
      <c r="BI110" s="57">
        <f ca="1">AVERAGE(OFFSET($BH$3,0,0,'Données projet'!$E$11+1,1))-AVERAGE(OFFSET($H$3,0,0,'Données projet'!$E$11+1,1))</f>
        <v>449.50723280509311</v>
      </c>
      <c r="BJ110" s="57">
        <f t="shared" si="92"/>
        <v>281.26353650058275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202.89547311812331</v>
      </c>
      <c r="BQ110" s="21">
        <f>EXP(-LN(2)/25)*BQ109+(1-EXP(-LN(2)/25))/(LN(2)/25)*Calculateur!BL110*Calculateur!BN110*VLOOKUP('Données projet'!$B$11,Paramètres!$A$1:$I$89,3,0)*0.475*44/12</f>
        <v>43.342279056601264</v>
      </c>
      <c r="BR110" s="21">
        <f>EXP(-LN(2)/2)*BR109+(1-EXP(-LN(2)/2))/(LN(2)/2)*BL110*BO110*VLOOKUP('Données projet'!$B$11,Paramètres!$A$1:$I$89,3,0)*0.475*44/12</f>
        <v>3.7409877178941144</v>
      </c>
      <c r="BS110" s="22">
        <f t="shared" si="63"/>
        <v>249.97873989261868</v>
      </c>
      <c r="BT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4.4000000000000004</v>
      </c>
      <c r="BY110" s="12">
        <f>IF('Données projet'!$A$114&gt;35,BY109+BX110-CG109,IF(A110&lt;'Données projet'!$A$114,$BV$205^A110,IF(A110='Données projet'!$A$114,'Données projet'!$B$114,BY109+BX110-CG109)))</f>
        <v>291.79999999999944</v>
      </c>
      <c r="BZ110" s="13">
        <f>BY110*VLOOKUP('Données projet'!$B$12,Paramètres!$A$1:$I$89,3,0)*VLOOKUP('Données projet'!$B$12,Paramètres!$A$1:$I$89,5,0)</f>
        <v>277.67687999999947</v>
      </c>
      <c r="CA110" s="13">
        <f t="shared" si="93"/>
        <v>66.475829043475642</v>
      </c>
      <c r="CB110" s="20">
        <f t="shared" si="64"/>
        <v>599.39930158405252</v>
      </c>
      <c r="CC110" s="57">
        <f t="shared" si="65"/>
        <v>878.63990847692617</v>
      </c>
      <c r="CD110" s="57">
        <f ca="1">AVERAGE(OFFSET($CC$3,0,0,'Données projet'!$E$12+1,1))-AVERAGE(OFFSET($H$3,0,0,'Données projet'!$E$12+1,1))</f>
        <v>479.4551766174892</v>
      </c>
      <c r="CE110" s="57">
        <f t="shared" si="94"/>
        <v>260.29028006191834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-2.2737367544323206E-13</v>
      </c>
      <c r="CU110" s="17">
        <f>CT110*VLOOKUP('Données projet'!$B$13,Paramètres!$A$1:$I$89,3,0)*VLOOKUP('Données projet'!$B$13,Paramètres!$A$1:$I$89,5,0)</f>
        <v>-1.2710188457276673E-13</v>
      </c>
      <c r="CV110" s="13" t="e">
        <f t="shared" si="95"/>
        <v>#NUM!</v>
      </c>
      <c r="CW110" s="20" t="e">
        <f t="shared" si="67"/>
        <v>#NUM!</v>
      </c>
      <c r="CX110" s="57" t="e">
        <f t="shared" si="68"/>
        <v>#NUM!</v>
      </c>
      <c r="CY110" s="57">
        <f ca="1">AVERAGE(OFFSET($CX$3,0,0,'Données projet'!$E$13+1,1))-AVERAGE(OFFSET($H$3,0,0,'Données projet'!$E$13+1,1))</f>
        <v>459.83870442974046</v>
      </c>
      <c r="CZ110" s="57">
        <f t="shared" si="96"/>
        <v>565.68976940602215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102.02258831983821</v>
      </c>
      <c r="DG110" s="21">
        <f>EXP(-LN(2)/25)*DG109+(1-EXP(-LN(2)/25))/(LN(2)/25)*Calculateur!DB110*Calculateur!DD110*VLOOKUP('Données projet'!$B$13,Paramètres!$A$1:$I$89,3,0)*0.475*44/12</f>
        <v>17.503056614128461</v>
      </c>
      <c r="DH110" s="21">
        <f>EXP(-LN(2)/2)*DH109+(1-EXP(-LN(2)/2))/(LN(2)/2)*DB110*DE110*VLOOKUP('Données projet'!$B$13,Paramètres!$A$1:$I$89,3,0)*0.475*44/12</f>
        <v>4.7474926992316539E-6</v>
      </c>
      <c r="DI110" s="22">
        <f t="shared" si="69"/>
        <v>119.52564968145937</v>
      </c>
      <c r="DJ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7" t="e">
        <f t="shared" si="71"/>
        <v>#NUM!</v>
      </c>
      <c r="DT110" s="57">
        <f ca="1">AVERAGE(OFFSET($DS$3,0,0,'Données projet'!$E$14+1,1))-AVERAGE(OFFSET($H$3,0,0,'Données projet'!$E$14+1,1))</f>
        <v>315.23504986325418</v>
      </c>
      <c r="DU110" s="57">
        <f t="shared" si="98"/>
        <v>350.52837099886688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55.440541867319318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55.440541867319318</v>
      </c>
      <c r="EE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3.6666666666666665</v>
      </c>
      <c r="EJ110" s="12">
        <f>IF('Données projet'!$A$192&gt;35,EJ109+EI110-ER109,IF(A110&lt;'Données projet'!$A$192,$EG$205^A110,IF(A110='Données projet'!$A$192,'Données projet'!$B$192,EJ109+EI110-ER109)))</f>
        <v>154.33333333333331</v>
      </c>
      <c r="EK110" s="17">
        <f>EJ110*VLOOKUP('Données projet'!$B$15,Paramètres!$A$1:$I$89,3,0)*VLOOKUP('Données projet'!$B$15,Paramètres!$A$1:$I$89,5,0)</f>
        <v>149.27119999999999</v>
      </c>
      <c r="EL110" s="13">
        <f t="shared" si="99"/>
        <v>38.41291628697779</v>
      </c>
      <c r="EM110" s="20">
        <f t="shared" si="73"/>
        <v>326.88316919981963</v>
      </c>
      <c r="EN110" s="57">
        <f t="shared" si="74"/>
        <v>606.12377609269333</v>
      </c>
      <c r="EO110" s="57">
        <f ca="1">AVERAGE(OFFSET($EN$3,0,0,'Données projet'!$E$15+1,1))-AVERAGE(OFFSET($H$3,0,0,'Données projet'!$E$15+1,1))</f>
        <v>328.31200866623891</v>
      </c>
      <c r="EP110" s="57">
        <f t="shared" si="100"/>
        <v>195.52650232917446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31.202151714625007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31.202151714625007</v>
      </c>
      <c r="EZ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7" t="e">
        <f t="shared" si="77"/>
        <v>#NUM!</v>
      </c>
      <c r="FJ110" s="57">
        <f ca="1">AVERAGE(OFFSET($FI$3,0,0,'Données projet'!$E$16+1,1))-AVERAGE(OFFSET($H$3,0,0,'Données projet'!$E$16+1,1))</f>
        <v>142.88219003619457</v>
      </c>
      <c r="FK110" s="57">
        <f t="shared" si="102"/>
        <v>288.69704547625088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10.684982412660602</v>
      </c>
      <c r="FR110" s="21">
        <f>EXP(-LN(2)/25)*FR109+(1-EXP(-LN(2)/25))/(LN(2)/25)*Calculateur!FM110*Calculateur!FO110*VLOOKUP('Données projet'!$B$16,Paramètres!$A$1:$I$89,3,0)*0.475*44/12</f>
        <v>1.4686541662471368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12.15363657890774</v>
      </c>
      <c r="FU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7" t="e">
        <f t="shared" si="80"/>
        <v>#N/A</v>
      </c>
      <c r="GE110" s="57" t="e">
        <f ca="1">AVERAGE(OFFSET($GD$3,0,0,'Données projet'!$E$17+1,1))-AVERAGE(OFFSET($H$3,0,0,'Données projet'!$E$17+1,1))</f>
        <v>#N/A</v>
      </c>
      <c r="GF110" s="57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7" t="e">
        <f t="shared" si="83"/>
        <v>#N/A</v>
      </c>
      <c r="GZ110" s="57" t="e">
        <f ca="1">AVERAGE(OFFSET($GY$3,0,0,'Données projet'!$E$18+1,1))-AVERAGE(OFFSET($H$3,0,0,'Données projet'!$E$18+1,1))</f>
        <v>#N/A</v>
      </c>
      <c r="HA110" s="57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1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5">
        <f t="shared" si="56"/>
        <v>183.33333333333334</v>
      </c>
      <c r="I111" s="6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4.9000000000000004</v>
      </c>
      <c r="N111" s="13">
        <f>IF('Données projet'!$A$36&gt;35,N110+M111-V110,IF(A111&lt;'Données projet'!$A$36,$K$205^A111,IF(A111='Données projet'!$A$36,'Données projet'!$B$36,N110+M111-V110)))</f>
        <v>321.7000000000001</v>
      </c>
      <c r="O111" s="13">
        <f>N111*VLOOKUP('Données projet'!$B$9,Paramètres!$A$1:$I$89,3,0)*VLOOKUP('Données projet'!$B$9,Paramètres!$A$1:$I$89,5,0)</f>
        <v>291.07416000000006</v>
      </c>
      <c r="P111" s="13">
        <f t="shared" si="87"/>
        <v>69.301987923222626</v>
      </c>
      <c r="Q111" s="20">
        <f t="shared" si="107"/>
        <v>627.65512429961279</v>
      </c>
      <c r="R111" s="57">
        <f t="shared" si="55"/>
        <v>907.14020848961218</v>
      </c>
      <c r="S111" s="57">
        <f ca="1">AVERAGE(OFFSET($R$3,0,0,'Données projet'!$E$9+1,1))-AVERAGE(OFFSET($H$3,0,0,'Données projet'!$E$9+1,1))</f>
        <v>539.63700256763173</v>
      </c>
      <c r="T111" s="57">
        <f t="shared" si="88"/>
        <v>297.32483725004136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4.9000000000000004</v>
      </c>
      <c r="AI111" s="13">
        <f>IF('Données projet'!$A$62&gt;35,AI110+AH111-AQ110,IF(A111&lt;'Données projet'!$A$62,$AF$205^A111,IF(A111='Données projet'!$A$62,'Données projet'!$B$62,AI110+AH111-AQ110)))</f>
        <v>321.7000000000001</v>
      </c>
      <c r="AJ111" s="13">
        <f>AI111*VLOOKUP('Données projet'!$B$10,Paramètres!$A$1:$I$89,3,0)*VLOOKUP('Données projet'!$B$10,Paramètres!$A$1:$I$89,5,0)</f>
        <v>271.00008000000014</v>
      </c>
      <c r="AK111" s="13">
        <f t="shared" si="89"/>
        <v>65.061465813458071</v>
      </c>
      <c r="AL111" s="20">
        <f t="shared" si="58"/>
        <v>585.30719229177305</v>
      </c>
      <c r="AM111" s="57">
        <f t="shared" si="59"/>
        <v>864.79227648177243</v>
      </c>
      <c r="AN111" s="57">
        <f ca="1">AVERAGE(OFFSET($AM$3,0,0,'Données projet'!$E$10+1,1))-AVERAGE(OFFSET($H$3,0,0,'Données projet'!$E$10+1,1))</f>
        <v>508.21188526136734</v>
      </c>
      <c r="AO111" s="57">
        <f t="shared" si="90"/>
        <v>281.06176764290592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-1.064108801074326E-13</v>
      </c>
      <c r="BF111" s="13" t="e">
        <f t="shared" si="91"/>
        <v>#NUM!</v>
      </c>
      <c r="BG111" s="20" t="e">
        <f t="shared" si="61"/>
        <v>#NUM!</v>
      </c>
      <c r="BH111" s="57" t="e">
        <f t="shared" si="62"/>
        <v>#NUM!</v>
      </c>
      <c r="BI111" s="57">
        <f ca="1">AVERAGE(OFFSET($BH$3,0,0,'Données projet'!$E$11+1,1))-AVERAGE(OFFSET($H$3,0,0,'Données projet'!$E$11+1,1))</f>
        <v>449.50723280509311</v>
      </c>
      <c r="BJ111" s="57">
        <f t="shared" si="92"/>
        <v>281.26353650058275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198.91681664429581</v>
      </c>
      <c r="BQ111" s="21">
        <f>EXP(-LN(2)/25)*BQ110+(1-EXP(-LN(2)/25))/(LN(2)/25)*Calculateur!BL111*Calculateur!BN111*VLOOKUP('Données projet'!$B$11,Paramètres!$A$1:$I$89,3,0)*0.475*44/12</f>
        <v>42.157082156527103</v>
      </c>
      <c r="BR111" s="21">
        <f>EXP(-LN(2)/2)*BR110+(1-EXP(-LN(2)/2))/(LN(2)/2)*BL111*BO111*VLOOKUP('Données projet'!$B$11,Paramètres!$A$1:$I$89,3,0)*0.475*44/12</f>
        <v>2.6452777836585155</v>
      </c>
      <c r="BS111" s="22">
        <f t="shared" si="63"/>
        <v>243.71917658448143</v>
      </c>
      <c r="BT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4.4000000000000004</v>
      </c>
      <c r="BY111" s="12">
        <f>IF('Données projet'!$A$114&gt;35,BY110+BX111-CG110,IF(A111&lt;'Données projet'!$A$114,$BV$205^A111,IF(A111='Données projet'!$A$114,'Données projet'!$B$114,BY110+BX111-CG110)))</f>
        <v>296.19999999999942</v>
      </c>
      <c r="BZ111" s="13">
        <f>BY111*VLOOKUP('Données projet'!$B$12,Paramètres!$A$1:$I$89,3,0)*VLOOKUP('Données projet'!$B$12,Paramètres!$A$1:$I$89,5,0)</f>
        <v>281.86391999999944</v>
      </c>
      <c r="CA111" s="13">
        <f t="shared" si="93"/>
        <v>67.360756526917868</v>
      </c>
      <c r="CB111" s="20">
        <f t="shared" si="64"/>
        <v>608.23297828438092</v>
      </c>
      <c r="CC111" s="57">
        <f t="shared" si="65"/>
        <v>887.7180624743803</v>
      </c>
      <c r="CD111" s="57">
        <f ca="1">AVERAGE(OFFSET($CC$3,0,0,'Données projet'!$E$12+1,1))-AVERAGE(OFFSET($H$3,0,0,'Données projet'!$E$12+1,1))</f>
        <v>479.4551766174892</v>
      </c>
      <c r="CE111" s="57">
        <f t="shared" si="94"/>
        <v>260.29028006191834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-2.2737367544323206E-13</v>
      </c>
      <c r="CU111" s="17">
        <f>CT111*VLOOKUP('Données projet'!$B$13,Paramètres!$A$1:$I$89,3,0)*VLOOKUP('Données projet'!$B$13,Paramètres!$A$1:$I$89,5,0)</f>
        <v>-1.2710188457276673E-13</v>
      </c>
      <c r="CV111" s="13" t="e">
        <f t="shared" si="95"/>
        <v>#NUM!</v>
      </c>
      <c r="CW111" s="20" t="e">
        <f t="shared" si="67"/>
        <v>#NUM!</v>
      </c>
      <c r="CX111" s="57" t="e">
        <f t="shared" si="68"/>
        <v>#NUM!</v>
      </c>
      <c r="CY111" s="57">
        <f ca="1">AVERAGE(OFFSET($CX$3,0,0,'Données projet'!$E$13+1,1))-AVERAGE(OFFSET($H$3,0,0,'Données projet'!$E$13+1,1))</f>
        <v>459.83870442974046</v>
      </c>
      <c r="CZ111" s="57">
        <f t="shared" si="96"/>
        <v>565.68976940602215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100.02198759052058</v>
      </c>
      <c r="DG111" s="21">
        <f>EXP(-LN(2)/25)*DG110+(1-EXP(-LN(2)/25))/(LN(2)/25)*Calculateur!DB111*Calculateur!DD111*VLOOKUP('Données projet'!$B$13,Paramètres!$A$1:$I$89,3,0)*0.475*44/12</f>
        <v>17.024434610569376</v>
      </c>
      <c r="DH111" s="21">
        <f>EXP(-LN(2)/2)*DH110+(1-EXP(-LN(2)/2))/(LN(2)/2)*DB111*DE111*VLOOKUP('Données projet'!$B$13,Paramètres!$A$1:$I$89,3,0)*0.475*44/12</f>
        <v>3.3569842812603291E-6</v>
      </c>
      <c r="DI111" s="22">
        <f t="shared" si="69"/>
        <v>117.04642555807423</v>
      </c>
      <c r="DJ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7" t="e">
        <f t="shared" si="71"/>
        <v>#NUM!</v>
      </c>
      <c r="DT111" s="57">
        <f ca="1">AVERAGE(OFFSET($DS$3,0,0,'Données projet'!$E$14+1,1))-AVERAGE(OFFSET($H$3,0,0,'Données projet'!$E$14+1,1))</f>
        <v>315.23504986325418</v>
      </c>
      <c r="DU111" s="57">
        <f t="shared" si="98"/>
        <v>350.52837099886688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54.353386656692734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54.353386656692734</v>
      </c>
      <c r="EE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3.6666666666666665</v>
      </c>
      <c r="EJ111" s="12">
        <f>IF('Données projet'!$A$192&gt;35,EJ110+EI111-ER110,IF(A111&lt;'Données projet'!$A$192,$EG$205^A111,IF(A111='Données projet'!$A$192,'Données projet'!$B$192,EJ110+EI111-ER110)))</f>
        <v>157.99999999999997</v>
      </c>
      <c r="EK111" s="17">
        <f>EJ111*VLOOKUP('Données projet'!$B$15,Paramètres!$A$1:$I$89,3,0)*VLOOKUP('Données projet'!$B$15,Paramètres!$A$1:$I$89,5,0)</f>
        <v>152.81759999999997</v>
      </c>
      <c r="EL111" s="13">
        <f t="shared" si="99"/>
        <v>39.218200171484192</v>
      </c>
      <c r="EM111" s="20">
        <f t="shared" si="73"/>
        <v>334.4623519653349</v>
      </c>
      <c r="EN111" s="57">
        <f t="shared" si="74"/>
        <v>613.94743615533423</v>
      </c>
      <c r="EO111" s="57">
        <f ca="1">AVERAGE(OFFSET($EN$3,0,0,'Données projet'!$E$15+1,1))-AVERAGE(OFFSET($H$3,0,0,'Données projet'!$E$15+1,1))</f>
        <v>328.31200866623891</v>
      </c>
      <c r="EP111" s="57">
        <f t="shared" si="100"/>
        <v>195.52650232917446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30.590296550934557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30.590296550934557</v>
      </c>
      <c r="EZ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7" t="e">
        <f t="shared" si="77"/>
        <v>#NUM!</v>
      </c>
      <c r="FJ111" s="57">
        <f ca="1">AVERAGE(OFFSET($FI$3,0,0,'Données projet'!$E$16+1,1))-AVERAGE(OFFSET($H$3,0,0,'Données projet'!$E$16+1,1))</f>
        <v>142.88219003619457</v>
      </c>
      <c r="FK111" s="57">
        <f t="shared" si="102"/>
        <v>288.69704547625088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10.475456424744079</v>
      </c>
      <c r="FR111" s="21">
        <f>EXP(-LN(2)/25)*FR110+(1-EXP(-LN(2)/25))/(LN(2)/25)*Calculateur!FM111*Calculateur!FO111*VLOOKUP('Données projet'!$B$16,Paramètres!$A$1:$I$89,3,0)*0.475*44/12</f>
        <v>1.428493740837943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11.903950165582023</v>
      </c>
      <c r="FU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7" t="e">
        <f t="shared" si="80"/>
        <v>#N/A</v>
      </c>
      <c r="GE111" s="57" t="e">
        <f ca="1">AVERAGE(OFFSET($GD$3,0,0,'Données projet'!$E$17+1,1))-AVERAGE(OFFSET($H$3,0,0,'Données projet'!$E$17+1,1))</f>
        <v>#N/A</v>
      </c>
      <c r="GF111" s="57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7" t="e">
        <f t="shared" si="83"/>
        <v>#N/A</v>
      </c>
      <c r="GZ111" s="57" t="e">
        <f ca="1">AVERAGE(OFFSET($GY$3,0,0,'Données projet'!$E$18+1,1))-AVERAGE(OFFSET($H$3,0,0,'Données projet'!$E$18+1,1))</f>
        <v>#N/A</v>
      </c>
      <c r="HA111" s="57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1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5">
        <f t="shared" si="56"/>
        <v>183.33333333333334</v>
      </c>
      <c r="I112" s="6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4.9000000000000004</v>
      </c>
      <c r="N112" s="13">
        <f>IF('Données projet'!$A$36&gt;35,N111+M112-V111,IF(A112&lt;'Données projet'!$A$36,$K$205^A112,IF(A112='Données projet'!$A$36,'Données projet'!$B$36,N111+M112-V111)))</f>
        <v>326.60000000000008</v>
      </c>
      <c r="O112" s="13">
        <f>N112*VLOOKUP('Données projet'!$B$9,Paramètres!$A$1:$I$89,3,0)*VLOOKUP('Données projet'!$B$9,Paramètres!$A$1:$I$89,5,0)</f>
        <v>295.50768000000005</v>
      </c>
      <c r="P112" s="13">
        <f t="shared" si="87"/>
        <v>70.233875285761329</v>
      </c>
      <c r="Q112" s="20">
        <f t="shared" si="107"/>
        <v>636.99987545603437</v>
      </c>
      <c r="R112" s="57">
        <f t="shared" si="55"/>
        <v>916.72519580862365</v>
      </c>
      <c r="S112" s="57">
        <f ca="1">AVERAGE(OFFSET($R$3,0,0,'Données projet'!$E$9+1,1))-AVERAGE(OFFSET($H$3,0,0,'Données projet'!$E$9+1,1))</f>
        <v>539.63700256763173</v>
      </c>
      <c r="T112" s="57">
        <f t="shared" si="88"/>
        <v>297.32483725004136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4.9000000000000004</v>
      </c>
      <c r="AI112" s="13">
        <f>IF('Données projet'!$A$62&gt;35,AI111+AH112-AQ111,IF(A112&lt;'Données projet'!$A$62,$AF$205^A112,IF(A112='Données projet'!$A$62,'Données projet'!$B$62,AI111+AH112-AQ111)))</f>
        <v>326.60000000000008</v>
      </c>
      <c r="AJ112" s="13">
        <f>AI112*VLOOKUP('Données projet'!$B$10,Paramètres!$A$1:$I$89,3,0)*VLOOKUP('Données projet'!$B$10,Paramètres!$A$1:$I$89,5,0)</f>
        <v>275.12784000000011</v>
      </c>
      <c r="AK112" s="13">
        <f t="shared" si="89"/>
        <v>65.936331882912981</v>
      </c>
      <c r="AL112" s="20">
        <f t="shared" si="58"/>
        <v>594.02009936274032</v>
      </c>
      <c r="AM112" s="57">
        <f t="shared" si="59"/>
        <v>873.7454197153296</v>
      </c>
      <c r="AN112" s="57">
        <f ca="1">AVERAGE(OFFSET($AM$3,0,0,'Données projet'!$E$10+1,1))-AVERAGE(OFFSET($H$3,0,0,'Données projet'!$E$10+1,1))</f>
        <v>508.21188526136734</v>
      </c>
      <c r="AO112" s="57">
        <f t="shared" si="90"/>
        <v>281.06176764290592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-1.064108801074326E-13</v>
      </c>
      <c r="BF112" s="13" t="e">
        <f t="shared" si="91"/>
        <v>#NUM!</v>
      </c>
      <c r="BG112" s="20" t="e">
        <f t="shared" si="61"/>
        <v>#NUM!</v>
      </c>
      <c r="BH112" s="57" t="e">
        <f t="shared" si="62"/>
        <v>#NUM!</v>
      </c>
      <c r="BI112" s="57">
        <f ca="1">AVERAGE(OFFSET($BH$3,0,0,'Données projet'!$E$11+1,1))-AVERAGE(OFFSET($H$3,0,0,'Données projet'!$E$11+1,1))</f>
        <v>449.50723280509311</v>
      </c>
      <c r="BJ112" s="57">
        <f t="shared" si="92"/>
        <v>281.26353650058275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195.01617919717924</v>
      </c>
      <c r="BQ112" s="21">
        <f>EXP(-LN(2)/25)*BQ111+(1-EXP(-LN(2)/25))/(LN(2)/25)*Calculateur!BL112*Calculateur!BN112*VLOOKUP('Données projet'!$B$11,Paramètres!$A$1:$I$89,3,0)*0.475*44/12</f>
        <v>41.004294528012274</v>
      </c>
      <c r="BR112" s="21">
        <f>EXP(-LN(2)/2)*BR111+(1-EXP(-LN(2)/2))/(LN(2)/2)*BL112*BO112*VLOOKUP('Données projet'!$B$11,Paramètres!$A$1:$I$89,3,0)*0.475*44/12</f>
        <v>1.8704938589470574</v>
      </c>
      <c r="BS112" s="22">
        <f t="shared" si="63"/>
        <v>237.89096758413859</v>
      </c>
      <c r="BT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4.4000000000000004</v>
      </c>
      <c r="BY112" s="12">
        <f>IF('Données projet'!$A$114&gt;35,BY111+BX112-CG111,IF(A112&lt;'Données projet'!$A$114,$BV$205^A112,IF(A112='Données projet'!$A$114,'Données projet'!$B$114,BY111+BX112-CG111)))</f>
        <v>300.5999999999994</v>
      </c>
      <c r="BZ112" s="13">
        <f>BY112*VLOOKUP('Données projet'!$B$12,Paramètres!$A$1:$I$89,3,0)*VLOOKUP('Données projet'!$B$12,Paramètres!$A$1:$I$89,5,0)</f>
        <v>286.05095999999941</v>
      </c>
      <c r="CA112" s="13">
        <f t="shared" si="93"/>
        <v>68.244155143176457</v>
      </c>
      <c r="CB112" s="20">
        <f t="shared" si="64"/>
        <v>617.06399220769788</v>
      </c>
      <c r="CC112" s="57">
        <f t="shared" si="65"/>
        <v>896.78931256028716</v>
      </c>
      <c r="CD112" s="57">
        <f ca="1">AVERAGE(OFFSET($CC$3,0,0,'Données projet'!$E$12+1,1))-AVERAGE(OFFSET($H$3,0,0,'Données projet'!$E$12+1,1))</f>
        <v>479.4551766174892</v>
      </c>
      <c r="CE112" s="57">
        <f t="shared" si="94"/>
        <v>260.29028006191834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-2.2737367544323206E-13</v>
      </c>
      <c r="CU112" s="17">
        <f>CT112*VLOOKUP('Données projet'!$B$13,Paramètres!$A$1:$I$89,3,0)*VLOOKUP('Données projet'!$B$13,Paramètres!$A$1:$I$89,5,0)</f>
        <v>-1.2710188457276673E-13</v>
      </c>
      <c r="CV112" s="13" t="e">
        <f t="shared" si="95"/>
        <v>#NUM!</v>
      </c>
      <c r="CW112" s="20" t="e">
        <f t="shared" si="67"/>
        <v>#NUM!</v>
      </c>
      <c r="CX112" s="57" t="e">
        <f t="shared" si="68"/>
        <v>#NUM!</v>
      </c>
      <c r="CY112" s="57">
        <f ca="1">AVERAGE(OFFSET($CX$3,0,0,'Données projet'!$E$13+1,1))-AVERAGE(OFFSET($H$3,0,0,'Données projet'!$E$13+1,1))</f>
        <v>459.83870442974046</v>
      </c>
      <c r="CZ112" s="57">
        <f t="shared" si="96"/>
        <v>565.68976940602215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98.060617421258925</v>
      </c>
      <c r="DG112" s="21">
        <f>EXP(-LN(2)/25)*DG111+(1-EXP(-LN(2)/25))/(LN(2)/25)*Calculateur!DB112*Calculateur!DD112*VLOOKUP('Données projet'!$B$13,Paramètres!$A$1:$I$89,3,0)*0.475*44/12</f>
        <v>16.55890055086725</v>
      </c>
      <c r="DH112" s="21">
        <f>EXP(-LN(2)/2)*DH111+(1-EXP(-LN(2)/2))/(LN(2)/2)*DB112*DE112*VLOOKUP('Données projet'!$B$13,Paramètres!$A$1:$I$89,3,0)*0.475*44/12</f>
        <v>2.373746349615827E-6</v>
      </c>
      <c r="DI112" s="22">
        <f t="shared" si="69"/>
        <v>114.61952034587253</v>
      </c>
      <c r="DJ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7" t="e">
        <f t="shared" si="71"/>
        <v>#NUM!</v>
      </c>
      <c r="DT112" s="57">
        <f ca="1">AVERAGE(OFFSET($DS$3,0,0,'Données projet'!$E$14+1,1))-AVERAGE(OFFSET($H$3,0,0,'Données projet'!$E$14+1,1))</f>
        <v>315.23504986325418</v>
      </c>
      <c r="DU112" s="57">
        <f t="shared" si="98"/>
        <v>350.52837099886688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53.287549896647334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53.287549896647334</v>
      </c>
      <c r="EE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3.6666666666666665</v>
      </c>
      <c r="EJ112" s="12">
        <f>IF('Données projet'!$A$192&gt;35,EJ111+EI112-ER111,IF(A112&lt;'Données projet'!$A$192,$EG$205^A112,IF(A112='Données projet'!$A$192,'Données projet'!$B$192,EJ111+EI112-ER111)))</f>
        <v>161.66666666666663</v>
      </c>
      <c r="EK112" s="17">
        <f>EJ112*VLOOKUP('Données projet'!$B$15,Paramètres!$A$1:$I$89,3,0)*VLOOKUP('Données projet'!$B$15,Paramètres!$A$1:$I$89,5,0)</f>
        <v>156.36399999999998</v>
      </c>
      <c r="EL112" s="13">
        <f t="shared" si="99"/>
        <v>40.021311499420811</v>
      </c>
      <c r="EM112" s="20">
        <f t="shared" si="73"/>
        <v>342.03775086149125</v>
      </c>
      <c r="EN112" s="57">
        <f t="shared" si="74"/>
        <v>621.76307121408058</v>
      </c>
      <c r="EO112" s="57">
        <f ca="1">AVERAGE(OFFSET($EN$3,0,0,'Données projet'!$E$15+1,1))-AVERAGE(OFFSET($H$3,0,0,'Données projet'!$E$15+1,1))</f>
        <v>328.31200866623891</v>
      </c>
      <c r="EP112" s="57">
        <f t="shared" si="100"/>
        <v>195.52650232917446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29.99043949380928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29.99043949380928</v>
      </c>
      <c r="EZ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7" t="e">
        <f t="shared" si="77"/>
        <v>#NUM!</v>
      </c>
      <c r="FJ112" s="57">
        <f ca="1">AVERAGE(OFFSET($FI$3,0,0,'Données projet'!$E$16+1,1))-AVERAGE(OFFSET($H$3,0,0,'Données projet'!$E$16+1,1))</f>
        <v>142.88219003619457</v>
      </c>
      <c r="FK112" s="57">
        <f t="shared" si="102"/>
        <v>288.69704547625088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10.270039113652366</v>
      </c>
      <c r="FR112" s="21">
        <f>EXP(-LN(2)/25)*FR111+(1-EXP(-LN(2)/25))/(LN(2)/25)*Calculateur!FM112*Calculateur!FO112*VLOOKUP('Données projet'!$B$16,Paramètres!$A$1:$I$89,3,0)*0.475*44/12</f>
        <v>1.3894315043735086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11.659470618025875</v>
      </c>
      <c r="FU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7" t="e">
        <f t="shared" si="80"/>
        <v>#N/A</v>
      </c>
      <c r="GE112" s="57" t="e">
        <f ca="1">AVERAGE(OFFSET($GD$3,0,0,'Données projet'!$E$17+1,1))-AVERAGE(OFFSET($H$3,0,0,'Données projet'!$E$17+1,1))</f>
        <v>#N/A</v>
      </c>
      <c r="GF112" s="57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7" t="e">
        <f t="shared" si="83"/>
        <v>#N/A</v>
      </c>
      <c r="GZ112" s="57" t="e">
        <f ca="1">AVERAGE(OFFSET($GY$3,0,0,'Données projet'!$E$18+1,1))-AVERAGE(OFFSET($H$3,0,0,'Données projet'!$E$18+1,1))</f>
        <v>#N/A</v>
      </c>
      <c r="HA112" s="57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1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5">
        <f t="shared" si="56"/>
        <v>183.33333333333334</v>
      </c>
      <c r="I113" s="6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4.9000000000000004</v>
      </c>
      <c r="N113" s="13">
        <f>IF('Données projet'!$A$36&gt;35,N112+M113-V112,IF(A113&lt;'Données projet'!$A$36,$K$205^A113,IF(A113='Données projet'!$A$36,'Données projet'!$B$36,N112+M113-V112)))</f>
        <v>331.50000000000006</v>
      </c>
      <c r="O113" s="13">
        <f>N113*VLOOKUP('Données projet'!$B$9,Paramètres!$A$1:$I$89,3,0)*VLOOKUP('Données projet'!$B$9,Paramètres!$A$1:$I$89,5,0)</f>
        <v>299.94120000000004</v>
      </c>
      <c r="P113" s="13">
        <f t="shared" si="87"/>
        <v>71.164136596531506</v>
      </c>
      <c r="Q113" s="20">
        <f t="shared" si="107"/>
        <v>646.34179457229243</v>
      </c>
      <c r="R113" s="57">
        <f t="shared" si="55"/>
        <v>926.30318352713834</v>
      </c>
      <c r="S113" s="57">
        <f ca="1">AVERAGE(OFFSET($R$3,0,0,'Données projet'!$E$9+1,1))-AVERAGE(OFFSET($H$3,0,0,'Données projet'!$E$9+1,1))</f>
        <v>539.63700256763173</v>
      </c>
      <c r="T113" s="57">
        <f t="shared" si="88"/>
        <v>297.32483725004136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4.9000000000000004</v>
      </c>
      <c r="AI113" s="13">
        <f>IF('Données projet'!$A$62&gt;35,AI112+AH113-AQ112,IF(A113&lt;'Données projet'!$A$62,$AF$205^A113,IF(A113='Données projet'!$A$62,'Données projet'!$B$62,AI112+AH113-AQ112)))</f>
        <v>331.50000000000006</v>
      </c>
      <c r="AJ113" s="13">
        <f>AI113*VLOOKUP('Données projet'!$B$10,Paramètres!$A$1:$I$89,3,0)*VLOOKUP('Données projet'!$B$10,Paramètres!$A$1:$I$89,5,0)</f>
        <v>279.25560000000007</v>
      </c>
      <c r="AK113" s="13">
        <f t="shared" si="89"/>
        <v>66.809671397146161</v>
      </c>
      <c r="AL113" s="20">
        <f t="shared" si="58"/>
        <v>602.73034768336299</v>
      </c>
      <c r="AM113" s="57">
        <f t="shared" si="59"/>
        <v>882.69173663820879</v>
      </c>
      <c r="AN113" s="57">
        <f ca="1">AVERAGE(OFFSET($AM$3,0,0,'Données projet'!$E$10+1,1))-AVERAGE(OFFSET($H$3,0,0,'Données projet'!$E$10+1,1))</f>
        <v>508.21188526136734</v>
      </c>
      <c r="AO113" s="57">
        <f t="shared" si="90"/>
        <v>281.06176764290592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-1.064108801074326E-13</v>
      </c>
      <c r="BF113" s="13" t="e">
        <f t="shared" si="91"/>
        <v>#NUM!</v>
      </c>
      <c r="BG113" s="20" t="e">
        <f t="shared" si="61"/>
        <v>#NUM!</v>
      </c>
      <c r="BH113" s="57" t="e">
        <f t="shared" si="62"/>
        <v>#NUM!</v>
      </c>
      <c r="BI113" s="57">
        <f ca="1">AVERAGE(OFFSET($BH$3,0,0,'Données projet'!$E$11+1,1))-AVERAGE(OFFSET($H$3,0,0,'Données projet'!$E$11+1,1))</f>
        <v>449.50723280509311</v>
      </c>
      <c r="BJ113" s="57">
        <f t="shared" si="92"/>
        <v>281.26353650058275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191.19203087124671</v>
      </c>
      <c r="BQ113" s="21">
        <f>EXP(-LN(2)/25)*BQ112+(1-EXP(-LN(2)/25))/(LN(2)/25)*Calculateur!BL113*Calculateur!BN113*VLOOKUP('Données projet'!$B$11,Paramètres!$A$1:$I$89,3,0)*0.475*44/12</f>
        <v>39.883029937821647</v>
      </c>
      <c r="BR113" s="21">
        <f>EXP(-LN(2)/2)*BR112+(1-EXP(-LN(2)/2))/(LN(2)/2)*BL113*BO113*VLOOKUP('Données projet'!$B$11,Paramètres!$A$1:$I$89,3,0)*0.475*44/12</f>
        <v>1.322638891829258</v>
      </c>
      <c r="BS113" s="22">
        <f t="shared" si="63"/>
        <v>232.39769970089762</v>
      </c>
      <c r="BT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305</v>
      </c>
      <c r="BW113" s="12">
        <f>VLOOKUP(A113,'Données projet'!$A$113:$I$133,9,0)</f>
        <v>4.4000000000000004</v>
      </c>
      <c r="BX113" s="12">
        <f t="array" ref="BX113">INDEX(BW:BW,MIN(IF(ISNUMBER(BW113:BW309),ROW(BW113:BW309),"")))</f>
        <v>4.4000000000000004</v>
      </c>
      <c r="BY113" s="12">
        <f>IF('Données projet'!$A$114&gt;35,BY112+BX113-CG112,IF(A113&lt;'Données projet'!$A$114,$BV$205^A113,IF(A113='Données projet'!$A$114,'Données projet'!$B$114,BY112+BX113-CG112)))</f>
        <v>304.99999999999937</v>
      </c>
      <c r="BZ113" s="13">
        <f>BY113*VLOOKUP('Données projet'!$B$12,Paramètres!$A$1:$I$89,3,0)*VLOOKUP('Données projet'!$B$12,Paramètres!$A$1:$I$89,5,0)</f>
        <v>290.23799999999943</v>
      </c>
      <c r="CA113" s="13">
        <f t="shared" si="93"/>
        <v>69.126049856275102</v>
      </c>
      <c r="CB113" s="20">
        <f t="shared" si="64"/>
        <v>625.8923868330113</v>
      </c>
      <c r="CC113" s="57">
        <f t="shared" si="65"/>
        <v>905.8537757878571</v>
      </c>
      <c r="CD113" s="57">
        <f ca="1">AVERAGE(OFFSET($CC$3,0,0,'Données projet'!$E$12+1,1))-AVERAGE(OFFSET($H$3,0,0,'Données projet'!$E$12+1,1))</f>
        <v>479.4551766174892</v>
      </c>
      <c r="CE113" s="57">
        <f t="shared" si="94"/>
        <v>260.29028006191834</v>
      </c>
      <c r="CF113" s="15">
        <f>IF(ISNA(VLOOKUP(A113,'Données projet'!$A$113:$I$133,3,0)),0,VLOOKUP(A113,'Données projet'!$A$113:$I$133,3,0))</f>
        <v>16</v>
      </c>
      <c r="CG113" s="15">
        <f>IF(ISNA(VLOOKUP(A113,'Données projet'!$A$113:$I$133,4,0)),0,VLOOKUP(A113,'Données projet'!$A$113:$I$133,4,0))</f>
        <v>39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-2.2737367544323206E-13</v>
      </c>
      <c r="CU113" s="17">
        <f>CT113*VLOOKUP('Données projet'!$B$13,Paramètres!$A$1:$I$89,3,0)*VLOOKUP('Données projet'!$B$13,Paramètres!$A$1:$I$89,5,0)</f>
        <v>-1.2710188457276673E-13</v>
      </c>
      <c r="CV113" s="13" t="e">
        <f t="shared" si="95"/>
        <v>#NUM!</v>
      </c>
      <c r="CW113" s="20" t="e">
        <f t="shared" si="67"/>
        <v>#NUM!</v>
      </c>
      <c r="CX113" s="57" t="e">
        <f t="shared" si="68"/>
        <v>#NUM!</v>
      </c>
      <c r="CY113" s="57">
        <f ca="1">AVERAGE(OFFSET($CX$3,0,0,'Données projet'!$E$13+1,1))-AVERAGE(OFFSET($H$3,0,0,'Données projet'!$E$13+1,1))</f>
        <v>459.83870442974046</v>
      </c>
      <c r="CZ113" s="57">
        <f t="shared" si="96"/>
        <v>565.68976940602215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96.137708524698809</v>
      </c>
      <c r="DG113" s="21">
        <f>EXP(-LN(2)/25)*DG112+(1-EXP(-LN(2)/25))/(LN(2)/25)*Calculateur!DB113*Calculateur!DD113*VLOOKUP('Données projet'!$B$13,Paramètres!$A$1:$I$89,3,0)*0.475*44/12</f>
        <v>16.10609654450905</v>
      </c>
      <c r="DH113" s="21">
        <f>EXP(-LN(2)/2)*DH112+(1-EXP(-LN(2)/2))/(LN(2)/2)*DB113*DE113*VLOOKUP('Données projet'!$B$13,Paramètres!$A$1:$I$89,3,0)*0.475*44/12</f>
        <v>1.6784921406301645E-6</v>
      </c>
      <c r="DI113" s="22">
        <f t="shared" si="69"/>
        <v>112.24380674770001</v>
      </c>
      <c r="DJ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7" t="e">
        <f t="shared" si="71"/>
        <v>#NUM!</v>
      </c>
      <c r="DT113" s="57">
        <f ca="1">AVERAGE(OFFSET($DS$3,0,0,'Données projet'!$E$14+1,1))-AVERAGE(OFFSET($H$3,0,0,'Données projet'!$E$14+1,1))</f>
        <v>315.23504986325418</v>
      </c>
      <c r="DU113" s="57">
        <f t="shared" si="98"/>
        <v>350.52837099886688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52.24261354537019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52.24261354537019</v>
      </c>
      <c r="EE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3.6666666666666665</v>
      </c>
      <c r="EJ113" s="12">
        <f>IF('Données projet'!$A$192&gt;35,EJ112+EI113-ER112,IF(A113&lt;'Données projet'!$A$192,$EG$205^A113,IF(A113='Données projet'!$A$192,'Données projet'!$B$192,EJ112+EI113-ER112)))</f>
        <v>165.33333333333329</v>
      </c>
      <c r="EK113" s="17">
        <f>EJ113*VLOOKUP('Données projet'!$B$15,Paramètres!$A$1:$I$89,3,0)*VLOOKUP('Données projet'!$B$15,Paramètres!$A$1:$I$89,5,0)</f>
        <v>159.91039999999995</v>
      </c>
      <c r="EL113" s="13">
        <f t="shared" si="99"/>
        <v>40.822305217786031</v>
      </c>
      <c r="EM113" s="20">
        <f t="shared" si="73"/>
        <v>349.60946158764392</v>
      </c>
      <c r="EN113" s="57">
        <f t="shared" si="74"/>
        <v>629.57085054248978</v>
      </c>
      <c r="EO113" s="57">
        <f ca="1">AVERAGE(OFFSET($EN$3,0,0,'Données projet'!$E$15+1,1))-AVERAGE(OFFSET($H$3,0,0,'Données projet'!$E$15+1,1))</f>
        <v>328.31200866623891</v>
      </c>
      <c r="EP113" s="57">
        <f t="shared" si="100"/>
        <v>195.52650232917446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29.402345267697552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29.402345267697552</v>
      </c>
      <c r="EZ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7" t="e">
        <f t="shared" si="77"/>
        <v>#NUM!</v>
      </c>
      <c r="FJ113" s="57">
        <f ca="1">AVERAGE(OFFSET($FI$3,0,0,'Données projet'!$E$16+1,1))-AVERAGE(OFFSET($H$3,0,0,'Données projet'!$E$16+1,1))</f>
        <v>142.88219003619457</v>
      </c>
      <c r="FK113" s="57">
        <f t="shared" si="102"/>
        <v>288.69704547625088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10.068649910738973</v>
      </c>
      <c r="FR113" s="21">
        <f>EXP(-LN(2)/25)*FR112+(1-EXP(-LN(2)/25))/(LN(2)/25)*Calculateur!FM113*Calculateur!FO113*VLOOKUP('Données projet'!$B$16,Paramètres!$A$1:$I$89,3,0)*0.475*44/12</f>
        <v>1.3514374268193878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11.42008733755836</v>
      </c>
      <c r="FU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7" t="e">
        <f t="shared" si="80"/>
        <v>#N/A</v>
      </c>
      <c r="GE113" s="57" t="e">
        <f ca="1">AVERAGE(OFFSET($GD$3,0,0,'Données projet'!$E$17+1,1))-AVERAGE(OFFSET($H$3,0,0,'Données projet'!$E$17+1,1))</f>
        <v>#N/A</v>
      </c>
      <c r="GF113" s="57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7" t="e">
        <f t="shared" si="83"/>
        <v>#N/A</v>
      </c>
      <c r="GZ113" s="57" t="e">
        <f ca="1">AVERAGE(OFFSET($GY$3,0,0,'Données projet'!$E$18+1,1))-AVERAGE(OFFSET($H$3,0,0,'Données projet'!$E$18+1,1))</f>
        <v>#N/A</v>
      </c>
      <c r="HA113" s="57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1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5">
        <f t="shared" si="56"/>
        <v>183.33333333333334</v>
      </c>
      <c r="I114" s="6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4.9000000000000004</v>
      </c>
      <c r="N114" s="13">
        <f>IF('Données projet'!$A$36&gt;35,N113+M114-V113,IF(A114&lt;'Données projet'!$A$36,$K$205^A114,IF(A114='Données projet'!$A$36,'Données projet'!$B$36,N113+M114-V113)))</f>
        <v>336.40000000000003</v>
      </c>
      <c r="O114" s="13">
        <f>N114*VLOOKUP('Données projet'!$B$9,Paramètres!$A$1:$I$89,3,0)*VLOOKUP('Données projet'!$B$9,Paramètres!$A$1:$I$89,5,0)</f>
        <v>304.37472000000002</v>
      </c>
      <c r="P114" s="13">
        <f t="shared" si="87"/>
        <v>72.092798667275119</v>
      </c>
      <c r="Q114" s="20">
        <f t="shared" si="107"/>
        <v>655.68092834550419</v>
      </c>
      <c r="R114" s="57">
        <f t="shared" si="55"/>
        <v>935.87429064012781</v>
      </c>
      <c r="S114" s="57">
        <f ca="1">AVERAGE(OFFSET($R$3,0,0,'Données projet'!$E$9+1,1))-AVERAGE(OFFSET($H$3,0,0,'Données projet'!$E$9+1,1))</f>
        <v>539.63700256763173</v>
      </c>
      <c r="T114" s="57">
        <f t="shared" si="88"/>
        <v>297.32483725004136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4.9000000000000004</v>
      </c>
      <c r="AI114" s="13">
        <f>IF('Données projet'!$A$62&gt;35,AI113+AH114-AQ113,IF(A114&lt;'Données projet'!$A$62,$AF$205^A114,IF(A114='Données projet'!$A$62,'Données projet'!$B$62,AI113+AH114-AQ113)))</f>
        <v>336.40000000000003</v>
      </c>
      <c r="AJ114" s="13">
        <f>AI114*VLOOKUP('Données projet'!$B$10,Paramètres!$A$1:$I$89,3,0)*VLOOKUP('Données projet'!$B$10,Paramètres!$A$1:$I$89,5,0)</f>
        <v>283.38336000000004</v>
      </c>
      <c r="AK114" s="13">
        <f t="shared" si="89"/>
        <v>67.681509527314645</v>
      </c>
      <c r="AL114" s="20">
        <f t="shared" si="58"/>
        <v>611.43798109340639</v>
      </c>
      <c r="AM114" s="57">
        <f t="shared" si="59"/>
        <v>891.63134338803002</v>
      </c>
      <c r="AN114" s="57">
        <f ca="1">AVERAGE(OFFSET($AM$3,0,0,'Données projet'!$E$10+1,1))-AVERAGE(OFFSET($H$3,0,0,'Données projet'!$E$10+1,1))</f>
        <v>508.21188526136734</v>
      </c>
      <c r="AO114" s="57">
        <f t="shared" si="90"/>
        <v>281.06176764290592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-1.064108801074326E-13</v>
      </c>
      <c r="BF114" s="13" t="e">
        <f t="shared" si="91"/>
        <v>#NUM!</v>
      </c>
      <c r="BG114" s="20" t="e">
        <f t="shared" si="61"/>
        <v>#NUM!</v>
      </c>
      <c r="BH114" s="57" t="e">
        <f t="shared" si="62"/>
        <v>#NUM!</v>
      </c>
      <c r="BI114" s="57">
        <f ca="1">AVERAGE(OFFSET($BH$3,0,0,'Données projet'!$E$11+1,1))-AVERAGE(OFFSET($H$3,0,0,'Données projet'!$E$11+1,1))</f>
        <v>449.50723280509311</v>
      </c>
      <c r="BJ114" s="57">
        <f t="shared" si="92"/>
        <v>281.26353650058275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187.44287176148555</v>
      </c>
      <c r="BQ114" s="21">
        <f>EXP(-LN(2)/25)*BQ113+(1-EXP(-LN(2)/25))/(LN(2)/25)*Calculateur!BL114*Calculateur!BN114*VLOOKUP('Données projet'!$B$11,Paramètres!$A$1:$I$89,3,0)*0.475*44/12</f>
        <v>38.792426386814526</v>
      </c>
      <c r="BR114" s="21">
        <f>EXP(-LN(2)/2)*BR113+(1-EXP(-LN(2)/2))/(LN(2)/2)*BL114*BO114*VLOOKUP('Données projet'!$B$11,Paramètres!$A$1:$I$89,3,0)*0.475*44/12</f>
        <v>0.93524692947352883</v>
      </c>
      <c r="BS114" s="22">
        <f t="shared" si="63"/>
        <v>227.1705450777736</v>
      </c>
      <c r="BT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3.7</v>
      </c>
      <c r="BY114" s="12">
        <f>IF('Données projet'!$A$114&gt;35,BY113+BX114-CG113,IF(A114&lt;'Données projet'!$A$114,$BV$205^A114,IF(A114='Données projet'!$A$114,'Données projet'!$B$114,BY113+BX114-CG113)))</f>
        <v>269.69999999999936</v>
      </c>
      <c r="BZ114" s="13">
        <f>BY114*VLOOKUP('Données projet'!$B$12,Paramètres!$A$1:$I$89,3,0)*VLOOKUP('Données projet'!$B$12,Paramètres!$A$1:$I$89,5,0)</f>
        <v>256.64651999999938</v>
      </c>
      <c r="CA114" s="13">
        <f t="shared" si="93"/>
        <v>62.007012349934747</v>
      </c>
      <c r="CB114" s="20">
        <f t="shared" si="64"/>
        <v>554.98823550946861</v>
      </c>
      <c r="CC114" s="57">
        <f t="shared" si="65"/>
        <v>835.18159780409223</v>
      </c>
      <c r="CD114" s="57">
        <f ca="1">AVERAGE(OFFSET($CC$3,0,0,'Données projet'!$E$12+1,1))-AVERAGE(OFFSET($H$3,0,0,'Données projet'!$E$12+1,1))</f>
        <v>479.4551766174892</v>
      </c>
      <c r="CE114" s="57">
        <f t="shared" si="94"/>
        <v>260.29028006191834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-2.2737367544323206E-13</v>
      </c>
      <c r="CU114" s="17">
        <f>CT114*VLOOKUP('Données projet'!$B$13,Paramètres!$A$1:$I$89,3,0)*VLOOKUP('Données projet'!$B$13,Paramètres!$A$1:$I$89,5,0)</f>
        <v>-1.2710188457276673E-13</v>
      </c>
      <c r="CV114" s="13" t="e">
        <f t="shared" si="95"/>
        <v>#NUM!</v>
      </c>
      <c r="CW114" s="20" t="e">
        <f t="shared" si="67"/>
        <v>#NUM!</v>
      </c>
      <c r="CX114" s="57" t="e">
        <f t="shared" si="68"/>
        <v>#NUM!</v>
      </c>
      <c r="CY114" s="57">
        <f ca="1">AVERAGE(OFFSET($CX$3,0,0,'Données projet'!$E$13+1,1))-AVERAGE(OFFSET($H$3,0,0,'Données projet'!$E$13+1,1))</f>
        <v>459.83870442974046</v>
      </c>
      <c r="CZ114" s="57">
        <f t="shared" si="96"/>
        <v>565.68976940602215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94.252506698741627</v>
      </c>
      <c r="DG114" s="21">
        <f>EXP(-LN(2)/25)*DG113+(1-EXP(-LN(2)/25))/(LN(2)/25)*Calculateur!DB114*Calculateur!DD114*VLOOKUP('Données projet'!$B$13,Paramètres!$A$1:$I$89,3,0)*0.475*44/12</f>
        <v>15.665674487516643</v>
      </c>
      <c r="DH114" s="21">
        <f>EXP(-LN(2)/2)*DH113+(1-EXP(-LN(2)/2))/(LN(2)/2)*DB114*DE114*VLOOKUP('Données projet'!$B$13,Paramètres!$A$1:$I$89,3,0)*0.475*44/12</f>
        <v>1.1868731748079135E-6</v>
      </c>
      <c r="DI114" s="22">
        <f t="shared" si="69"/>
        <v>109.91818237313144</v>
      </c>
      <c r="DJ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7" t="e">
        <f t="shared" si="71"/>
        <v>#NUM!</v>
      </c>
      <c r="DT114" s="57">
        <f ca="1">AVERAGE(OFFSET($DS$3,0,0,'Données projet'!$E$14+1,1))-AVERAGE(OFFSET($H$3,0,0,'Données projet'!$E$14+1,1))</f>
        <v>315.23504986325418</v>
      </c>
      <c r="DU114" s="57">
        <f t="shared" si="98"/>
        <v>350.52837099886688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51.218167758593353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51.218167758593353</v>
      </c>
      <c r="EE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3.6666666666666665</v>
      </c>
      <c r="EJ114" s="12">
        <f>IF('Données projet'!$A$192&gt;35,EJ113+EI114-ER113,IF(A114&lt;'Données projet'!$A$192,$EG$205^A114,IF(A114='Données projet'!$A$192,'Données projet'!$B$192,EJ113+EI114-ER113)))</f>
        <v>168.99999999999994</v>
      </c>
      <c r="EK114" s="17">
        <f>EJ114*VLOOKUP('Données projet'!$B$15,Paramètres!$A$1:$I$89,3,0)*VLOOKUP('Données projet'!$B$15,Paramètres!$A$1:$I$89,5,0)</f>
        <v>163.45679999999993</v>
      </c>
      <c r="EL114" s="13">
        <f t="shared" si="99"/>
        <v>41.621233697261061</v>
      </c>
      <c r="EM114" s="20">
        <f t="shared" si="73"/>
        <v>357.17757535606285</v>
      </c>
      <c r="EN114" s="57">
        <f t="shared" si="74"/>
        <v>637.37093765068641</v>
      </c>
      <c r="EO114" s="57">
        <f ca="1">AVERAGE(OFFSET($EN$3,0,0,'Données projet'!$E$15+1,1))-AVERAGE(OFFSET($H$3,0,0,'Données projet'!$E$15+1,1))</f>
        <v>328.31200866623891</v>
      </c>
      <c r="EP114" s="57">
        <f t="shared" si="100"/>
        <v>195.52650232917446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28.825783210657814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28.825783210657814</v>
      </c>
      <c r="EZ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7" t="e">
        <f t="shared" si="77"/>
        <v>#NUM!</v>
      </c>
      <c r="FJ114" s="57">
        <f ca="1">AVERAGE(OFFSET($FI$3,0,0,'Données projet'!$E$16+1,1))-AVERAGE(OFFSET($H$3,0,0,'Données projet'!$E$16+1,1))</f>
        <v>142.88219003619457</v>
      </c>
      <c r="FK114" s="57">
        <f t="shared" si="102"/>
        <v>288.69704547625088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9.8712098272594275</v>
      </c>
      <c r="FR114" s="21">
        <f>EXP(-LN(2)/25)*FR113+(1-EXP(-LN(2)/25))/(LN(2)/25)*Calculateur!FM114*Calculateur!FO114*VLOOKUP('Données projet'!$B$16,Paramètres!$A$1:$I$89,3,0)*0.475*44/12</f>
        <v>1.3144822993140062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11.185692126573434</v>
      </c>
      <c r="FU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7" t="e">
        <f t="shared" si="80"/>
        <v>#N/A</v>
      </c>
      <c r="GE114" s="57" t="e">
        <f ca="1">AVERAGE(OFFSET($GD$3,0,0,'Données projet'!$E$17+1,1))-AVERAGE(OFFSET($H$3,0,0,'Données projet'!$E$17+1,1))</f>
        <v>#N/A</v>
      </c>
      <c r="GF114" s="57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7" t="e">
        <f t="shared" si="83"/>
        <v>#N/A</v>
      </c>
      <c r="GZ114" s="57" t="e">
        <f ca="1">AVERAGE(OFFSET($GY$3,0,0,'Données projet'!$E$18+1,1))-AVERAGE(OFFSET($H$3,0,0,'Données projet'!$E$18+1,1))</f>
        <v>#N/A</v>
      </c>
      <c r="HA114" s="57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1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5">
        <f t="shared" si="56"/>
        <v>183.33333333333334</v>
      </c>
      <c r="I115" s="6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4.9000000000000004</v>
      </c>
      <c r="N115" s="13">
        <f>IF('Données projet'!$A$36&gt;35,N114+M115-V114,IF(A115&lt;'Données projet'!$A$36,$K$205^A115,IF(A115='Données projet'!$A$36,'Données projet'!$B$36,N114+M115-V114)))</f>
        <v>341.3</v>
      </c>
      <c r="O115" s="13">
        <f>N115*VLOOKUP('Données projet'!$B$9,Paramètres!$A$1:$I$89,3,0)*VLOOKUP('Données projet'!$B$9,Paramètres!$A$1:$I$89,5,0)</f>
        <v>308.80823999999996</v>
      </c>
      <c r="P115" s="13">
        <f t="shared" si="87"/>
        <v>73.019887483808844</v>
      </c>
      <c r="Q115" s="20">
        <f t="shared" si="107"/>
        <v>665.01732203430026</v>
      </c>
      <c r="R115" s="57">
        <f t="shared" si="55"/>
        <v>945.43863344987108</v>
      </c>
      <c r="S115" s="57">
        <f ca="1">AVERAGE(OFFSET($R$3,0,0,'Données projet'!$E$9+1,1))-AVERAGE(OFFSET($H$3,0,0,'Données projet'!$E$9+1,1))</f>
        <v>539.63700256763173</v>
      </c>
      <c r="T115" s="57">
        <f t="shared" si="88"/>
        <v>297.32483725004136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4.9000000000000004</v>
      </c>
      <c r="AI115" s="13">
        <f>IF('Données projet'!$A$62&gt;35,AI114+AH115-AQ114,IF(A115&lt;'Données projet'!$A$62,$AF$205^A115,IF(A115='Données projet'!$A$62,'Données projet'!$B$62,AI114+AH115-AQ114)))</f>
        <v>341.3</v>
      </c>
      <c r="AJ115" s="13">
        <f>AI115*VLOOKUP('Données projet'!$B$10,Paramètres!$A$1:$I$89,3,0)*VLOOKUP('Données projet'!$B$10,Paramètres!$A$1:$I$89,5,0)</f>
        <v>287.51112000000006</v>
      </c>
      <c r="AK115" s="13">
        <f t="shared" si="89"/>
        <v>68.551870669187977</v>
      </c>
      <c r="AL115" s="20">
        <f t="shared" si="58"/>
        <v>620.14304208216913</v>
      </c>
      <c r="AM115" s="57">
        <f t="shared" si="59"/>
        <v>900.56435349774006</v>
      </c>
      <c r="AN115" s="57">
        <f ca="1">AVERAGE(OFFSET($AM$3,0,0,'Données projet'!$E$10+1,1))-AVERAGE(OFFSET($H$3,0,0,'Données projet'!$E$10+1,1))</f>
        <v>508.21188526136734</v>
      </c>
      <c r="AO115" s="57">
        <f t="shared" si="90"/>
        <v>281.06176764290592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-1.064108801074326E-13</v>
      </c>
      <c r="BF115" s="13" t="e">
        <f t="shared" si="91"/>
        <v>#NUM!</v>
      </c>
      <c r="BG115" s="20" t="e">
        <f t="shared" si="61"/>
        <v>#NUM!</v>
      </c>
      <c r="BH115" s="57" t="e">
        <f t="shared" si="62"/>
        <v>#NUM!</v>
      </c>
      <c r="BI115" s="57">
        <f ca="1">AVERAGE(OFFSET($BH$3,0,0,'Données projet'!$E$11+1,1))-AVERAGE(OFFSET($H$3,0,0,'Données projet'!$E$11+1,1))</f>
        <v>449.50723280509311</v>
      </c>
      <c r="BJ115" s="57">
        <f t="shared" si="92"/>
        <v>281.26353650058275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183.76723137510555</v>
      </c>
      <c r="BQ115" s="21">
        <f>EXP(-LN(2)/25)*BQ114+(1-EXP(-LN(2)/25))/(LN(2)/25)*Calculateur!BL115*Calculateur!BN115*VLOOKUP('Données projet'!$B$11,Paramètres!$A$1:$I$89,3,0)*0.475*44/12</f>
        <v>37.731645447262039</v>
      </c>
      <c r="BR115" s="21">
        <f>EXP(-LN(2)/2)*BR114+(1-EXP(-LN(2)/2))/(LN(2)/2)*BL115*BO115*VLOOKUP('Données projet'!$B$11,Paramètres!$A$1:$I$89,3,0)*0.475*44/12</f>
        <v>0.66131944591462899</v>
      </c>
      <c r="BS115" s="22">
        <f t="shared" si="63"/>
        <v>222.16019626828225</v>
      </c>
      <c r="BT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3.7</v>
      </c>
      <c r="BY115" s="12">
        <f>IF('Données projet'!$A$114&gt;35,BY114+BX115-CG114,IF(A115&lt;'Données projet'!$A$114,$BV$205^A115,IF(A115='Données projet'!$A$114,'Données projet'!$B$114,BY114+BX115-CG114)))</f>
        <v>273.39999999999935</v>
      </c>
      <c r="BZ115" s="13">
        <f>BY115*VLOOKUP('Données projet'!$B$12,Paramètres!$A$1:$I$89,3,0)*VLOOKUP('Données projet'!$B$12,Paramètres!$A$1:$I$89,5,0)</f>
        <v>260.16743999999937</v>
      </c>
      <c r="CA115" s="13">
        <f t="shared" si="93"/>
        <v>62.758068060335646</v>
      </c>
      <c r="CB115" s="20">
        <f t="shared" si="64"/>
        <v>562.42859320508342</v>
      </c>
      <c r="CC115" s="57">
        <f t="shared" si="65"/>
        <v>842.84990462065434</v>
      </c>
      <c r="CD115" s="57">
        <f ca="1">AVERAGE(OFFSET($CC$3,0,0,'Données projet'!$E$12+1,1))-AVERAGE(OFFSET($H$3,0,0,'Données projet'!$E$12+1,1))</f>
        <v>479.4551766174892</v>
      </c>
      <c r="CE115" s="57">
        <f t="shared" si="94"/>
        <v>260.29028006191834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-2.2737367544323206E-13</v>
      </c>
      <c r="CU115" s="17">
        <f>CT115*VLOOKUP('Données projet'!$B$13,Paramètres!$A$1:$I$89,3,0)*VLOOKUP('Données projet'!$B$13,Paramètres!$A$1:$I$89,5,0)</f>
        <v>-1.2710188457276673E-13</v>
      </c>
      <c r="CV115" s="13" t="e">
        <f t="shared" si="95"/>
        <v>#NUM!</v>
      </c>
      <c r="CW115" s="20" t="e">
        <f t="shared" si="67"/>
        <v>#NUM!</v>
      </c>
      <c r="CX115" s="57" t="e">
        <f t="shared" si="68"/>
        <v>#NUM!</v>
      </c>
      <c r="CY115" s="57">
        <f ca="1">AVERAGE(OFFSET($CX$3,0,0,'Données projet'!$E$13+1,1))-AVERAGE(OFFSET($H$3,0,0,'Données projet'!$E$13+1,1))</f>
        <v>459.83870442974046</v>
      </c>
      <c r="CZ115" s="57">
        <f t="shared" si="96"/>
        <v>565.68976940602215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92.404272530731888</v>
      </c>
      <c r="DG115" s="21">
        <f>EXP(-LN(2)/25)*DG114+(1-EXP(-LN(2)/25))/(LN(2)/25)*Calculateur!DB115*Calculateur!DD115*VLOOKUP('Données projet'!$B$13,Paramètres!$A$1:$I$89,3,0)*0.475*44/12</f>
        <v>15.237295794833484</v>
      </c>
      <c r="DH115" s="21">
        <f>EXP(-LN(2)/2)*DH114+(1-EXP(-LN(2)/2))/(LN(2)/2)*DB115*DE115*VLOOKUP('Données projet'!$B$13,Paramètres!$A$1:$I$89,3,0)*0.475*44/12</f>
        <v>8.3924607031508227E-7</v>
      </c>
      <c r="DI115" s="22">
        <f t="shared" si="69"/>
        <v>107.64156916481144</v>
      </c>
      <c r="DJ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7" t="e">
        <f t="shared" si="71"/>
        <v>#NUM!</v>
      </c>
      <c r="DT115" s="57">
        <f ca="1">AVERAGE(OFFSET($DS$3,0,0,'Données projet'!$E$14+1,1))-AVERAGE(OFFSET($H$3,0,0,'Données projet'!$E$14+1,1))</f>
        <v>315.23504986325418</v>
      </c>
      <c r="DU115" s="57">
        <f t="shared" si="98"/>
        <v>350.52837099886688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50.213810728844976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50.213810728844976</v>
      </c>
      <c r="EE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3.6666666666666665</v>
      </c>
      <c r="EJ115" s="12">
        <f>IF('Données projet'!$A$192&gt;35,EJ114+EI115-ER114,IF(A115&lt;'Données projet'!$A$192,$EG$205^A115,IF(A115='Données projet'!$A$192,'Données projet'!$B$192,EJ114+EI115-ER114)))</f>
        <v>172.6666666666666</v>
      </c>
      <c r="EK115" s="17">
        <f>EJ115*VLOOKUP('Données projet'!$B$15,Paramètres!$A$1:$I$89,3,0)*VLOOKUP('Données projet'!$B$15,Paramètres!$A$1:$I$89,5,0)</f>
        <v>167.00319999999994</v>
      </c>
      <c r="EL115" s="13">
        <f t="shared" si="99"/>
        <v>42.418146906240658</v>
      </c>
      <c r="EM115" s="20">
        <f t="shared" si="73"/>
        <v>364.7421791950357</v>
      </c>
      <c r="EN115" s="57">
        <f t="shared" si="74"/>
        <v>645.16349061060657</v>
      </c>
      <c r="EO115" s="57">
        <f ca="1">AVERAGE(OFFSET($EN$3,0,0,'Données projet'!$E$15+1,1))-AVERAGE(OFFSET($H$3,0,0,'Données projet'!$E$15+1,1))</f>
        <v>328.31200866623891</v>
      </c>
      <c r="EP115" s="57">
        <f t="shared" si="100"/>
        <v>195.52650232917446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28.260527183888495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28.260527183888495</v>
      </c>
      <c r="EZ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7" t="e">
        <f t="shared" si="77"/>
        <v>#NUM!</v>
      </c>
      <c r="FJ115" s="57">
        <f ca="1">AVERAGE(OFFSET($FI$3,0,0,'Données projet'!$E$16+1,1))-AVERAGE(OFFSET($H$3,0,0,'Données projet'!$E$16+1,1))</f>
        <v>142.88219003619457</v>
      </c>
      <c r="FK115" s="57">
        <f t="shared" si="102"/>
        <v>288.69704547625088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9.6776414233903552</v>
      </c>
      <c r="FR115" s="21">
        <f>EXP(-LN(2)/25)*FR114+(1-EXP(-LN(2)/25))/(LN(2)/25)*Calculateur!FM115*Calculateur!FO115*VLOOKUP('Données projet'!$B$16,Paramètres!$A$1:$I$89,3,0)*0.475*44/12</f>
        <v>1.2785377117136449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10.956179135104</v>
      </c>
      <c r="FU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7" t="e">
        <f t="shared" si="80"/>
        <v>#N/A</v>
      </c>
      <c r="GE115" s="57" t="e">
        <f ca="1">AVERAGE(OFFSET($GD$3,0,0,'Données projet'!$E$17+1,1))-AVERAGE(OFFSET($H$3,0,0,'Données projet'!$E$17+1,1))</f>
        <v>#N/A</v>
      </c>
      <c r="GF115" s="57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7" t="e">
        <f t="shared" si="83"/>
        <v>#N/A</v>
      </c>
      <c r="GZ115" s="57" t="e">
        <f ca="1">AVERAGE(OFFSET($GY$3,0,0,'Données projet'!$E$18+1,1))-AVERAGE(OFFSET($H$3,0,0,'Données projet'!$E$18+1,1))</f>
        <v>#N/A</v>
      </c>
      <c r="HA115" s="57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1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5">
        <f t="shared" si="56"/>
        <v>183.33333333333334</v>
      </c>
      <c r="I116" s="6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4.9000000000000004</v>
      </c>
      <c r="N116" s="13">
        <f>IF('Données projet'!$A$36&gt;35,N115+M116-V115,IF(A116&lt;'Données projet'!$A$36,$K$205^A116,IF(A116='Données projet'!$A$36,'Données projet'!$B$36,N115+M116-V115)))</f>
        <v>346.2</v>
      </c>
      <c r="O116" s="13">
        <f>N116*VLOOKUP('Données projet'!$B$9,Paramètres!$A$1:$I$89,3,0)*VLOOKUP('Données projet'!$B$9,Paramètres!$A$1:$I$89,5,0)</f>
        <v>313.24176</v>
      </c>
      <c r="P116" s="13">
        <f t="shared" si="87"/>
        <v>73.945428242952033</v>
      </c>
      <c r="Q116" s="20">
        <f t="shared" si="107"/>
        <v>674.35101952314142</v>
      </c>
      <c r="R116" s="57">
        <f t="shared" si="55"/>
        <v>954.9963256520291</v>
      </c>
      <c r="S116" s="57">
        <f ca="1">AVERAGE(OFFSET($R$3,0,0,'Données projet'!$E$9+1,1))-AVERAGE(OFFSET($H$3,0,0,'Données projet'!$E$9+1,1))</f>
        <v>539.63700256763173</v>
      </c>
      <c r="T116" s="57">
        <f t="shared" si="88"/>
        <v>297.32483725004136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4.9000000000000004</v>
      </c>
      <c r="AI116" s="13">
        <f>IF('Données projet'!$A$62&gt;35,AI115+AH116-AQ115,IF(A116&lt;'Données projet'!$A$62,$AF$205^A116,IF(A116='Données projet'!$A$62,'Données projet'!$B$62,AI115+AH116-AQ115)))</f>
        <v>346.2</v>
      </c>
      <c r="AJ116" s="13">
        <f>AI116*VLOOKUP('Données projet'!$B$10,Paramètres!$A$1:$I$89,3,0)*VLOOKUP('Données projet'!$B$10,Paramètres!$A$1:$I$89,5,0)</f>
        <v>291.63888000000003</v>
      </c>
      <c r="AK116" s="13">
        <f t="shared" si="89"/>
        <v>69.42077847781627</v>
      </c>
      <c r="AL116" s="20">
        <f t="shared" si="58"/>
        <v>628.8455718488633</v>
      </c>
      <c r="AM116" s="57">
        <f t="shared" si="59"/>
        <v>909.49087797775087</v>
      </c>
      <c r="AN116" s="57">
        <f ca="1">AVERAGE(OFFSET($AM$3,0,0,'Données projet'!$E$10+1,1))-AVERAGE(OFFSET($H$3,0,0,'Données projet'!$E$10+1,1))</f>
        <v>508.21188526136734</v>
      </c>
      <c r="AO116" s="57">
        <f t="shared" si="90"/>
        <v>281.06176764290592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-1.064108801074326E-13</v>
      </c>
      <c r="BF116" s="13" t="e">
        <f t="shared" si="91"/>
        <v>#NUM!</v>
      </c>
      <c r="BG116" s="20" t="e">
        <f t="shared" si="61"/>
        <v>#NUM!</v>
      </c>
      <c r="BH116" s="57" t="e">
        <f t="shared" si="62"/>
        <v>#NUM!</v>
      </c>
      <c r="BI116" s="57">
        <f ca="1">AVERAGE(OFFSET($BH$3,0,0,'Données projet'!$E$11+1,1))-AVERAGE(OFFSET($H$3,0,0,'Données projet'!$E$11+1,1))</f>
        <v>449.50723280509311</v>
      </c>
      <c r="BJ116" s="57">
        <f t="shared" si="92"/>
        <v>281.26353650058275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180.16366805478322</v>
      </c>
      <c r="BQ116" s="21">
        <f>EXP(-LN(2)/25)*BQ115+(1-EXP(-LN(2)/25))/(LN(2)/25)*Calculateur!BL116*Calculateur!BN116*VLOOKUP('Données projet'!$B$11,Paramètres!$A$1:$I$89,3,0)*0.475*44/12</f>
        <v>36.699871618285663</v>
      </c>
      <c r="BR116" s="21">
        <f>EXP(-LN(2)/2)*BR115+(1-EXP(-LN(2)/2))/(LN(2)/2)*BL116*BO116*VLOOKUP('Données projet'!$B$11,Paramètres!$A$1:$I$89,3,0)*0.475*44/12</f>
        <v>0.46762346473676442</v>
      </c>
      <c r="BS116" s="22">
        <f t="shared" si="63"/>
        <v>217.33116313780565</v>
      </c>
      <c r="BT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3.7</v>
      </c>
      <c r="BY116" s="12">
        <f>IF('Données projet'!$A$114&gt;35,BY115+BX116-CG115,IF(A116&lt;'Données projet'!$A$114,$BV$205^A116,IF(A116='Données projet'!$A$114,'Données projet'!$B$114,BY115+BX116-CG115)))</f>
        <v>277.09999999999934</v>
      </c>
      <c r="BZ116" s="13">
        <f>BY116*VLOOKUP('Données projet'!$B$12,Paramètres!$A$1:$I$89,3,0)*VLOOKUP('Données projet'!$B$12,Paramètres!$A$1:$I$89,5,0)</f>
        <v>263.68835999999942</v>
      </c>
      <c r="CA116" s="13">
        <f t="shared" si="93"/>
        <v>63.507941545180344</v>
      </c>
      <c r="CB116" s="20">
        <f t="shared" si="64"/>
        <v>569.86689185785474</v>
      </c>
      <c r="CC116" s="57">
        <f t="shared" si="65"/>
        <v>850.51219798674242</v>
      </c>
      <c r="CD116" s="57">
        <f ca="1">AVERAGE(OFFSET($CC$3,0,0,'Données projet'!$E$12+1,1))-AVERAGE(OFFSET($H$3,0,0,'Données projet'!$E$12+1,1))</f>
        <v>479.4551766174892</v>
      </c>
      <c r="CE116" s="57">
        <f t="shared" si="94"/>
        <v>260.29028006191834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-2.2737367544323206E-13</v>
      </c>
      <c r="CU116" s="17">
        <f>CT116*VLOOKUP('Données projet'!$B$13,Paramètres!$A$1:$I$89,3,0)*VLOOKUP('Données projet'!$B$13,Paramètres!$A$1:$I$89,5,0)</f>
        <v>-1.2710188457276673E-13</v>
      </c>
      <c r="CV116" s="13" t="e">
        <f t="shared" si="95"/>
        <v>#NUM!</v>
      </c>
      <c r="CW116" s="20" t="e">
        <f t="shared" si="67"/>
        <v>#NUM!</v>
      </c>
      <c r="CX116" s="57" t="e">
        <f t="shared" si="68"/>
        <v>#NUM!</v>
      </c>
      <c r="CY116" s="57">
        <f ca="1">AVERAGE(OFFSET($CX$3,0,0,'Données projet'!$E$13+1,1))-AVERAGE(OFFSET($H$3,0,0,'Données projet'!$E$13+1,1))</f>
        <v>459.83870442974046</v>
      </c>
      <c r="CZ116" s="57">
        <f t="shared" si="96"/>
        <v>565.68976940602215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90.592281107445288</v>
      </c>
      <c r="DG116" s="21">
        <f>EXP(-LN(2)/25)*DG115+(1-EXP(-LN(2)/25))/(LN(2)/25)*Calculateur!DB116*Calculateur!DD116*VLOOKUP('Données projet'!$B$13,Paramètres!$A$1:$I$89,3,0)*0.475*44/12</f>
        <v>14.820631140029201</v>
      </c>
      <c r="DH116" s="21">
        <f>EXP(-LN(2)/2)*DH115+(1-EXP(-LN(2)/2))/(LN(2)/2)*DB116*DE116*VLOOKUP('Données projet'!$B$13,Paramètres!$A$1:$I$89,3,0)*0.475*44/12</f>
        <v>5.9343658740395674E-7</v>
      </c>
      <c r="DI116" s="22">
        <f t="shared" si="69"/>
        <v>105.41291284091108</v>
      </c>
      <c r="DJ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7" t="e">
        <f t="shared" si="71"/>
        <v>#NUM!</v>
      </c>
      <c r="DT116" s="57">
        <f ca="1">AVERAGE(OFFSET($DS$3,0,0,'Données projet'!$E$14+1,1))-AVERAGE(OFFSET($H$3,0,0,'Données projet'!$E$14+1,1))</f>
        <v>315.23504986325418</v>
      </c>
      <c r="DU116" s="57">
        <f t="shared" si="98"/>
        <v>350.52837099886688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49.229148527852665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49.229148527852665</v>
      </c>
      <c r="EE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3.6666666666666665</v>
      </c>
      <c r="EJ116" s="12">
        <f>IF('Données projet'!$A$192&gt;35,EJ115+EI116-ER115,IF(A116&lt;'Données projet'!$A$192,$EG$205^A116,IF(A116='Données projet'!$A$192,'Données projet'!$B$192,EJ115+EI116-ER115)))</f>
        <v>176.33333333333326</v>
      </c>
      <c r="EK116" s="17">
        <f>EJ116*VLOOKUP('Données projet'!$B$15,Paramètres!$A$1:$I$89,3,0)*VLOOKUP('Données projet'!$B$15,Paramètres!$A$1:$I$89,5,0)</f>
        <v>170.54959999999994</v>
      </c>
      <c r="EL116" s="13">
        <f t="shared" si="99"/>
        <v>43.213092569663907</v>
      </c>
      <c r="EM116" s="20">
        <f t="shared" si="73"/>
        <v>372.30335622549779</v>
      </c>
      <c r="EN116" s="57">
        <f t="shared" si="74"/>
        <v>652.94866235438542</v>
      </c>
      <c r="EO116" s="57">
        <f ca="1">AVERAGE(OFFSET($EN$3,0,0,'Données projet'!$E$15+1,1))-AVERAGE(OFFSET($H$3,0,0,'Données projet'!$E$15+1,1))</f>
        <v>328.31200866623891</v>
      </c>
      <c r="EP116" s="57">
        <f t="shared" si="100"/>
        <v>195.52650232917446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27.706355483031992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27.706355483031992</v>
      </c>
      <c r="EZ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7" t="e">
        <f t="shared" si="77"/>
        <v>#NUM!</v>
      </c>
      <c r="FJ116" s="57">
        <f ca="1">AVERAGE(OFFSET($FI$3,0,0,'Données projet'!$E$16+1,1))-AVERAGE(OFFSET($H$3,0,0,'Données projet'!$E$16+1,1))</f>
        <v>142.88219003619457</v>
      </c>
      <c r="FK116" s="57">
        <f t="shared" si="102"/>
        <v>288.69704547625088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9.4878687778560877</v>
      </c>
      <c r="FR116" s="21">
        <f>EXP(-LN(2)/25)*FR115+(1-EXP(-LN(2)/25))/(LN(2)/25)*Calculateur!FM116*Calculateur!FO116*VLOOKUP('Données projet'!$B$16,Paramètres!$A$1:$I$89,3,0)*0.475*44/12</f>
        <v>1.2435760307514592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10.731444808607547</v>
      </c>
      <c r="FU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7" t="e">
        <f t="shared" si="80"/>
        <v>#N/A</v>
      </c>
      <c r="GE116" s="57" t="e">
        <f ca="1">AVERAGE(OFFSET($GD$3,0,0,'Données projet'!$E$17+1,1))-AVERAGE(OFFSET($H$3,0,0,'Données projet'!$E$17+1,1))</f>
        <v>#N/A</v>
      </c>
      <c r="GF116" s="57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7" t="e">
        <f t="shared" si="83"/>
        <v>#N/A</v>
      </c>
      <c r="GZ116" s="57" t="e">
        <f ca="1">AVERAGE(OFFSET($GY$3,0,0,'Données projet'!$E$18+1,1))-AVERAGE(OFFSET($H$3,0,0,'Données projet'!$E$18+1,1))</f>
        <v>#N/A</v>
      </c>
      <c r="HA116" s="57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1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5">
        <f t="shared" si="56"/>
        <v>183.33333333333334</v>
      </c>
      <c r="I117" s="6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4.9000000000000004</v>
      </c>
      <c r="N117" s="13">
        <f>IF('Données projet'!$A$36&gt;35,N116+M117-V116,IF(A117&lt;'Données projet'!$A$36,$K$205^A117,IF(A117='Données projet'!$A$36,'Données projet'!$B$36,N116+M117-V116)))</f>
        <v>351.09999999999997</v>
      </c>
      <c r="O117" s="13">
        <f>N117*VLOOKUP('Données projet'!$B$9,Paramètres!$A$1:$I$89,3,0)*VLOOKUP('Données projet'!$B$9,Paramètres!$A$1:$I$89,5,0)</f>
        <v>317.67527999999999</v>
      </c>
      <c r="P117" s="13">
        <f t="shared" si="87"/>
        <v>74.869445387304125</v>
      </c>
      <c r="Q117" s="20">
        <f t="shared" si="107"/>
        <v>683.68206338288792</v>
      </c>
      <c r="R117" s="57">
        <f t="shared" si="55"/>
        <v>964.54747841759331</v>
      </c>
      <c r="S117" s="57">
        <f ca="1">AVERAGE(OFFSET($R$3,0,0,'Données projet'!$E$9+1,1))-AVERAGE(OFFSET($H$3,0,0,'Données projet'!$E$9+1,1))</f>
        <v>539.63700256763173</v>
      </c>
      <c r="T117" s="57">
        <f t="shared" si="88"/>
        <v>297.32483725004136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4.9000000000000004</v>
      </c>
      <c r="AI117" s="13">
        <f>IF('Données projet'!$A$62&gt;35,AI116+AH117-AQ116,IF(A117&lt;'Données projet'!$A$62,$AF$205^A117,IF(A117='Données projet'!$A$62,'Données projet'!$B$62,AI116+AH117-AQ116)))</f>
        <v>351.09999999999997</v>
      </c>
      <c r="AJ117" s="13">
        <f>AI117*VLOOKUP('Données projet'!$B$10,Paramètres!$A$1:$I$89,3,0)*VLOOKUP('Données projet'!$B$10,Paramètres!$A$1:$I$89,5,0)</f>
        <v>295.76664</v>
      </c>
      <c r="AK117" s="13">
        <f t="shared" si="89"/>
        <v>70.288255900179905</v>
      </c>
      <c r="AL117" s="20">
        <f t="shared" si="58"/>
        <v>637.54561035947995</v>
      </c>
      <c r="AM117" s="57">
        <f t="shared" si="59"/>
        <v>918.41102539418534</v>
      </c>
      <c r="AN117" s="57">
        <f ca="1">AVERAGE(OFFSET($AM$3,0,0,'Données projet'!$E$10+1,1))-AVERAGE(OFFSET($H$3,0,0,'Données projet'!$E$10+1,1))</f>
        <v>508.21188526136734</v>
      </c>
      <c r="AO117" s="57">
        <f t="shared" si="90"/>
        <v>281.06176764290592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-1.064108801074326E-13</v>
      </c>
      <c r="BF117" s="13" t="e">
        <f t="shared" si="91"/>
        <v>#NUM!</v>
      </c>
      <c r="BG117" s="20" t="e">
        <f t="shared" si="61"/>
        <v>#NUM!</v>
      </c>
      <c r="BH117" s="57" t="e">
        <f t="shared" si="62"/>
        <v>#NUM!</v>
      </c>
      <c r="BI117" s="57">
        <f ca="1">AVERAGE(OFFSET($BH$3,0,0,'Données projet'!$E$11+1,1))-AVERAGE(OFFSET($H$3,0,0,'Données projet'!$E$11+1,1))</f>
        <v>449.50723280509311</v>
      </c>
      <c r="BJ117" s="57">
        <f t="shared" si="92"/>
        <v>281.26353650058275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176.6307684132158</v>
      </c>
      <c r="BQ117" s="21">
        <f>EXP(-LN(2)/25)*BQ116+(1-EXP(-LN(2)/25))/(LN(2)/25)*Calculateur!BL117*Calculateur!BN117*VLOOKUP('Données projet'!$B$11,Paramètres!$A$1:$I$89,3,0)*0.475*44/12</f>
        <v>35.696311698921271</v>
      </c>
      <c r="BR117" s="21">
        <f>EXP(-LN(2)/2)*BR116+(1-EXP(-LN(2)/2))/(LN(2)/2)*BL117*BO117*VLOOKUP('Données projet'!$B$11,Paramètres!$A$1:$I$89,3,0)*0.475*44/12</f>
        <v>0.33065972295731449</v>
      </c>
      <c r="BS117" s="22">
        <f t="shared" si="63"/>
        <v>212.65773983509439</v>
      </c>
      <c r="BT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3.7</v>
      </c>
      <c r="BY117" s="12">
        <f>IF('Données projet'!$A$114&gt;35,BY116+BX117-CG116,IF(A117&lt;'Données projet'!$A$114,$BV$205^A117,IF(A117='Données projet'!$A$114,'Données projet'!$B$114,BY116+BX117-CG116)))</f>
        <v>280.79999999999933</v>
      </c>
      <c r="BZ117" s="13">
        <f>BY117*VLOOKUP('Données projet'!$B$12,Paramètres!$A$1:$I$89,3,0)*VLOOKUP('Données projet'!$B$12,Paramètres!$A$1:$I$89,5,0)</f>
        <v>267.20927999999935</v>
      </c>
      <c r="CA117" s="13">
        <f t="shared" si="93"/>
        <v>64.256650415057905</v>
      </c>
      <c r="CB117" s="20">
        <f t="shared" si="64"/>
        <v>577.30316213955803</v>
      </c>
      <c r="CC117" s="57">
        <f t="shared" si="65"/>
        <v>858.16857717426342</v>
      </c>
      <c r="CD117" s="57">
        <f ca="1">AVERAGE(OFFSET($CC$3,0,0,'Données projet'!$E$12+1,1))-AVERAGE(OFFSET($H$3,0,0,'Données projet'!$E$12+1,1))</f>
        <v>479.4551766174892</v>
      </c>
      <c r="CE117" s="57">
        <f t="shared" si="94"/>
        <v>260.29028006191834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-2.2737367544323206E-13</v>
      </c>
      <c r="CU117" s="17">
        <f>CT117*VLOOKUP('Données projet'!$B$13,Paramètres!$A$1:$I$89,3,0)*VLOOKUP('Données projet'!$B$13,Paramètres!$A$1:$I$89,5,0)</f>
        <v>-1.2710188457276673E-13</v>
      </c>
      <c r="CV117" s="13" t="e">
        <f t="shared" si="95"/>
        <v>#NUM!</v>
      </c>
      <c r="CW117" s="20" t="e">
        <f t="shared" si="67"/>
        <v>#NUM!</v>
      </c>
      <c r="CX117" s="57" t="e">
        <f t="shared" si="68"/>
        <v>#NUM!</v>
      </c>
      <c r="CY117" s="57">
        <f ca="1">AVERAGE(OFFSET($CX$3,0,0,'Données projet'!$E$13+1,1))-AVERAGE(OFFSET($H$3,0,0,'Données projet'!$E$13+1,1))</f>
        <v>459.83870442974046</v>
      </c>
      <c r="CZ117" s="57">
        <f t="shared" si="96"/>
        <v>565.68976940602215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88.815821730763702</v>
      </c>
      <c r="DG117" s="21">
        <f>EXP(-LN(2)/25)*DG116+(1-EXP(-LN(2)/25))/(LN(2)/25)*Calculateur!DB117*Calculateur!DD117*VLOOKUP('Données projet'!$B$13,Paramètres!$A$1:$I$89,3,0)*0.475*44/12</f>
        <v>14.415360202121985</v>
      </c>
      <c r="DH117" s="21">
        <f>EXP(-LN(2)/2)*DH116+(1-EXP(-LN(2)/2))/(LN(2)/2)*DB117*DE117*VLOOKUP('Données projet'!$B$13,Paramètres!$A$1:$I$89,3,0)*0.475*44/12</f>
        <v>4.1962303515754113E-7</v>
      </c>
      <c r="DI117" s="22">
        <f t="shared" si="69"/>
        <v>103.23118235250872</v>
      </c>
      <c r="DJ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7" t="e">
        <f t="shared" si="71"/>
        <v>#NUM!</v>
      </c>
      <c r="DT117" s="57">
        <f ca="1">AVERAGE(OFFSET($DS$3,0,0,'Données projet'!$E$14+1,1))-AVERAGE(OFFSET($H$3,0,0,'Données projet'!$E$14+1,1))</f>
        <v>315.23504986325418</v>
      </c>
      <c r="DU117" s="57">
        <f t="shared" si="98"/>
        <v>350.52837099886688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48.263794952037173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48.263794952037173</v>
      </c>
      <c r="EE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>
        <f>VLOOKUP(A117,'Données projet'!$A$191:$I$211,2,0)</f>
        <v>180</v>
      </c>
      <c r="EH117" s="12">
        <f>VLOOKUP(A117,'Données projet'!$A$191:$I$211,9,0)</f>
        <v>3.6666666666666665</v>
      </c>
      <c r="EI117" s="12">
        <f t="array" ref="EI117">INDEX(EH:EH,MIN(IF(ISNUMBER(EH117:EH313),ROW(EH117:EH313),"")))</f>
        <v>3.6666666666666665</v>
      </c>
      <c r="EJ117" s="12">
        <f>IF('Données projet'!$A$192&gt;35,EJ116+EI117-ER116,IF(A117&lt;'Données projet'!$A$192,$EG$205^A117,IF(A117='Données projet'!$A$192,'Données projet'!$B$192,EJ116+EI117-ER116)))</f>
        <v>179.99999999999991</v>
      </c>
      <c r="EK117" s="17">
        <f>EJ117*VLOOKUP('Données projet'!$B$15,Paramètres!$A$1:$I$89,3,0)*VLOOKUP('Données projet'!$B$15,Paramètres!$A$1:$I$89,5,0)</f>
        <v>174.09599999999992</v>
      </c>
      <c r="EL117" s="13">
        <f t="shared" si="99"/>
        <v>44.006116314261405</v>
      </c>
      <c r="EM117" s="20">
        <f t="shared" si="73"/>
        <v>379.86118591400509</v>
      </c>
      <c r="EN117" s="57">
        <f t="shared" si="74"/>
        <v>660.72660094871048</v>
      </c>
      <c r="EO117" s="57">
        <f ca="1">AVERAGE(OFFSET($EN$3,0,0,'Données projet'!$E$15+1,1))-AVERAGE(OFFSET($H$3,0,0,'Données projet'!$E$15+1,1))</f>
        <v>328.31200866623891</v>
      </c>
      <c r="EP117" s="57">
        <f t="shared" si="100"/>
        <v>195.52650232917446</v>
      </c>
      <c r="EQ117" s="15">
        <f>IF(ISNA(VLOOKUP(A117,'Données projet'!$A$191:$I$211,3,0)),0,VLOOKUP(A117,'Données projet'!$A$191:$I$211,3,0))</f>
        <v>9</v>
      </c>
      <c r="ER117" s="15">
        <f>IF(ISNA(VLOOKUP(A117,'Données projet'!$A$191:$I$211,4,0)),0,VLOOKUP(A117,'Données projet'!$A$191:$I$211,4,0))</f>
        <v>29.6</v>
      </c>
      <c r="ES117" s="16">
        <f>IF(ISNA(VLOOKUP(A117,'Données projet'!$A$191:$I$211,5,0)),0%,VLOOKUP(A117,'Données projet'!$A$191:$I$211,5,0)*VLOOKUP('Données projet'!$B$15,Paramètres!$A$1:$I$89,7,0))</f>
        <v>0.38700000000000001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39.411076038078441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39.411076038078441</v>
      </c>
      <c r="EZ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7" t="e">
        <f t="shared" si="77"/>
        <v>#NUM!</v>
      </c>
      <c r="FJ117" s="57">
        <f ca="1">AVERAGE(OFFSET($FI$3,0,0,'Données projet'!$E$16+1,1))-AVERAGE(OFFSET($H$3,0,0,'Données projet'!$E$16+1,1))</f>
        <v>142.88219003619457</v>
      </c>
      <c r="FK117" s="57">
        <f t="shared" si="102"/>
        <v>288.69704547625088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9.3018174581508628</v>
      </c>
      <c r="FR117" s="21">
        <f>EXP(-LN(2)/25)*FR116+(1-EXP(-LN(2)/25))/(LN(2)/25)*Calculateur!FM117*Calculateur!FO117*VLOOKUP('Données projet'!$B$16,Paramètres!$A$1:$I$89,3,0)*0.475*44/12</f>
        <v>1.2095703787937393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10.511387836944602</v>
      </c>
      <c r="FU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7" t="e">
        <f t="shared" si="80"/>
        <v>#N/A</v>
      </c>
      <c r="GE117" s="57" t="e">
        <f ca="1">AVERAGE(OFFSET($GD$3,0,0,'Données projet'!$E$17+1,1))-AVERAGE(OFFSET($H$3,0,0,'Données projet'!$E$17+1,1))</f>
        <v>#N/A</v>
      </c>
      <c r="GF117" s="57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7" t="e">
        <f t="shared" si="83"/>
        <v>#N/A</v>
      </c>
      <c r="GZ117" s="57" t="e">
        <f ca="1">AVERAGE(OFFSET($GY$3,0,0,'Données projet'!$E$18+1,1))-AVERAGE(OFFSET($H$3,0,0,'Données projet'!$E$18+1,1))</f>
        <v>#N/A</v>
      </c>
      <c r="HA117" s="57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1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5">
        <f t="shared" si="56"/>
        <v>183.33333333333334</v>
      </c>
      <c r="I118" s="6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356</v>
      </c>
      <c r="L118" s="12">
        <f>VLOOKUP(A118,'Données projet'!$A$35:$I$55,9,0)</f>
        <v>4.9000000000000004</v>
      </c>
      <c r="M118" s="12">
        <f t="array" ref="M118">INDEX(L:L,MIN(IF(ISNUMBER(L118:L314),ROW(L118:L314),"")))</f>
        <v>4.9000000000000004</v>
      </c>
      <c r="N118" s="13">
        <f>IF('Données projet'!$A$36&gt;35,N117+M118-V117,IF(A118&lt;'Données projet'!$A$36,$K$205^A118,IF(A118='Données projet'!$A$36,'Données projet'!$B$36,N117+M118-V117)))</f>
        <v>355.99999999999994</v>
      </c>
      <c r="O118" s="13">
        <f>N118*VLOOKUP('Données projet'!$B$9,Paramètres!$A$1:$I$89,3,0)*VLOOKUP('Données projet'!$B$9,Paramètres!$A$1:$I$89,5,0)</f>
        <v>322.10879999999997</v>
      </c>
      <c r="P118" s="13">
        <f t="shared" si="87"/>
        <v>75.791962638025268</v>
      </c>
      <c r="Q118" s="20">
        <f t="shared" si="107"/>
        <v>693.01049492789389</v>
      </c>
      <c r="R118" s="57">
        <f t="shared" si="55"/>
        <v>974.0922004709912</v>
      </c>
      <c r="S118" s="57">
        <f ca="1">AVERAGE(OFFSET($R$3,0,0,'Données projet'!$E$9+1,1))-AVERAGE(OFFSET($H$3,0,0,'Données projet'!$E$9+1,1))</f>
        <v>539.63700256763173</v>
      </c>
      <c r="T118" s="57">
        <f t="shared" si="88"/>
        <v>297.32483725004136</v>
      </c>
      <c r="U118" s="15">
        <f>IF(ISNA(VLOOKUP(A118,'Données projet'!$A$35:$I$55,3,0)),0,VLOOKUP(A118,'Données projet'!$A$35:$I$55,3,0))</f>
        <v>16</v>
      </c>
      <c r="V118" s="15">
        <f>IF(ISNA(VLOOKUP(A118,'Données projet'!$A$35:$I$55,4,0)),0,VLOOKUP(A118,'Données projet'!$A$35:$I$55,4,0))</f>
        <v>49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356</v>
      </c>
      <c r="AG118" s="12">
        <f>VLOOKUP(A118,'Données projet'!$A$61:$I$81,9,0)</f>
        <v>4.9000000000000004</v>
      </c>
      <c r="AH118" s="12">
        <f t="array" ref="AH118">INDEX(AG:AG,MIN(IF(ISNUMBER(AG118:AG314),ROW(AG118:AG314),"")))</f>
        <v>4.9000000000000004</v>
      </c>
      <c r="AI118" s="13">
        <f>IF('Données projet'!$A$62&gt;35,AI117+AH118-AQ117,IF(A118&lt;'Données projet'!$A$62,$AF$205^A118,IF(A118='Données projet'!$A$62,'Données projet'!$B$62,AI117+AH118-AQ117)))</f>
        <v>355.99999999999994</v>
      </c>
      <c r="AJ118" s="13">
        <f>AI118*VLOOKUP('Données projet'!$B$10,Paramètres!$A$1:$I$89,3,0)*VLOOKUP('Données projet'!$B$10,Paramètres!$A$1:$I$89,5,0)</f>
        <v>299.89439999999996</v>
      </c>
      <c r="AK118" s="13">
        <f t="shared" si="89"/>
        <v>71.154325205964</v>
      </c>
      <c r="AL118" s="20">
        <f t="shared" si="58"/>
        <v>646.24319640038709</v>
      </c>
      <c r="AM118" s="57">
        <f t="shared" si="59"/>
        <v>927.32490194348429</v>
      </c>
      <c r="AN118" s="57">
        <f ca="1">AVERAGE(OFFSET($AM$3,0,0,'Données projet'!$E$10+1,1))-AVERAGE(OFFSET($H$3,0,0,'Données projet'!$E$10+1,1))</f>
        <v>508.21188526136734</v>
      </c>
      <c r="AO118" s="57">
        <f t="shared" si="90"/>
        <v>281.06176764290592</v>
      </c>
      <c r="AP118" s="15">
        <f>IF(ISNA(VLOOKUP(A118,'Données projet'!$A$61:$I$81,3,0)),0,VLOOKUP(A118,'Données projet'!$A$61:$I$81,3,0))</f>
        <v>16</v>
      </c>
      <c r="AQ118" s="15">
        <f>IF(ISNA(VLOOKUP(A118,'Données projet'!$A$61:$I$81,4,0)),0,VLOOKUP(A118,'Données projet'!$A$61:$I$81,4,0))</f>
        <v>49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-1.064108801074326E-13</v>
      </c>
      <c r="BF118" s="13" t="e">
        <f t="shared" si="91"/>
        <v>#NUM!</v>
      </c>
      <c r="BG118" s="20" t="e">
        <f t="shared" si="61"/>
        <v>#NUM!</v>
      </c>
      <c r="BH118" s="57" t="e">
        <f t="shared" si="62"/>
        <v>#NUM!</v>
      </c>
      <c r="BI118" s="57">
        <f ca="1">AVERAGE(OFFSET($BH$3,0,0,'Données projet'!$E$11+1,1))-AVERAGE(OFFSET($H$3,0,0,'Données projet'!$E$11+1,1))</f>
        <v>449.50723280509311</v>
      </c>
      <c r="BJ118" s="57">
        <f t="shared" si="92"/>
        <v>281.26353650058275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173.16714677876351</v>
      </c>
      <c r="BQ118" s="21">
        <f>EXP(-LN(2)/25)*BQ117+(1-EXP(-LN(2)/25))/(LN(2)/25)*Calculateur!BL118*Calculateur!BN118*VLOOKUP('Données projet'!$B$11,Paramètres!$A$1:$I$89,3,0)*0.475*44/12</f>
        <v>34.720194178326821</v>
      </c>
      <c r="BR118" s="21">
        <f>EXP(-LN(2)/2)*BR117+(1-EXP(-LN(2)/2))/(LN(2)/2)*BL118*BO118*VLOOKUP('Données projet'!$B$11,Paramètres!$A$1:$I$89,3,0)*0.475*44/12</f>
        <v>0.23381173236838221</v>
      </c>
      <c r="BS118" s="22">
        <f t="shared" si="63"/>
        <v>208.12115268945871</v>
      </c>
      <c r="BT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3.7</v>
      </c>
      <c r="BY118" s="12">
        <f>IF('Données projet'!$A$114&gt;35,BY117+BX118-CG117,IF(A118&lt;'Données projet'!$A$114,$BV$205^A118,IF(A118='Données projet'!$A$114,'Données projet'!$B$114,BY117+BX118-CG117)))</f>
        <v>284.49999999999932</v>
      </c>
      <c r="BZ118" s="13">
        <f>BY118*VLOOKUP('Données projet'!$B$12,Paramètres!$A$1:$I$89,3,0)*VLOOKUP('Données projet'!$B$12,Paramètres!$A$1:$I$89,5,0)</f>
        <v>270.73019999999934</v>
      </c>
      <c r="CA118" s="13">
        <f t="shared" si="93"/>
        <v>65.004211789784335</v>
      </c>
      <c r="CB118" s="20">
        <f t="shared" si="64"/>
        <v>584.73743386720651</v>
      </c>
      <c r="CC118" s="57">
        <f t="shared" si="65"/>
        <v>865.81913941030371</v>
      </c>
      <c r="CD118" s="57">
        <f ca="1">AVERAGE(OFFSET($CC$3,0,0,'Données projet'!$E$12+1,1))-AVERAGE(OFFSET($H$3,0,0,'Données projet'!$E$12+1,1))</f>
        <v>479.4551766174892</v>
      </c>
      <c r="CE118" s="57">
        <f t="shared" si="94"/>
        <v>260.29028006191834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-2.2737367544323206E-13</v>
      </c>
      <c r="CU118" s="17">
        <f>CT118*VLOOKUP('Données projet'!$B$13,Paramètres!$A$1:$I$89,3,0)*VLOOKUP('Données projet'!$B$13,Paramètres!$A$1:$I$89,5,0)</f>
        <v>-1.2710188457276673E-13</v>
      </c>
      <c r="CV118" s="13" t="e">
        <f t="shared" si="95"/>
        <v>#NUM!</v>
      </c>
      <c r="CW118" s="20" t="e">
        <f t="shared" si="67"/>
        <v>#NUM!</v>
      </c>
      <c r="CX118" s="57" t="e">
        <f t="shared" si="68"/>
        <v>#NUM!</v>
      </c>
      <c r="CY118" s="57">
        <f ca="1">AVERAGE(OFFSET($CX$3,0,0,'Données projet'!$E$13+1,1))-AVERAGE(OFFSET($H$3,0,0,'Données projet'!$E$13+1,1))</f>
        <v>459.83870442974046</v>
      </c>
      <c r="CZ118" s="57">
        <f t="shared" si="96"/>
        <v>565.68976940602215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87.074197638925611</v>
      </c>
      <c r="DG118" s="21">
        <f>EXP(-LN(2)/25)*DG117+(1-EXP(-LN(2)/25))/(LN(2)/25)*Calculateur!DB118*Calculateur!DD118*VLOOKUP('Données projet'!$B$13,Paramètres!$A$1:$I$89,3,0)*0.475*44/12</f>
        <v>14.021171419324112</v>
      </c>
      <c r="DH118" s="21">
        <f>EXP(-LN(2)/2)*DH117+(1-EXP(-LN(2)/2))/(LN(2)/2)*DB118*DE118*VLOOKUP('Données projet'!$B$13,Paramètres!$A$1:$I$89,3,0)*0.475*44/12</f>
        <v>2.9671829370197837E-7</v>
      </c>
      <c r="DI118" s="22">
        <f t="shared" si="69"/>
        <v>101.09536935496803</v>
      </c>
      <c r="DJ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7" t="e">
        <f t="shared" si="71"/>
        <v>#NUM!</v>
      </c>
      <c r="DT118" s="57">
        <f ca="1">AVERAGE(OFFSET($DS$3,0,0,'Données projet'!$E$14+1,1))-AVERAGE(OFFSET($H$3,0,0,'Données projet'!$E$14+1,1))</f>
        <v>315.23504986325418</v>
      </c>
      <c r="DU118" s="57">
        <f t="shared" si="98"/>
        <v>350.52837099886688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47.317371371035883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47.317371371035883</v>
      </c>
      <c r="EE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3.6666666666666665</v>
      </c>
      <c r="EJ118" s="12">
        <f>IF('Données projet'!$A$192&gt;35,EJ117+EI118-ER117,IF(A118&lt;'Données projet'!$A$192,$EG$205^A118,IF(A118='Données projet'!$A$192,'Données projet'!$B$192,EJ117+EI118-ER117)))</f>
        <v>154.06666666666658</v>
      </c>
      <c r="EK118" s="17">
        <f>EJ118*VLOOKUP('Données projet'!$B$15,Paramètres!$A$1:$I$89,3,0)*VLOOKUP('Données projet'!$B$15,Paramètres!$A$1:$I$89,5,0)</f>
        <v>149.01327999999992</v>
      </c>
      <c r="EL118" s="13">
        <f t="shared" si="99"/>
        <v>38.354263901227029</v>
      </c>
      <c r="EM118" s="20">
        <f t="shared" si="73"/>
        <v>326.33180562797025</v>
      </c>
      <c r="EN118" s="57">
        <f t="shared" si="74"/>
        <v>607.41351117106751</v>
      </c>
      <c r="EO118" s="57">
        <f ca="1">AVERAGE(OFFSET($EN$3,0,0,'Données projet'!$E$15+1,1))-AVERAGE(OFFSET($H$3,0,0,'Données projet'!$E$15+1,1))</f>
        <v>328.31200866623891</v>
      </c>
      <c r="EP118" s="57">
        <f t="shared" si="100"/>
        <v>195.52650232917446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38.638248875354513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38.638248875354513</v>
      </c>
      <c r="EZ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7" t="e">
        <f t="shared" si="77"/>
        <v>#NUM!</v>
      </c>
      <c r="FJ118" s="57">
        <f ca="1">AVERAGE(OFFSET($FI$3,0,0,'Données projet'!$E$16+1,1))-AVERAGE(OFFSET($H$3,0,0,'Données projet'!$E$16+1,1))</f>
        <v>142.88219003619457</v>
      </c>
      <c r="FK118" s="57">
        <f t="shared" si="102"/>
        <v>288.69704547625088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9.1194144913449566</v>
      </c>
      <c r="FR118" s="21">
        <f>EXP(-LN(2)/25)*FR117+(1-EXP(-LN(2)/25))/(LN(2)/25)*Calculateur!FM118*Calculateur!FO118*VLOOKUP('Données projet'!$B$16,Paramètres!$A$1:$I$89,3,0)*0.475*44/12</f>
        <v>1.1764946131770828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10.295909104522039</v>
      </c>
      <c r="FU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7" t="e">
        <f t="shared" si="80"/>
        <v>#N/A</v>
      </c>
      <c r="GE118" s="57" t="e">
        <f ca="1">AVERAGE(OFFSET($GD$3,0,0,'Données projet'!$E$17+1,1))-AVERAGE(OFFSET($H$3,0,0,'Données projet'!$E$17+1,1))</f>
        <v>#N/A</v>
      </c>
      <c r="GF118" s="57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7" t="e">
        <f t="shared" si="83"/>
        <v>#N/A</v>
      </c>
      <c r="GZ118" s="57" t="e">
        <f ca="1">AVERAGE(OFFSET($GY$3,0,0,'Données projet'!$E$18+1,1))-AVERAGE(OFFSET($H$3,0,0,'Données projet'!$E$18+1,1))</f>
        <v>#N/A</v>
      </c>
      <c r="HA118" s="57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1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5">
        <f t="shared" si="56"/>
        <v>183.33333333333334</v>
      </c>
      <c r="I119" s="6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4.2</v>
      </c>
      <c r="N119" s="13">
        <f>IF('Données projet'!$A$36&gt;35,N118+M119-V118,IF(A119&lt;'Données projet'!$A$36,$K$205^A119,IF(A119='Données projet'!$A$36,'Données projet'!$B$36,N118+M119-V118)))</f>
        <v>311.19999999999993</v>
      </c>
      <c r="O119" s="13">
        <f>N119*VLOOKUP('Données projet'!$B$9,Paramètres!$A$1:$I$89,3,0)*VLOOKUP('Données projet'!$B$9,Paramètres!$A$1:$I$89,5,0)</f>
        <v>281.57375999999994</v>
      </c>
      <c r="P119" s="13">
        <f t="shared" si="87"/>
        <v>67.299481043334993</v>
      </c>
      <c r="Q119" s="20">
        <f t="shared" si="107"/>
        <v>607.62089481714168</v>
      </c>
      <c r="R119" s="57">
        <f t="shared" si="55"/>
        <v>888.91513871186316</v>
      </c>
      <c r="S119" s="57">
        <f ca="1">AVERAGE(OFFSET($R$3,0,0,'Données projet'!$E$9+1,1))-AVERAGE(OFFSET($H$3,0,0,'Données projet'!$E$9+1,1))</f>
        <v>539.63700256763173</v>
      </c>
      <c r="T119" s="57">
        <f t="shared" si="88"/>
        <v>297.32483725004136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4.2</v>
      </c>
      <c r="AI119" s="13">
        <f>IF('Données projet'!$A$62&gt;35,AI118+AH119-AQ118,IF(A119&lt;'Données projet'!$A$62,$AF$205^A119,IF(A119='Données projet'!$A$62,'Données projet'!$B$62,AI118+AH119-AQ118)))</f>
        <v>311.19999999999993</v>
      </c>
      <c r="AJ119" s="13">
        <f>AI119*VLOOKUP('Données projet'!$B$10,Paramètres!$A$1:$I$89,3,0)*VLOOKUP('Données projet'!$B$10,Paramètres!$A$1:$I$89,5,0)</f>
        <v>262.15487999999999</v>
      </c>
      <c r="AK119" s="13">
        <f t="shared" si="89"/>
        <v>63.18149040710518</v>
      </c>
      <c r="AL119" s="20">
        <f t="shared" si="58"/>
        <v>566.62751179237478</v>
      </c>
      <c r="AM119" s="57">
        <f t="shared" si="59"/>
        <v>847.92175568709627</v>
      </c>
      <c r="AN119" s="57">
        <f ca="1">AVERAGE(OFFSET($AM$3,0,0,'Données projet'!$E$10+1,1))-AVERAGE(OFFSET($H$3,0,0,'Données projet'!$E$10+1,1))</f>
        <v>508.21188526136734</v>
      </c>
      <c r="AO119" s="57">
        <f t="shared" si="90"/>
        <v>281.06176764290592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-1.064108801074326E-13</v>
      </c>
      <c r="BF119" s="13" t="e">
        <f t="shared" si="91"/>
        <v>#NUM!</v>
      </c>
      <c r="BG119" s="20" t="e">
        <f t="shared" si="61"/>
        <v>#NUM!</v>
      </c>
      <c r="BH119" s="57" t="e">
        <f t="shared" si="62"/>
        <v>#NUM!</v>
      </c>
      <c r="BI119" s="57">
        <f ca="1">AVERAGE(OFFSET($BH$3,0,0,'Données projet'!$E$11+1,1))-AVERAGE(OFFSET($H$3,0,0,'Données projet'!$E$11+1,1))</f>
        <v>449.50723280509311</v>
      </c>
      <c r="BJ119" s="57">
        <f t="shared" si="92"/>
        <v>281.26353650058275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169.77144465196224</v>
      </c>
      <c r="BQ119" s="21">
        <f>EXP(-LN(2)/25)*BQ118+(1-EXP(-LN(2)/25))/(LN(2)/25)*Calculateur!BL119*Calculateur!BN119*VLOOKUP('Données projet'!$B$11,Paramètres!$A$1:$I$89,3,0)*0.475*44/12</f>
        <v>33.770768642664819</v>
      </c>
      <c r="BR119" s="21">
        <f>EXP(-LN(2)/2)*BR118+(1-EXP(-LN(2)/2))/(LN(2)/2)*BL119*BO119*VLOOKUP('Données projet'!$B$11,Paramètres!$A$1:$I$89,3,0)*0.475*44/12</f>
        <v>0.16532986147865725</v>
      </c>
      <c r="BS119" s="22">
        <f t="shared" si="63"/>
        <v>203.70754315610571</v>
      </c>
      <c r="BT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3.7</v>
      </c>
      <c r="BY119" s="12">
        <f>IF('Données projet'!$A$114&gt;35,BY118+BX119-CG118,IF(A119&lt;'Données projet'!$A$114,$BV$205^A119,IF(A119='Données projet'!$A$114,'Données projet'!$B$114,BY118+BX119-CG118)))</f>
        <v>288.19999999999931</v>
      </c>
      <c r="BZ119" s="13">
        <f>BY119*VLOOKUP('Données projet'!$B$12,Paramètres!$A$1:$I$89,3,0)*VLOOKUP('Données projet'!$B$12,Paramètres!$A$1:$I$89,5,0)</f>
        <v>274.25111999999933</v>
      </c>
      <c r="CA119" s="13">
        <f t="shared" si="93"/>
        <v>65.750642318280384</v>
      </c>
      <c r="CB119" s="20">
        <f t="shared" si="64"/>
        <v>592.16973603767042</v>
      </c>
      <c r="CC119" s="57">
        <f t="shared" si="65"/>
        <v>873.46397993239191</v>
      </c>
      <c r="CD119" s="57">
        <f ca="1">AVERAGE(OFFSET($CC$3,0,0,'Données projet'!$E$12+1,1))-AVERAGE(OFFSET($H$3,0,0,'Données projet'!$E$12+1,1))</f>
        <v>479.4551766174892</v>
      </c>
      <c r="CE119" s="57">
        <f t="shared" si="94"/>
        <v>260.29028006191834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-2.2737367544323206E-13</v>
      </c>
      <c r="CU119" s="17">
        <f>CT119*VLOOKUP('Données projet'!$B$13,Paramètres!$A$1:$I$89,3,0)*VLOOKUP('Données projet'!$B$13,Paramètres!$A$1:$I$89,5,0)</f>
        <v>-1.2710188457276673E-13</v>
      </c>
      <c r="CV119" s="13" t="e">
        <f t="shared" si="95"/>
        <v>#NUM!</v>
      </c>
      <c r="CW119" s="20" t="e">
        <f t="shared" si="67"/>
        <v>#NUM!</v>
      </c>
      <c r="CX119" s="57" t="e">
        <f t="shared" si="68"/>
        <v>#NUM!</v>
      </c>
      <c r="CY119" s="57">
        <f ca="1">AVERAGE(OFFSET($CX$3,0,0,'Données projet'!$E$13+1,1))-AVERAGE(OFFSET($H$3,0,0,'Données projet'!$E$13+1,1))</f>
        <v>459.83870442974046</v>
      </c>
      <c r="CZ119" s="57">
        <f t="shared" si="96"/>
        <v>565.68976940602215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85.36672573324266</v>
      </c>
      <c r="DG119" s="21">
        <f>EXP(-LN(2)/25)*DG118+(1-EXP(-LN(2)/25))/(LN(2)/25)*Calculateur!DB119*Calculateur!DD119*VLOOKUP('Données projet'!$B$13,Paramètres!$A$1:$I$89,3,0)*0.475*44/12</f>
        <v>13.637761749521335</v>
      </c>
      <c r="DH119" s="21">
        <f>EXP(-LN(2)/2)*DH118+(1-EXP(-LN(2)/2))/(LN(2)/2)*DB119*DE119*VLOOKUP('Données projet'!$B$13,Paramètres!$A$1:$I$89,3,0)*0.475*44/12</f>
        <v>2.0981151757877057E-7</v>
      </c>
      <c r="DI119" s="22">
        <f t="shared" si="69"/>
        <v>99.004487692575509</v>
      </c>
      <c r="DJ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7" t="e">
        <f t="shared" si="71"/>
        <v>#NUM!</v>
      </c>
      <c r="DT119" s="57">
        <f ca="1">AVERAGE(OFFSET($DS$3,0,0,'Données projet'!$E$14+1,1))-AVERAGE(OFFSET($H$3,0,0,'Données projet'!$E$14+1,1))</f>
        <v>315.23504986325418</v>
      </c>
      <c r="DU119" s="57">
        <f t="shared" si="98"/>
        <v>350.52837099886688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46.389506579196642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46.389506579196642</v>
      </c>
      <c r="EE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3.6666666666666665</v>
      </c>
      <c r="EJ119" s="12">
        <f>IF('Données projet'!$A$192&gt;35,EJ118+EI119-ER118,IF(A119&lt;'Données projet'!$A$192,$EG$205^A119,IF(A119='Données projet'!$A$192,'Données projet'!$B$192,EJ118+EI119-ER118)))</f>
        <v>157.73333333333323</v>
      </c>
      <c r="EK119" s="17">
        <f>EJ119*VLOOKUP('Données projet'!$B$15,Paramètres!$A$1:$I$89,3,0)*VLOOKUP('Données projet'!$B$15,Paramètres!$A$1:$I$89,5,0)</f>
        <v>152.5596799999999</v>
      </c>
      <c r="EL119" s="13">
        <f t="shared" si="99"/>
        <v>39.159708006554617</v>
      </c>
      <c r="EM119" s="20">
        <f t="shared" si="73"/>
        <v>333.91126744474906</v>
      </c>
      <c r="EN119" s="57">
        <f t="shared" si="74"/>
        <v>615.2055113394706</v>
      </c>
      <c r="EO119" s="57">
        <f ca="1">AVERAGE(OFFSET($EN$3,0,0,'Données projet'!$E$15+1,1))-AVERAGE(OFFSET($H$3,0,0,'Données projet'!$E$15+1,1))</f>
        <v>328.31200866623891</v>
      </c>
      <c r="EP119" s="57">
        <f t="shared" si="100"/>
        <v>195.52650232917446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37.880576381913578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37.880576381913578</v>
      </c>
      <c r="EZ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7" t="e">
        <f t="shared" si="77"/>
        <v>#NUM!</v>
      </c>
      <c r="FJ119" s="57">
        <f ca="1">AVERAGE(OFFSET($FI$3,0,0,'Données projet'!$E$16+1,1))-AVERAGE(OFFSET($H$3,0,0,'Données projet'!$E$16+1,1))</f>
        <v>142.88219003619457</v>
      </c>
      <c r="FK119" s="57">
        <f t="shared" si="102"/>
        <v>288.69704547625088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8.9405883354632909</v>
      </c>
      <c r="FR119" s="21">
        <f>EXP(-LN(2)/25)*FR118+(1-EXP(-LN(2)/25))/(LN(2)/25)*Calculateur!FM119*Calculateur!FO119*VLOOKUP('Données projet'!$B$16,Paramètres!$A$1:$I$89,3,0)*0.475*44/12</f>
        <v>1.1443233061105926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10.084911641573884</v>
      </c>
      <c r="FU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7" t="e">
        <f t="shared" si="80"/>
        <v>#N/A</v>
      </c>
      <c r="GE119" s="57" t="e">
        <f ca="1">AVERAGE(OFFSET($GD$3,0,0,'Données projet'!$E$17+1,1))-AVERAGE(OFFSET($H$3,0,0,'Données projet'!$E$17+1,1))</f>
        <v>#N/A</v>
      </c>
      <c r="GF119" s="57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7" t="e">
        <f t="shared" si="83"/>
        <v>#N/A</v>
      </c>
      <c r="GZ119" s="57" t="e">
        <f ca="1">AVERAGE(OFFSET($GY$3,0,0,'Données projet'!$E$18+1,1))-AVERAGE(OFFSET($H$3,0,0,'Données projet'!$E$18+1,1))</f>
        <v>#N/A</v>
      </c>
      <c r="HA119" s="57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1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5">
        <f t="shared" si="56"/>
        <v>183.33333333333334</v>
      </c>
      <c r="I120" s="6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4.2</v>
      </c>
      <c r="N120" s="13">
        <f>IF('Données projet'!$A$36&gt;35,N119+M120-V119,IF(A120&lt;'Données projet'!$A$36,$K$205^A120,IF(A120='Données projet'!$A$36,'Données projet'!$B$36,N119+M120-V119)))</f>
        <v>315.39999999999992</v>
      </c>
      <c r="O120" s="13">
        <f>N120*VLOOKUP('Données projet'!$B$9,Paramètres!$A$1:$I$89,3,0)*VLOOKUP('Données projet'!$B$9,Paramètres!$A$1:$I$89,5,0)</f>
        <v>285.37391999999988</v>
      </c>
      <c r="P120" s="13">
        <f t="shared" si="87"/>
        <v>68.101413083167643</v>
      </c>
      <c r="Q120" s="20">
        <f t="shared" si="107"/>
        <v>615.63620511985016</v>
      </c>
      <c r="R120" s="57">
        <f t="shared" si="55"/>
        <v>897.1393003009598</v>
      </c>
      <c r="S120" s="57">
        <f ca="1">AVERAGE(OFFSET($R$3,0,0,'Données projet'!$E$9+1,1))-AVERAGE(OFFSET($H$3,0,0,'Données projet'!$E$9+1,1))</f>
        <v>539.63700256763173</v>
      </c>
      <c r="T120" s="57">
        <f t="shared" si="88"/>
        <v>297.32483725004136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4.2</v>
      </c>
      <c r="AI120" s="13">
        <f>IF('Données projet'!$A$62&gt;35,AI119+AH120-AQ119,IF(A120&lt;'Données projet'!$A$62,$AF$205^A120,IF(A120='Données projet'!$A$62,'Données projet'!$B$62,AI119+AH120-AQ119)))</f>
        <v>315.39999999999992</v>
      </c>
      <c r="AJ120" s="13">
        <f>AI120*VLOOKUP('Données projet'!$B$10,Paramètres!$A$1:$I$89,3,0)*VLOOKUP('Données projet'!$B$10,Paramètres!$A$1:$I$89,5,0)</f>
        <v>265.69295999999997</v>
      </c>
      <c r="AK120" s="13">
        <f t="shared" si="89"/>
        <v>63.934352995290837</v>
      </c>
      <c r="AL120" s="20">
        <f t="shared" si="58"/>
        <v>574.10090346679817</v>
      </c>
      <c r="AM120" s="57">
        <f t="shared" si="59"/>
        <v>855.60399864790782</v>
      </c>
      <c r="AN120" s="57">
        <f ca="1">AVERAGE(OFFSET($AM$3,0,0,'Données projet'!$E$10+1,1))-AVERAGE(OFFSET($H$3,0,0,'Données projet'!$E$10+1,1))</f>
        <v>508.21188526136734</v>
      </c>
      <c r="AO120" s="57">
        <f t="shared" si="90"/>
        <v>281.06176764290592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-1.064108801074326E-13</v>
      </c>
      <c r="BF120" s="13" t="e">
        <f t="shared" si="91"/>
        <v>#NUM!</v>
      </c>
      <c r="BG120" s="20" t="e">
        <f t="shared" si="61"/>
        <v>#NUM!</v>
      </c>
      <c r="BH120" s="57" t="e">
        <f t="shared" si="62"/>
        <v>#NUM!</v>
      </c>
      <c r="BI120" s="57">
        <f ca="1">AVERAGE(OFFSET($BH$3,0,0,'Données projet'!$E$11+1,1))-AVERAGE(OFFSET($H$3,0,0,'Données projet'!$E$11+1,1))</f>
        <v>449.50723280509311</v>
      </c>
      <c r="BJ120" s="57">
        <f t="shared" si="92"/>
        <v>281.26353650058275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166.44233017269374</v>
      </c>
      <c r="BQ120" s="21">
        <f>EXP(-LN(2)/25)*BQ119+(1-EXP(-LN(2)/25))/(LN(2)/25)*Calculateur!BL120*Calculateur!BN120*VLOOKUP('Données projet'!$B$11,Paramètres!$A$1:$I$89,3,0)*0.475*44/12</f>
        <v>32.847305198203614</v>
      </c>
      <c r="BR120" s="21">
        <f>EXP(-LN(2)/2)*BR119+(1-EXP(-LN(2)/2))/(LN(2)/2)*BL120*BO120*VLOOKUP('Données projet'!$B$11,Paramètres!$A$1:$I$89,3,0)*0.475*44/12</f>
        <v>0.1169058661841911</v>
      </c>
      <c r="BS120" s="22">
        <f t="shared" si="63"/>
        <v>199.40654123708157</v>
      </c>
      <c r="BT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3.7</v>
      </c>
      <c r="BY120" s="12">
        <f>IF('Données projet'!$A$114&gt;35,BY119+BX120-CG119,IF(A120&lt;'Données projet'!$A$114,$BV$205^A120,IF(A120='Données projet'!$A$114,'Données projet'!$B$114,BY119+BX120-CG119)))</f>
        <v>291.8999999999993</v>
      </c>
      <c r="BZ120" s="13">
        <f>BY120*VLOOKUP('Données projet'!$B$12,Paramètres!$A$1:$I$89,3,0)*VLOOKUP('Données projet'!$B$12,Paramètres!$A$1:$I$89,5,0)</f>
        <v>277.77203999999932</v>
      </c>
      <c r="CA120" s="13">
        <f t="shared" si="93"/>
        <v>66.495958197400256</v>
      </c>
      <c r="CB120" s="20">
        <f t="shared" si="64"/>
        <v>599.6000968604709</v>
      </c>
      <c r="CC120" s="57">
        <f t="shared" si="65"/>
        <v>881.10319204158054</v>
      </c>
      <c r="CD120" s="57">
        <f ca="1">AVERAGE(OFFSET($CC$3,0,0,'Données projet'!$E$12+1,1))-AVERAGE(OFFSET($H$3,0,0,'Données projet'!$E$12+1,1))</f>
        <v>479.4551766174892</v>
      </c>
      <c r="CE120" s="57">
        <f t="shared" si="94"/>
        <v>260.29028006191834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-2.2737367544323206E-13</v>
      </c>
      <c r="CU120" s="17">
        <f>CT120*VLOOKUP('Données projet'!$B$13,Paramètres!$A$1:$I$89,3,0)*VLOOKUP('Données projet'!$B$13,Paramètres!$A$1:$I$89,5,0)</f>
        <v>-1.2710188457276673E-13</v>
      </c>
      <c r="CV120" s="13" t="e">
        <f t="shared" si="95"/>
        <v>#NUM!</v>
      </c>
      <c r="CW120" s="20" t="e">
        <f t="shared" si="67"/>
        <v>#NUM!</v>
      </c>
      <c r="CX120" s="57" t="e">
        <f t="shared" si="68"/>
        <v>#NUM!</v>
      </c>
      <c r="CY120" s="57">
        <f ca="1">AVERAGE(OFFSET($CX$3,0,0,'Données projet'!$E$13+1,1))-AVERAGE(OFFSET($H$3,0,0,'Données projet'!$E$13+1,1))</f>
        <v>459.83870442974046</v>
      </c>
      <c r="CZ120" s="57">
        <f t="shared" si="96"/>
        <v>565.68976940602215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83.692736310175121</v>
      </c>
      <c r="DG120" s="21">
        <f>EXP(-LN(2)/25)*DG119+(1-EXP(-LN(2)/25))/(LN(2)/25)*Calculateur!DB120*Calculateur!DD120*VLOOKUP('Données projet'!$B$13,Paramètres!$A$1:$I$89,3,0)*0.475*44/12</f>
        <v>13.264836437301954</v>
      </c>
      <c r="DH120" s="21">
        <f>EXP(-LN(2)/2)*DH119+(1-EXP(-LN(2)/2))/(LN(2)/2)*DB120*DE120*VLOOKUP('Données projet'!$B$13,Paramètres!$A$1:$I$89,3,0)*0.475*44/12</f>
        <v>1.4835914685098919E-7</v>
      </c>
      <c r="DI120" s="22">
        <f t="shared" si="69"/>
        <v>96.957572895836222</v>
      </c>
      <c r="DJ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7" t="e">
        <f t="shared" si="71"/>
        <v>#NUM!</v>
      </c>
      <c r="DT120" s="57">
        <f ca="1">AVERAGE(OFFSET($DS$3,0,0,'Données projet'!$E$14+1,1))-AVERAGE(OFFSET($H$3,0,0,'Données projet'!$E$14+1,1))</f>
        <v>315.23504986325418</v>
      </c>
      <c r="DU120" s="57">
        <f t="shared" si="98"/>
        <v>350.52837099886688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45.479836649983731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45.479836649983731</v>
      </c>
      <c r="EE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3.6666666666666665</v>
      </c>
      <c r="EJ120" s="12">
        <f>IF('Données projet'!$A$192&gt;35,EJ119+EI120-ER119,IF(A120&lt;'Données projet'!$A$192,$EG$205^A120,IF(A120='Données projet'!$A$192,'Données projet'!$B$192,EJ119+EI120-ER119)))</f>
        <v>161.39999999999989</v>
      </c>
      <c r="EK120" s="17">
        <f>EJ120*VLOOKUP('Données projet'!$B$15,Paramètres!$A$1:$I$89,3,0)*VLOOKUP('Données projet'!$B$15,Paramètres!$A$1:$I$89,5,0)</f>
        <v>156.10607999999988</v>
      </c>
      <c r="EL120" s="13">
        <f t="shared" si="99"/>
        <v>39.962975453633895</v>
      </c>
      <c r="EM120" s="20">
        <f t="shared" si="73"/>
        <v>341.48693824841212</v>
      </c>
      <c r="EN120" s="57">
        <f t="shared" si="74"/>
        <v>622.99003342952176</v>
      </c>
      <c r="EO120" s="57">
        <f ca="1">AVERAGE(OFFSET($EN$3,0,0,'Données projet'!$E$15+1,1))-AVERAGE(OFFSET($H$3,0,0,'Données projet'!$E$15+1,1))</f>
        <v>328.31200866623891</v>
      </c>
      <c r="EP120" s="57">
        <f t="shared" si="100"/>
        <v>195.52650232917446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37.137761383934432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37.137761383934432</v>
      </c>
      <c r="EZ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7" t="e">
        <f t="shared" si="77"/>
        <v>#NUM!</v>
      </c>
      <c r="FJ120" s="57">
        <f ca="1">AVERAGE(OFFSET($FI$3,0,0,'Données projet'!$E$16+1,1))-AVERAGE(OFFSET($H$3,0,0,'Données projet'!$E$16+1,1))</f>
        <v>142.88219003619457</v>
      </c>
      <c r="FK120" s="57">
        <f t="shared" si="102"/>
        <v>288.69704547625088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8.7652688514252795</v>
      </c>
      <c r="FR120" s="21">
        <f>EXP(-LN(2)/25)*FR119+(1-EXP(-LN(2)/25))/(LN(2)/25)*Calculateur!FM120*Calculateur!FO120*VLOOKUP('Données projet'!$B$16,Paramètres!$A$1:$I$89,3,0)*0.475*44/12</f>
        <v>1.1130317251276511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9.878300576552931</v>
      </c>
      <c r="FU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7" t="e">
        <f t="shared" si="80"/>
        <v>#N/A</v>
      </c>
      <c r="GE120" s="57" t="e">
        <f ca="1">AVERAGE(OFFSET($GD$3,0,0,'Données projet'!$E$17+1,1))-AVERAGE(OFFSET($H$3,0,0,'Données projet'!$E$17+1,1))</f>
        <v>#N/A</v>
      </c>
      <c r="GF120" s="57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7" t="e">
        <f t="shared" si="83"/>
        <v>#N/A</v>
      </c>
      <c r="GZ120" s="57" t="e">
        <f ca="1">AVERAGE(OFFSET($GY$3,0,0,'Données projet'!$E$18+1,1))-AVERAGE(OFFSET($H$3,0,0,'Données projet'!$E$18+1,1))</f>
        <v>#N/A</v>
      </c>
      <c r="HA120" s="57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1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5">
        <f t="shared" si="56"/>
        <v>183.33333333333334</v>
      </c>
      <c r="I121" s="6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4.2</v>
      </c>
      <c r="N121" s="13">
        <f>IF('Données projet'!$A$36&gt;35,N120+M121-V120,IF(A121&lt;'Données projet'!$A$36,$K$205^A121,IF(A121='Données projet'!$A$36,'Données projet'!$B$36,N120+M121-V120)))</f>
        <v>319.59999999999991</v>
      </c>
      <c r="O121" s="13">
        <f>N121*VLOOKUP('Données projet'!$B$9,Paramètres!$A$1:$I$89,3,0)*VLOOKUP('Données projet'!$B$9,Paramètres!$A$1:$I$89,5,0)</f>
        <v>289.17407999999989</v>
      </c>
      <c r="P121" s="13">
        <f t="shared" si="87"/>
        <v>68.902103026957676</v>
      </c>
      <c r="Q121" s="20">
        <f t="shared" si="107"/>
        <v>623.64935210528438</v>
      </c>
      <c r="R121" s="57">
        <f t="shared" si="55"/>
        <v>905.35767546988473</v>
      </c>
      <c r="S121" s="57">
        <f ca="1">AVERAGE(OFFSET($R$3,0,0,'Données projet'!$E$9+1,1))-AVERAGE(OFFSET($H$3,0,0,'Données projet'!$E$9+1,1))</f>
        <v>539.63700256763173</v>
      </c>
      <c r="T121" s="57">
        <f t="shared" si="88"/>
        <v>297.32483725004136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4.2</v>
      </c>
      <c r="AI121" s="13">
        <f>IF('Données projet'!$A$62&gt;35,AI120+AH121-AQ120,IF(A121&lt;'Données projet'!$A$62,$AF$205^A121,IF(A121='Données projet'!$A$62,'Données projet'!$B$62,AI120+AH121-AQ120)))</f>
        <v>319.59999999999991</v>
      </c>
      <c r="AJ121" s="13">
        <f>AI121*VLOOKUP('Données projet'!$B$10,Paramètres!$A$1:$I$89,3,0)*VLOOKUP('Données projet'!$B$10,Paramètres!$A$1:$I$89,5,0)</f>
        <v>269.23103999999995</v>
      </c>
      <c r="AK121" s="13">
        <f t="shared" si="89"/>
        <v>64.686049490098284</v>
      </c>
      <c r="AL121" s="20">
        <f t="shared" si="58"/>
        <v>581.57226419525443</v>
      </c>
      <c r="AM121" s="57">
        <f t="shared" si="59"/>
        <v>863.28058755985489</v>
      </c>
      <c r="AN121" s="57">
        <f ca="1">AVERAGE(OFFSET($AM$3,0,0,'Données projet'!$E$10+1,1))-AVERAGE(OFFSET($H$3,0,0,'Données projet'!$E$10+1,1))</f>
        <v>508.21188526136734</v>
      </c>
      <c r="AO121" s="57">
        <f t="shared" si="90"/>
        <v>281.06176764290592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-1.064108801074326E-13</v>
      </c>
      <c r="BF121" s="13" t="e">
        <f t="shared" si="91"/>
        <v>#NUM!</v>
      </c>
      <c r="BG121" s="20" t="e">
        <f t="shared" si="61"/>
        <v>#NUM!</v>
      </c>
      <c r="BH121" s="57" t="e">
        <f t="shared" si="62"/>
        <v>#NUM!</v>
      </c>
      <c r="BI121" s="57">
        <f ca="1">AVERAGE(OFFSET($BH$3,0,0,'Données projet'!$E$11+1,1))-AVERAGE(OFFSET($H$3,0,0,'Données projet'!$E$11+1,1))</f>
        <v>449.50723280509311</v>
      </c>
      <c r="BJ121" s="57">
        <f t="shared" si="92"/>
        <v>281.26353650058275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163.17849759780438</v>
      </c>
      <c r="BQ121" s="21">
        <f>EXP(-LN(2)/25)*BQ120+(1-EXP(-LN(2)/25))/(LN(2)/25)*Calculateur!BL121*Calculateur!BN121*VLOOKUP('Données projet'!$B$11,Paramètres!$A$1:$I$89,3,0)*0.475*44/12</f>
        <v>31.94909391019403</v>
      </c>
      <c r="BR121" s="21">
        <f>EXP(-LN(2)/2)*BR120+(1-EXP(-LN(2)/2))/(LN(2)/2)*BL121*BO121*VLOOKUP('Données projet'!$B$11,Paramètres!$A$1:$I$89,3,0)*0.475*44/12</f>
        <v>8.2664930739328624E-2</v>
      </c>
      <c r="BS121" s="22">
        <f t="shared" si="63"/>
        <v>195.21025643873773</v>
      </c>
      <c r="BT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3.7</v>
      </c>
      <c r="BY121" s="12">
        <f>IF('Données projet'!$A$114&gt;35,BY120+BX121-CG120,IF(A121&lt;'Données projet'!$A$114,$BV$205^A121,IF(A121='Données projet'!$A$114,'Données projet'!$B$114,BY120+BX121-CG120)))</f>
        <v>295.59999999999928</v>
      </c>
      <c r="BZ121" s="13">
        <f>BY121*VLOOKUP('Données projet'!$B$12,Paramètres!$A$1:$I$89,3,0)*VLOOKUP('Données projet'!$B$12,Paramètres!$A$1:$I$89,5,0)</f>
        <v>281.29295999999931</v>
      </c>
      <c r="CA121" s="13">
        <f t="shared" si="93"/>
        <v>67.240175189777432</v>
      </c>
      <c r="CB121" s="20">
        <f t="shared" si="64"/>
        <v>607.02854378886116</v>
      </c>
      <c r="CC121" s="57">
        <f t="shared" si="65"/>
        <v>888.73686715346162</v>
      </c>
      <c r="CD121" s="57">
        <f ca="1">AVERAGE(OFFSET($CC$3,0,0,'Données projet'!$E$12+1,1))-AVERAGE(OFFSET($H$3,0,0,'Données projet'!$E$12+1,1))</f>
        <v>479.4551766174892</v>
      </c>
      <c r="CE121" s="57">
        <f t="shared" si="94"/>
        <v>260.29028006191834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-2.2737367544323206E-13</v>
      </c>
      <c r="CU121" s="17">
        <f>CT121*VLOOKUP('Données projet'!$B$13,Paramètres!$A$1:$I$89,3,0)*VLOOKUP('Données projet'!$B$13,Paramètres!$A$1:$I$89,5,0)</f>
        <v>-1.2710188457276673E-13</v>
      </c>
      <c r="CV121" s="13" t="e">
        <f t="shared" si="95"/>
        <v>#NUM!</v>
      </c>
      <c r="CW121" s="20" t="e">
        <f t="shared" si="67"/>
        <v>#NUM!</v>
      </c>
      <c r="CX121" s="57" t="e">
        <f t="shared" si="68"/>
        <v>#NUM!</v>
      </c>
      <c r="CY121" s="57">
        <f ca="1">AVERAGE(OFFSET($CX$3,0,0,'Données projet'!$E$13+1,1))-AVERAGE(OFFSET($H$3,0,0,'Données projet'!$E$13+1,1))</f>
        <v>459.83870442974046</v>
      </c>
      <c r="CZ121" s="57">
        <f t="shared" si="96"/>
        <v>565.68976940602215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82.051572798661212</v>
      </c>
      <c r="DG121" s="21">
        <f>EXP(-LN(2)/25)*DG120+(1-EXP(-LN(2)/25))/(LN(2)/25)*Calculateur!DB121*Calculateur!DD121*VLOOKUP('Données projet'!$B$13,Paramètres!$A$1:$I$89,3,0)*0.475*44/12</f>
        <v>12.9021087873565</v>
      </c>
      <c r="DH121" s="21">
        <f>EXP(-LN(2)/2)*DH120+(1-EXP(-LN(2)/2))/(LN(2)/2)*DB121*DE121*VLOOKUP('Données projet'!$B$13,Paramètres!$A$1:$I$89,3,0)*0.475*44/12</f>
        <v>1.0490575878938528E-7</v>
      </c>
      <c r="DI121" s="22">
        <f t="shared" si="69"/>
        <v>94.953681690923474</v>
      </c>
      <c r="DJ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7" t="e">
        <f t="shared" si="71"/>
        <v>#NUM!</v>
      </c>
      <c r="DT121" s="57">
        <f ca="1">AVERAGE(OFFSET($DS$3,0,0,'Données projet'!$E$14+1,1))-AVERAGE(OFFSET($H$3,0,0,'Données projet'!$E$14+1,1))</f>
        <v>315.23504986325418</v>
      </c>
      <c r="DU121" s="57">
        <f t="shared" si="98"/>
        <v>350.52837099886688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44.588004793238817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44.588004793238817</v>
      </c>
      <c r="EE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3.6666666666666665</v>
      </c>
      <c r="EJ121" s="12">
        <f>IF('Données projet'!$A$192&gt;35,EJ120+EI121-ER120,IF(A121&lt;'Données projet'!$A$192,$EG$205^A121,IF(A121='Données projet'!$A$192,'Données projet'!$B$192,EJ120+EI121-ER120)))</f>
        <v>165.06666666666655</v>
      </c>
      <c r="EK121" s="17">
        <f>EJ121*VLOOKUP('Données projet'!$B$15,Paramètres!$A$1:$I$89,3,0)*VLOOKUP('Données projet'!$B$15,Paramètres!$A$1:$I$89,5,0)</f>
        <v>159.65247999999988</v>
      </c>
      <c r="EL121" s="13">
        <f t="shared" si="99"/>
        <v>40.764121384067337</v>
      </c>
      <c r="EM121" s="20">
        <f t="shared" si="73"/>
        <v>349.05891407725039</v>
      </c>
      <c r="EN121" s="57">
        <f t="shared" si="74"/>
        <v>630.76723744185074</v>
      </c>
      <c r="EO121" s="57">
        <f ca="1">AVERAGE(OFFSET($EN$3,0,0,'Données projet'!$E$15+1,1))-AVERAGE(OFFSET($H$3,0,0,'Données projet'!$E$15+1,1))</f>
        <v>328.31200866623891</v>
      </c>
      <c r="EP121" s="57">
        <f t="shared" si="100"/>
        <v>195.52650232917446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36.40951253499324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36.40951253499324</v>
      </c>
      <c r="EZ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7" t="e">
        <f t="shared" si="77"/>
        <v>#NUM!</v>
      </c>
      <c r="FJ121" s="57">
        <f ca="1">AVERAGE(OFFSET($FI$3,0,0,'Données projet'!$E$16+1,1))-AVERAGE(OFFSET($H$3,0,0,'Données projet'!$E$16+1,1))</f>
        <v>142.88219003619457</v>
      </c>
      <c r="FK121" s="57">
        <f t="shared" si="102"/>
        <v>288.69704547625088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8.5933872755349263</v>
      </c>
      <c r="FR121" s="21">
        <f>EXP(-LN(2)/25)*FR120+(1-EXP(-LN(2)/25))/(LN(2)/25)*Calculateur!FM121*Calculateur!FO121*VLOOKUP('Données projet'!$B$16,Paramètres!$A$1:$I$89,3,0)*0.475*44/12</f>
        <v>1.0825958140722409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9.6759830896071666</v>
      </c>
      <c r="FU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7" t="e">
        <f t="shared" si="80"/>
        <v>#N/A</v>
      </c>
      <c r="GE121" s="57" t="e">
        <f ca="1">AVERAGE(OFFSET($GD$3,0,0,'Données projet'!$E$17+1,1))-AVERAGE(OFFSET($H$3,0,0,'Données projet'!$E$17+1,1))</f>
        <v>#N/A</v>
      </c>
      <c r="GF121" s="57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7" t="e">
        <f t="shared" si="83"/>
        <v>#N/A</v>
      </c>
      <c r="GZ121" s="57" t="e">
        <f ca="1">AVERAGE(OFFSET($GY$3,0,0,'Données projet'!$E$18+1,1))-AVERAGE(OFFSET($H$3,0,0,'Données projet'!$E$18+1,1))</f>
        <v>#N/A</v>
      </c>
      <c r="HA121" s="57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1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5">
        <f t="shared" si="56"/>
        <v>183.33333333333334</v>
      </c>
      <c r="I122" s="6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4.2</v>
      </c>
      <c r="N122" s="13">
        <f>IF('Données projet'!$A$36&gt;35,N121+M122-V121,IF(A122&lt;'Données projet'!$A$36,$K$205^A122,IF(A122='Données projet'!$A$36,'Données projet'!$B$36,N121+M122-V121)))</f>
        <v>323.7999999999999</v>
      </c>
      <c r="O122" s="13">
        <f>N122*VLOOKUP('Données projet'!$B$9,Paramètres!$A$1:$I$89,3,0)*VLOOKUP('Données projet'!$B$9,Paramètres!$A$1:$I$89,5,0)</f>
        <v>292.9742399999999</v>
      </c>
      <c r="P122" s="13">
        <f t="shared" si="87"/>
        <v>69.701569084730806</v>
      </c>
      <c r="Q122" s="20">
        <f t="shared" si="107"/>
        <v>631.66036748923932</v>
      </c>
      <c r="R122" s="57">
        <f t="shared" si="55"/>
        <v>913.57035878716852</v>
      </c>
      <c r="S122" s="57">
        <f ca="1">AVERAGE(OFFSET($R$3,0,0,'Données projet'!$E$9+1,1))-AVERAGE(OFFSET($H$3,0,0,'Données projet'!$E$9+1,1))</f>
        <v>539.63700256763173</v>
      </c>
      <c r="T122" s="57">
        <f t="shared" si="88"/>
        <v>297.32483725004136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4.2</v>
      </c>
      <c r="AI122" s="13">
        <f>IF('Données projet'!$A$62&gt;35,AI121+AH122-AQ121,IF(A122&lt;'Données projet'!$A$62,$AF$205^A122,IF(A122='Données projet'!$A$62,'Données projet'!$B$62,AI121+AH122-AQ121)))</f>
        <v>323.7999999999999</v>
      </c>
      <c r="AJ122" s="13">
        <f>AI122*VLOOKUP('Données projet'!$B$10,Paramètres!$A$1:$I$89,3,0)*VLOOKUP('Données projet'!$B$10,Paramètres!$A$1:$I$89,5,0)</f>
        <v>272.76911999999993</v>
      </c>
      <c r="AK122" s="13">
        <f t="shared" si="89"/>
        <v>65.436596987299211</v>
      </c>
      <c r="AL122" s="20">
        <f t="shared" si="58"/>
        <v>589.04162375287922</v>
      </c>
      <c r="AM122" s="57">
        <f t="shared" si="59"/>
        <v>870.95161505080841</v>
      </c>
      <c r="AN122" s="57">
        <f ca="1">AVERAGE(OFFSET($AM$3,0,0,'Données projet'!$E$10+1,1))-AVERAGE(OFFSET($H$3,0,0,'Données projet'!$E$10+1,1))</f>
        <v>508.21188526136734</v>
      </c>
      <c r="AO122" s="57">
        <f t="shared" si="90"/>
        <v>281.06176764290592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-1.064108801074326E-13</v>
      </c>
      <c r="BF122" s="13" t="e">
        <f t="shared" si="91"/>
        <v>#NUM!</v>
      </c>
      <c r="BG122" s="20" t="e">
        <f t="shared" si="61"/>
        <v>#NUM!</v>
      </c>
      <c r="BH122" s="57" t="e">
        <f t="shared" si="62"/>
        <v>#NUM!</v>
      </c>
      <c r="BI122" s="57">
        <f ca="1">AVERAGE(OFFSET($BH$3,0,0,'Données projet'!$E$11+1,1))-AVERAGE(OFFSET($H$3,0,0,'Données projet'!$E$11+1,1))</f>
        <v>449.50723280509311</v>
      </c>
      <c r="BJ122" s="57">
        <f t="shared" si="92"/>
        <v>281.26353650058275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159.9786667889673</v>
      </c>
      <c r="BQ122" s="21">
        <f>EXP(-LN(2)/25)*BQ121+(1-EXP(-LN(2)/25))/(LN(2)/25)*Calculateur!BL122*Calculateur!BN122*VLOOKUP('Données projet'!$B$11,Paramètres!$A$1:$I$89,3,0)*0.475*44/12</f>
        <v>31.075444257089945</v>
      </c>
      <c r="BR122" s="21">
        <f>EXP(-LN(2)/2)*BR121+(1-EXP(-LN(2)/2))/(LN(2)/2)*BL122*BO122*VLOOKUP('Données projet'!$B$11,Paramètres!$A$1:$I$89,3,0)*0.475*44/12</f>
        <v>5.8452933092095552E-2</v>
      </c>
      <c r="BS122" s="22">
        <f t="shared" si="63"/>
        <v>191.11256397914934</v>
      </c>
      <c r="BT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3.7</v>
      </c>
      <c r="BY122" s="12">
        <f>IF('Données projet'!$A$114&gt;35,BY121+BX122-CG121,IF(A122&lt;'Données projet'!$A$114,$BV$205^A122,IF(A122='Données projet'!$A$114,'Données projet'!$B$114,BY121+BX122-CG121)))</f>
        <v>299.29999999999927</v>
      </c>
      <c r="BZ122" s="13">
        <f>BY122*VLOOKUP('Données projet'!$B$12,Paramètres!$A$1:$I$89,3,0)*VLOOKUP('Données projet'!$B$12,Paramètres!$A$1:$I$89,5,0)</f>
        <v>284.8138799999993</v>
      </c>
      <c r="CA122" s="13">
        <f t="shared" si="93"/>
        <v>67.983308640752327</v>
      </c>
      <c r="CB122" s="20">
        <f t="shared" si="64"/>
        <v>614.455103549309</v>
      </c>
      <c r="CC122" s="57">
        <f t="shared" si="65"/>
        <v>896.3650948472382</v>
      </c>
      <c r="CD122" s="57">
        <f ca="1">AVERAGE(OFFSET($CC$3,0,0,'Données projet'!$E$12+1,1))-AVERAGE(OFFSET($H$3,0,0,'Données projet'!$E$12+1,1))</f>
        <v>479.4551766174892</v>
      </c>
      <c r="CE122" s="57">
        <f t="shared" si="94"/>
        <v>260.29028006191834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-2.2737367544323206E-13</v>
      </c>
      <c r="CU122" s="17">
        <f>CT122*VLOOKUP('Données projet'!$B$13,Paramètres!$A$1:$I$89,3,0)*VLOOKUP('Données projet'!$B$13,Paramètres!$A$1:$I$89,5,0)</f>
        <v>-1.2710188457276673E-13</v>
      </c>
      <c r="CV122" s="13" t="e">
        <f t="shared" si="95"/>
        <v>#NUM!</v>
      </c>
      <c r="CW122" s="20" t="e">
        <f t="shared" si="67"/>
        <v>#NUM!</v>
      </c>
      <c r="CX122" s="57" t="e">
        <f t="shared" si="68"/>
        <v>#NUM!</v>
      </c>
      <c r="CY122" s="57">
        <f ca="1">AVERAGE(OFFSET($CX$3,0,0,'Données projet'!$E$13+1,1))-AVERAGE(OFFSET($H$3,0,0,'Données projet'!$E$13+1,1))</f>
        <v>459.83870442974046</v>
      </c>
      <c r="CZ122" s="57">
        <f t="shared" si="96"/>
        <v>565.68976940602215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80.442591502597196</v>
      </c>
      <c r="DG122" s="21">
        <f>EXP(-LN(2)/25)*DG121+(1-EXP(-LN(2)/25))/(LN(2)/25)*Calculateur!DB122*Calculateur!DD122*VLOOKUP('Données projet'!$B$13,Paramètres!$A$1:$I$89,3,0)*0.475*44/12</f>
        <v>12.549299944073823</v>
      </c>
      <c r="DH122" s="21">
        <f>EXP(-LN(2)/2)*DH121+(1-EXP(-LN(2)/2))/(LN(2)/2)*DB122*DE122*VLOOKUP('Données projet'!$B$13,Paramètres!$A$1:$I$89,3,0)*0.475*44/12</f>
        <v>7.4179573425494593E-8</v>
      </c>
      <c r="DI122" s="22">
        <f t="shared" si="69"/>
        <v>92.991891520850587</v>
      </c>
      <c r="DJ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7" t="e">
        <f t="shared" si="71"/>
        <v>#NUM!</v>
      </c>
      <c r="DT122" s="57">
        <f ca="1">AVERAGE(OFFSET($DS$3,0,0,'Données projet'!$E$14+1,1))-AVERAGE(OFFSET($H$3,0,0,'Données projet'!$E$14+1,1))</f>
        <v>315.23504986325418</v>
      </c>
      <c r="DU122" s="57">
        <f t="shared" si="98"/>
        <v>350.52837099886688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43.713661215240947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43.713661215240947</v>
      </c>
      <c r="EE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3.6666666666666665</v>
      </c>
      <c r="EJ122" s="12">
        <f>IF('Données projet'!$A$192&gt;35,EJ121+EI122-ER121,IF(A122&lt;'Données projet'!$A$192,$EG$205^A122,IF(A122='Données projet'!$A$192,'Données projet'!$B$192,EJ121+EI122-ER121)))</f>
        <v>168.73333333333321</v>
      </c>
      <c r="EK122" s="17">
        <f>EJ122*VLOOKUP('Données projet'!$B$15,Paramètres!$A$1:$I$89,3,0)*VLOOKUP('Données projet'!$B$15,Paramètres!$A$1:$I$89,5,0)</f>
        <v>163.19887999999989</v>
      </c>
      <c r="EL122" s="13">
        <f t="shared" si="99"/>
        <v>41.563198349842381</v>
      </c>
      <c r="EM122" s="20">
        <f t="shared" si="73"/>
        <v>356.62728645930866</v>
      </c>
      <c r="EN122" s="57">
        <f t="shared" si="74"/>
        <v>638.5372777572378</v>
      </c>
      <c r="EO122" s="57">
        <f ca="1">AVERAGE(OFFSET($EN$3,0,0,'Données projet'!$E$15+1,1))-AVERAGE(OFFSET($H$3,0,0,'Données projet'!$E$15+1,1))</f>
        <v>328.31200866623891</v>
      </c>
      <c r="EP122" s="57">
        <f t="shared" si="100"/>
        <v>195.52650232917446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35.695544201791847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35.695544201791847</v>
      </c>
      <c r="EZ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7" t="e">
        <f t="shared" si="77"/>
        <v>#NUM!</v>
      </c>
      <c r="FJ122" s="57">
        <f ca="1">AVERAGE(OFFSET($FI$3,0,0,'Données projet'!$E$16+1,1))-AVERAGE(OFFSET($H$3,0,0,'Données projet'!$E$16+1,1))</f>
        <v>142.88219003619457</v>
      </c>
      <c r="FK122" s="57">
        <f t="shared" si="102"/>
        <v>288.69704547625088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8.424876192510375</v>
      </c>
      <c r="FR122" s="21">
        <f>EXP(-LN(2)/25)*FR121+(1-EXP(-LN(2)/25))/(LN(2)/25)*Calculateur!FM122*Calculateur!FO122*VLOOKUP('Données projet'!$B$16,Paramètres!$A$1:$I$89,3,0)*0.475*44/12</f>
        <v>1.052992174605196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9.4778683671155708</v>
      </c>
      <c r="FU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7" t="e">
        <f t="shared" si="80"/>
        <v>#N/A</v>
      </c>
      <c r="GE122" s="57" t="e">
        <f ca="1">AVERAGE(OFFSET($GD$3,0,0,'Données projet'!$E$17+1,1))-AVERAGE(OFFSET($H$3,0,0,'Données projet'!$E$17+1,1))</f>
        <v>#N/A</v>
      </c>
      <c r="GF122" s="57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7" t="e">
        <f t="shared" si="83"/>
        <v>#N/A</v>
      </c>
      <c r="GZ122" s="57" t="e">
        <f ca="1">AVERAGE(OFFSET($GY$3,0,0,'Données projet'!$E$18+1,1))-AVERAGE(OFFSET($H$3,0,0,'Données projet'!$E$18+1,1))</f>
        <v>#N/A</v>
      </c>
      <c r="HA122" s="57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1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5">
        <f t="shared" si="56"/>
        <v>183.33333333333334</v>
      </c>
      <c r="I123" s="6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4.2</v>
      </c>
      <c r="N123" s="13">
        <f>IF('Données projet'!$A$36&gt;35,N122+M123-V122,IF(A123&lt;'Données projet'!$A$36,$K$205^A123,IF(A123='Données projet'!$A$36,'Données projet'!$B$36,N122+M123-V122)))</f>
        <v>327.99999999999989</v>
      </c>
      <c r="O123" s="13">
        <f>N123*VLOOKUP('Données projet'!$B$9,Paramètres!$A$1:$I$89,3,0)*VLOOKUP('Données projet'!$B$9,Paramètres!$A$1:$I$89,5,0)</f>
        <v>296.7743999999999</v>
      </c>
      <c r="P123" s="13">
        <f t="shared" si="87"/>
        <v>70.499828966950673</v>
      </c>
      <c r="Q123" s="20">
        <f t="shared" si="107"/>
        <v>639.6692821174388</v>
      </c>
      <c r="R123" s="57">
        <f t="shared" si="55"/>
        <v>921.77744286091547</v>
      </c>
      <c r="S123" s="57">
        <f ca="1">AVERAGE(OFFSET($R$3,0,0,'Données projet'!$E$9+1,1))-AVERAGE(OFFSET($H$3,0,0,'Données projet'!$E$9+1,1))</f>
        <v>539.63700256763173</v>
      </c>
      <c r="T123" s="57">
        <f t="shared" si="88"/>
        <v>297.32483725004136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4.2</v>
      </c>
      <c r="AI123" s="13">
        <f>IF('Données projet'!$A$62&gt;35,AI122+AH123-AQ122,IF(A123&lt;'Données projet'!$A$62,$AF$205^A123,IF(A123='Données projet'!$A$62,'Données projet'!$B$62,AI122+AH123-AQ122)))</f>
        <v>327.99999999999989</v>
      </c>
      <c r="AJ123" s="13">
        <f>AI123*VLOOKUP('Données projet'!$B$10,Paramètres!$A$1:$I$89,3,0)*VLOOKUP('Données projet'!$B$10,Paramètres!$A$1:$I$89,5,0)</f>
        <v>276.30719999999991</v>
      </c>
      <c r="AK123" s="13">
        <f t="shared" si="89"/>
        <v>66.186012113671126</v>
      </c>
      <c r="AL123" s="20">
        <f t="shared" si="58"/>
        <v>596.5090110979769</v>
      </c>
      <c r="AM123" s="57">
        <f t="shared" si="59"/>
        <v>878.61717184145346</v>
      </c>
      <c r="AN123" s="57">
        <f ca="1">AVERAGE(OFFSET($AM$3,0,0,'Données projet'!$E$10+1,1))-AVERAGE(OFFSET($H$3,0,0,'Données projet'!$E$10+1,1))</f>
        <v>508.21188526136734</v>
      </c>
      <c r="AO123" s="57">
        <f t="shared" si="90"/>
        <v>281.06176764290592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-1.064108801074326E-13</v>
      </c>
      <c r="BF123" s="13" t="e">
        <f t="shared" si="91"/>
        <v>#NUM!</v>
      </c>
      <c r="BG123" s="20" t="e">
        <f t="shared" si="61"/>
        <v>#NUM!</v>
      </c>
      <c r="BH123" s="57" t="e">
        <f t="shared" si="62"/>
        <v>#NUM!</v>
      </c>
      <c r="BI123" s="57">
        <f ca="1">AVERAGE(OFFSET($BH$3,0,0,'Données projet'!$E$11+1,1))-AVERAGE(OFFSET($H$3,0,0,'Données projet'!$E$11+1,1))</f>
        <v>449.50723280509311</v>
      </c>
      <c r="BJ123" s="57">
        <f t="shared" si="92"/>
        <v>281.26353650058275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156.84158271058743</v>
      </c>
      <c r="BQ123" s="21">
        <f>EXP(-LN(2)/25)*BQ122+(1-EXP(-LN(2)/25))/(LN(2)/25)*Calculateur!BL123*Calculateur!BN123*VLOOKUP('Données projet'!$B$11,Paramètres!$A$1:$I$89,3,0)*0.475*44/12</f>
        <v>30.225684599693231</v>
      </c>
      <c r="BR123" s="21">
        <f>EXP(-LN(2)/2)*BR122+(1-EXP(-LN(2)/2))/(LN(2)/2)*BL123*BO123*VLOOKUP('Données projet'!$B$11,Paramètres!$A$1:$I$89,3,0)*0.475*44/12</f>
        <v>4.1332465369664312E-2</v>
      </c>
      <c r="BS123" s="22">
        <f t="shared" si="63"/>
        <v>187.10859977565033</v>
      </c>
      <c r="BT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303</v>
      </c>
      <c r="BW123" s="12">
        <f>VLOOKUP(A123,'Données projet'!$A$113:$I$133,9,0)</f>
        <v>3.7</v>
      </c>
      <c r="BX123" s="12">
        <f t="array" ref="BX123">INDEX(BW:BW,MIN(IF(ISNUMBER(BW123:BW319),ROW(BW123:BW319),"")))</f>
        <v>3.7</v>
      </c>
      <c r="BY123" s="12">
        <f>IF('Données projet'!$A$114&gt;35,BY122+BX123-CG122,IF(A123&lt;'Données projet'!$A$114,$BV$205^A123,IF(A123='Données projet'!$A$114,'Données projet'!$B$114,BY122+BX123-CG122)))</f>
        <v>302.99999999999926</v>
      </c>
      <c r="BZ123" s="13">
        <f>BY123*VLOOKUP('Données projet'!$B$12,Paramètres!$A$1:$I$89,3,0)*VLOOKUP('Données projet'!$B$12,Paramètres!$A$1:$I$89,5,0)</f>
        <v>288.33479999999935</v>
      </c>
      <c r="CA123" s="13">
        <f t="shared" si="93"/>
        <v>68.725373494438784</v>
      </c>
      <c r="CB123" s="20">
        <f t="shared" si="64"/>
        <v>621.8798021694796</v>
      </c>
      <c r="CC123" s="57">
        <f t="shared" si="65"/>
        <v>903.98796291295616</v>
      </c>
      <c r="CD123" s="57">
        <f ca="1">AVERAGE(OFFSET($CC$3,0,0,'Données projet'!$E$12+1,1))-AVERAGE(OFFSET($H$3,0,0,'Données projet'!$E$12+1,1))</f>
        <v>479.4551766174892</v>
      </c>
      <c r="CE123" s="57">
        <f t="shared" si="94"/>
        <v>260.29028006191834</v>
      </c>
      <c r="CF123" s="15">
        <f>IF(ISNA(VLOOKUP(A123,'Données projet'!$A$113:$I$133,3,0)),0,VLOOKUP(A123,'Données projet'!$A$113:$I$133,3,0))</f>
        <v>17</v>
      </c>
      <c r="CG123" s="15">
        <f>IF(ISNA(VLOOKUP(A123,'Données projet'!$A$113:$I$133,4,0)),0,VLOOKUP(A123,'Données projet'!$A$113:$I$133,4,0))</f>
        <v>35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-2.2737367544323206E-13</v>
      </c>
      <c r="CU123" s="17">
        <f>CT123*VLOOKUP('Données projet'!$B$13,Paramètres!$A$1:$I$89,3,0)*VLOOKUP('Données projet'!$B$13,Paramètres!$A$1:$I$89,5,0)</f>
        <v>-1.2710188457276673E-13</v>
      </c>
      <c r="CV123" s="13" t="e">
        <f t="shared" si="95"/>
        <v>#NUM!</v>
      </c>
      <c r="CW123" s="20" t="e">
        <f t="shared" si="67"/>
        <v>#NUM!</v>
      </c>
      <c r="CX123" s="57" t="e">
        <f t="shared" si="68"/>
        <v>#NUM!</v>
      </c>
      <c r="CY123" s="57">
        <f ca="1">AVERAGE(OFFSET($CX$3,0,0,'Données projet'!$E$13+1,1))-AVERAGE(OFFSET($H$3,0,0,'Données projet'!$E$13+1,1))</f>
        <v>459.83870442974046</v>
      </c>
      <c r="CZ123" s="57">
        <f t="shared" si="96"/>
        <v>565.68976940602215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78.865161348367309</v>
      </c>
      <c r="DG123" s="21">
        <f>EXP(-LN(2)/25)*DG122+(1-EXP(-LN(2)/25))/(LN(2)/25)*Calculateur!DB123*Calculateur!DD123*VLOOKUP('Données projet'!$B$13,Paramètres!$A$1:$I$89,3,0)*0.475*44/12</f>
        <v>12.206138677164121</v>
      </c>
      <c r="DH123" s="21">
        <f>EXP(-LN(2)/2)*DH122+(1-EXP(-LN(2)/2))/(LN(2)/2)*DB123*DE123*VLOOKUP('Données projet'!$B$13,Paramètres!$A$1:$I$89,3,0)*0.475*44/12</f>
        <v>5.2452879394692642E-8</v>
      </c>
      <c r="DI123" s="22">
        <f t="shared" si="69"/>
        <v>91.071300077984304</v>
      </c>
      <c r="DJ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7" t="e">
        <f t="shared" si="71"/>
        <v>#NUM!</v>
      </c>
      <c r="DT123" s="57">
        <f ca="1">AVERAGE(OFFSET($DS$3,0,0,'Données projet'!$E$14+1,1))-AVERAGE(OFFSET($H$3,0,0,'Données projet'!$E$14+1,1))</f>
        <v>315.23504986325418</v>
      </c>
      <c r="DU123" s="57">
        <f t="shared" si="98"/>
        <v>350.52837099886688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42.856462981510688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42.856462981510688</v>
      </c>
      <c r="EE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3.6666666666666665</v>
      </c>
      <c r="EJ123" s="12">
        <f>IF('Données projet'!$A$192&gt;35,EJ122+EI123-ER122,IF(A123&lt;'Données projet'!$A$192,$EG$205^A123,IF(A123='Données projet'!$A$192,'Données projet'!$B$192,EJ122+EI123-ER122)))</f>
        <v>172.39999999999986</v>
      </c>
      <c r="EK123" s="17">
        <f>EJ123*VLOOKUP('Données projet'!$B$15,Paramètres!$A$1:$I$89,3,0)*VLOOKUP('Données projet'!$B$15,Paramètres!$A$1:$I$89,5,0)</f>
        <v>166.74527999999989</v>
      </c>
      <c r="EL123" s="13">
        <f t="shared" si="99"/>
        <v>42.3602564885365</v>
      </c>
      <c r="EM123" s="20">
        <f t="shared" si="73"/>
        <v>364.19214271753418</v>
      </c>
      <c r="EN123" s="57">
        <f t="shared" si="74"/>
        <v>646.3003034610108</v>
      </c>
      <c r="EO123" s="57">
        <f ca="1">AVERAGE(OFFSET($EN$3,0,0,'Données projet'!$E$15+1,1))-AVERAGE(OFFSET($H$3,0,0,'Données projet'!$E$15+1,1))</f>
        <v>328.31200866623891</v>
      </c>
      <c r="EP123" s="57">
        <f t="shared" si="100"/>
        <v>195.52650232917446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34.995576352126854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34.995576352126854</v>
      </c>
      <c r="EZ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7" t="e">
        <f t="shared" si="77"/>
        <v>#NUM!</v>
      </c>
      <c r="FJ123" s="57">
        <f ca="1">AVERAGE(OFFSET($FI$3,0,0,'Données projet'!$E$16+1,1))-AVERAGE(OFFSET($H$3,0,0,'Données projet'!$E$16+1,1))</f>
        <v>142.88219003619457</v>
      </c>
      <c r="FK123" s="57">
        <f t="shared" si="102"/>
        <v>288.69704547625088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8.2596695090423236</v>
      </c>
      <c r="FR123" s="21">
        <f>EXP(-LN(2)/25)*FR122+(1-EXP(-LN(2)/25))/(LN(2)/25)*Calculateur!FM123*Calculateur!FO123*VLOOKUP('Données projet'!$B$16,Paramètres!$A$1:$I$89,3,0)*0.475*44/12</f>
        <v>1.024198048216165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9.283867557258489</v>
      </c>
      <c r="FU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7" t="e">
        <f t="shared" si="80"/>
        <v>#N/A</v>
      </c>
      <c r="GE123" s="57" t="e">
        <f ca="1">AVERAGE(OFFSET($GD$3,0,0,'Données projet'!$E$17+1,1))-AVERAGE(OFFSET($H$3,0,0,'Données projet'!$E$17+1,1))</f>
        <v>#N/A</v>
      </c>
      <c r="GF123" s="57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7" t="e">
        <f t="shared" si="83"/>
        <v>#N/A</v>
      </c>
      <c r="GZ123" s="57" t="e">
        <f ca="1">AVERAGE(OFFSET($GY$3,0,0,'Données projet'!$E$18+1,1))-AVERAGE(OFFSET($H$3,0,0,'Données projet'!$E$18+1,1))</f>
        <v>#N/A</v>
      </c>
      <c r="HA123" s="57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1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5">
        <f t="shared" si="56"/>
        <v>183.33333333333334</v>
      </c>
      <c r="I124" s="6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4.2</v>
      </c>
      <c r="N124" s="13">
        <f>IF('Données projet'!$A$36&gt;35,N123+M124-V123,IF(A124&lt;'Données projet'!$A$36,$K$205^A124,IF(A124='Données projet'!$A$36,'Données projet'!$B$36,N123+M124-V123)))</f>
        <v>332.19999999999987</v>
      </c>
      <c r="O124" s="13">
        <f>N124*VLOOKUP('Données projet'!$B$9,Paramètres!$A$1:$I$89,3,0)*VLOOKUP('Données projet'!$B$9,Paramètres!$A$1:$I$89,5,0)</f>
        <v>300.57455999999985</v>
      </c>
      <c r="P124" s="13">
        <f t="shared" si="87"/>
        <v>71.296899904441815</v>
      </c>
      <c r="Q124" s="20">
        <f t="shared" si="107"/>
        <v>647.67612600023597</v>
      </c>
      <c r="R124" s="57">
        <f t="shared" si="55"/>
        <v>929.97901839242036</v>
      </c>
      <c r="S124" s="57">
        <f ca="1">AVERAGE(OFFSET($R$3,0,0,'Données projet'!$E$9+1,1))-AVERAGE(OFFSET($H$3,0,0,'Données projet'!$E$9+1,1))</f>
        <v>539.63700256763173</v>
      </c>
      <c r="T124" s="57">
        <f t="shared" si="88"/>
        <v>297.32483725004136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4.2</v>
      </c>
      <c r="AI124" s="13">
        <f>IF('Données projet'!$A$62&gt;35,AI123+AH124-AQ123,IF(A124&lt;'Données projet'!$A$62,$AF$205^A124,IF(A124='Données projet'!$A$62,'Données projet'!$B$62,AI123+AH124-AQ123)))</f>
        <v>332.19999999999987</v>
      </c>
      <c r="AJ124" s="13">
        <f>AI124*VLOOKUP('Données projet'!$B$10,Paramètres!$A$1:$I$89,3,0)*VLOOKUP('Données projet'!$B$10,Paramètres!$A$1:$I$89,5,0)</f>
        <v>279.84527999999995</v>
      </c>
      <c r="AK124" s="13">
        <f t="shared" si="89"/>
        <v>66.934311045700795</v>
      </c>
      <c r="AL124" s="20">
        <f t="shared" si="58"/>
        <v>603.97445440459546</v>
      </c>
      <c r="AM124" s="57">
        <f t="shared" si="59"/>
        <v>886.27734679677985</v>
      </c>
      <c r="AN124" s="57">
        <f ca="1">AVERAGE(OFFSET($AM$3,0,0,'Données projet'!$E$10+1,1))-AVERAGE(OFFSET($H$3,0,0,'Données projet'!$E$10+1,1))</f>
        <v>508.21188526136734</v>
      </c>
      <c r="AO124" s="57">
        <f t="shared" si="90"/>
        <v>281.06176764290592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-1.064108801074326E-13</v>
      </c>
      <c r="BF124" s="13" t="e">
        <f t="shared" si="91"/>
        <v>#NUM!</v>
      </c>
      <c r="BG124" s="20" t="e">
        <f t="shared" si="61"/>
        <v>#NUM!</v>
      </c>
      <c r="BH124" s="57" t="e">
        <f t="shared" si="62"/>
        <v>#NUM!</v>
      </c>
      <c r="BI124" s="57">
        <f ca="1">AVERAGE(OFFSET($BH$3,0,0,'Données projet'!$E$11+1,1))-AVERAGE(OFFSET($H$3,0,0,'Données projet'!$E$11+1,1))</f>
        <v>449.50723280509311</v>
      </c>
      <c r="BJ124" s="57">
        <f t="shared" si="92"/>
        <v>281.26353650058275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153.76601493755223</v>
      </c>
      <c r="BQ124" s="21">
        <f>EXP(-LN(2)/25)*BQ123+(1-EXP(-LN(2)/25))/(LN(2)/25)*Calculateur!BL124*Calculateur!BN124*VLOOKUP('Données projet'!$B$11,Paramètres!$A$1:$I$89,3,0)*0.475*44/12</f>
        <v>29.399161664814947</v>
      </c>
      <c r="BR124" s="21">
        <f>EXP(-LN(2)/2)*BR123+(1-EXP(-LN(2)/2))/(LN(2)/2)*BL124*BO124*VLOOKUP('Données projet'!$B$11,Paramètres!$A$1:$I$89,3,0)*0.475*44/12</f>
        <v>2.9226466546047776E-2</v>
      </c>
      <c r="BS124" s="22">
        <f t="shared" si="63"/>
        <v>183.19440306891323</v>
      </c>
      <c r="BT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3.2</v>
      </c>
      <c r="BY124" s="12">
        <f>IF('Données projet'!$A$114&gt;35,BY123+BX124-CG123,IF(A124&lt;'Données projet'!$A$114,$BV$205^A124,IF(A124='Données projet'!$A$114,'Données projet'!$B$114,BY123+BX124-CG123)))</f>
        <v>271.19999999999925</v>
      </c>
      <c r="BZ124" s="13">
        <f>BY124*VLOOKUP('Données projet'!$B$12,Paramètres!$A$1:$I$89,3,0)*VLOOKUP('Données projet'!$B$12,Paramètres!$A$1:$I$89,5,0)</f>
        <v>258.0739199999993</v>
      </c>
      <c r="CA124" s="13">
        <f t="shared" si="93"/>
        <v>62.311638032734159</v>
      </c>
      <c r="CB124" s="20">
        <f t="shared" si="64"/>
        <v>558.00484690701069</v>
      </c>
      <c r="CC124" s="57">
        <f t="shared" si="65"/>
        <v>840.30773929919508</v>
      </c>
      <c r="CD124" s="57">
        <f ca="1">AVERAGE(OFFSET($CC$3,0,0,'Données projet'!$E$12+1,1))-AVERAGE(OFFSET($H$3,0,0,'Données projet'!$E$12+1,1))</f>
        <v>479.4551766174892</v>
      </c>
      <c r="CE124" s="57">
        <f t="shared" si="94"/>
        <v>260.29028006191834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-2.2737367544323206E-13</v>
      </c>
      <c r="CU124" s="17">
        <f>CT124*VLOOKUP('Données projet'!$B$13,Paramètres!$A$1:$I$89,3,0)*VLOOKUP('Données projet'!$B$13,Paramètres!$A$1:$I$89,5,0)</f>
        <v>-1.2710188457276673E-13</v>
      </c>
      <c r="CV124" s="13" t="e">
        <f t="shared" si="95"/>
        <v>#NUM!</v>
      </c>
      <c r="CW124" s="20" t="e">
        <f t="shared" si="67"/>
        <v>#NUM!</v>
      </c>
      <c r="CX124" s="57" t="e">
        <f t="shared" si="68"/>
        <v>#NUM!</v>
      </c>
      <c r="CY124" s="57">
        <f ca="1">AVERAGE(OFFSET($CX$3,0,0,'Données projet'!$E$13+1,1))-AVERAGE(OFFSET($H$3,0,0,'Données projet'!$E$13+1,1))</f>
        <v>459.83870442974046</v>
      </c>
      <c r="CZ124" s="57">
        <f t="shared" si="96"/>
        <v>565.68976940602215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77.318663637324477</v>
      </c>
      <c r="DG124" s="21">
        <f>EXP(-LN(2)/25)*DG123+(1-EXP(-LN(2)/25))/(LN(2)/25)*Calculateur!DB124*Calculateur!DD124*VLOOKUP('Données projet'!$B$13,Paramètres!$A$1:$I$89,3,0)*0.475*44/12</f>
        <v>11.872361173144133</v>
      </c>
      <c r="DH124" s="21">
        <f>EXP(-LN(2)/2)*DH123+(1-EXP(-LN(2)/2))/(LN(2)/2)*DB124*DE124*VLOOKUP('Données projet'!$B$13,Paramètres!$A$1:$I$89,3,0)*0.475*44/12</f>
        <v>3.7089786712747296E-8</v>
      </c>
      <c r="DI124" s="22">
        <f t="shared" si="69"/>
        <v>89.191024847558396</v>
      </c>
      <c r="DJ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7" t="e">
        <f t="shared" si="71"/>
        <v>#NUM!</v>
      </c>
      <c r="DT124" s="57">
        <f ca="1">AVERAGE(OFFSET($DS$3,0,0,'Données projet'!$E$14+1,1))-AVERAGE(OFFSET($H$3,0,0,'Données projet'!$E$14+1,1))</f>
        <v>315.23504986325418</v>
      </c>
      <c r="DU124" s="57">
        <f t="shared" si="98"/>
        <v>350.52837099886688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42.016073882304589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42.016073882304589</v>
      </c>
      <c r="EE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3.6666666666666665</v>
      </c>
      <c r="EJ124" s="12">
        <f>IF('Données projet'!$A$192&gt;35,EJ123+EI124-ER123,IF(A124&lt;'Données projet'!$A$192,$EG$205^A124,IF(A124='Données projet'!$A$192,'Données projet'!$B$192,EJ123+EI124-ER123)))</f>
        <v>176.06666666666652</v>
      </c>
      <c r="EK124" s="17">
        <f>EJ124*VLOOKUP('Données projet'!$B$15,Paramètres!$A$1:$I$89,3,0)*VLOOKUP('Données projet'!$B$15,Paramètres!$A$1:$I$89,5,0)</f>
        <v>170.29167999999987</v>
      </c>
      <c r="EL124" s="13">
        <f t="shared" si="99"/>
        <v>43.155343683196421</v>
      </c>
      <c r="EM124" s="20">
        <f t="shared" si="73"/>
        <v>371.75356624823348</v>
      </c>
      <c r="EN124" s="57">
        <f t="shared" si="74"/>
        <v>654.05645864041787</v>
      </c>
      <c r="EO124" s="57">
        <f ca="1">AVERAGE(OFFSET($EN$3,0,0,'Données projet'!$E$15+1,1))-AVERAGE(OFFSET($H$3,0,0,'Données projet'!$E$15+1,1))</f>
        <v>328.31200866623891</v>
      </c>
      <c r="EP124" s="57">
        <f t="shared" si="100"/>
        <v>195.52650232917446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34.309334445055555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34.309334445055555</v>
      </c>
      <c r="EZ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7" t="e">
        <f t="shared" si="77"/>
        <v>#NUM!</v>
      </c>
      <c r="FJ124" s="57">
        <f ca="1">AVERAGE(OFFSET($FI$3,0,0,'Données projet'!$E$16+1,1))-AVERAGE(OFFSET($H$3,0,0,'Données projet'!$E$16+1,1))</f>
        <v>142.88219003619457</v>
      </c>
      <c r="FK124" s="57">
        <f t="shared" si="102"/>
        <v>288.69704547625088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8.0977024278709528</v>
      </c>
      <c r="FR124" s="21">
        <f>EXP(-LN(2)/25)*FR123+(1-EXP(-LN(2)/25))/(LN(2)/25)*Calculateur!FM124*Calculateur!FO124*VLOOKUP('Données projet'!$B$16,Paramètres!$A$1:$I$89,3,0)*0.475*44/12</f>
        <v>0.99619129872745948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9.093893726598413</v>
      </c>
      <c r="FU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7" t="e">
        <f t="shared" si="80"/>
        <v>#N/A</v>
      </c>
      <c r="GE124" s="57" t="e">
        <f ca="1">AVERAGE(OFFSET($GD$3,0,0,'Données projet'!$E$17+1,1))-AVERAGE(OFFSET($H$3,0,0,'Données projet'!$E$17+1,1))</f>
        <v>#N/A</v>
      </c>
      <c r="GF124" s="57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7" t="e">
        <f t="shared" si="83"/>
        <v>#N/A</v>
      </c>
      <c r="GZ124" s="57" t="e">
        <f ca="1">AVERAGE(OFFSET($GY$3,0,0,'Données projet'!$E$18+1,1))-AVERAGE(OFFSET($H$3,0,0,'Données projet'!$E$18+1,1))</f>
        <v>#N/A</v>
      </c>
      <c r="HA124" s="57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1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5">
        <f t="shared" si="56"/>
        <v>183.33333333333334</v>
      </c>
      <c r="I125" s="6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4.2</v>
      </c>
      <c r="N125" s="13">
        <f>IF('Données projet'!$A$36&gt;35,N124+M125-V124,IF(A125&lt;'Données projet'!$A$36,$K$205^A125,IF(A125='Données projet'!$A$36,'Données projet'!$B$36,N124+M125-V124)))</f>
        <v>336.39999999999986</v>
      </c>
      <c r="O125" s="13">
        <f>N125*VLOOKUP('Données projet'!$B$9,Paramètres!$A$1:$I$89,3,0)*VLOOKUP('Données projet'!$B$9,Paramètres!$A$1:$I$89,5,0)</f>
        <v>304.37471999999985</v>
      </c>
      <c r="P125" s="13">
        <f t="shared" si="87"/>
        <v>72.092798667275062</v>
      </c>
      <c r="Q125" s="20">
        <f t="shared" si="107"/>
        <v>655.68092834550373</v>
      </c>
      <c r="R125" s="57">
        <f t="shared" si="55"/>
        <v>938.17517422764558</v>
      </c>
      <c r="S125" s="57">
        <f ca="1">AVERAGE(OFFSET($R$3,0,0,'Données projet'!$E$9+1,1))-AVERAGE(OFFSET($H$3,0,0,'Données projet'!$E$9+1,1))</f>
        <v>539.63700256763173</v>
      </c>
      <c r="T125" s="57">
        <f t="shared" si="88"/>
        <v>297.32483725004136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4.2</v>
      </c>
      <c r="AI125" s="13">
        <f>IF('Données projet'!$A$62&gt;35,AI124+AH125-AQ124,IF(A125&lt;'Données projet'!$A$62,$AF$205^A125,IF(A125='Données projet'!$A$62,'Données projet'!$B$62,AI124+AH125-AQ124)))</f>
        <v>336.39999999999986</v>
      </c>
      <c r="AJ125" s="13">
        <f>AI125*VLOOKUP('Données projet'!$B$10,Paramètres!$A$1:$I$89,3,0)*VLOOKUP('Données projet'!$B$10,Paramètres!$A$1:$I$89,5,0)</f>
        <v>283.38335999999993</v>
      </c>
      <c r="AK125" s="13">
        <f t="shared" si="89"/>
        <v>67.681509527314574</v>
      </c>
      <c r="AL125" s="20">
        <f t="shared" si="58"/>
        <v>611.43798109340605</v>
      </c>
      <c r="AM125" s="57">
        <f t="shared" si="59"/>
        <v>893.93222697554779</v>
      </c>
      <c r="AN125" s="57">
        <f ca="1">AVERAGE(OFFSET($AM$3,0,0,'Données projet'!$E$10+1,1))-AVERAGE(OFFSET($H$3,0,0,'Données projet'!$E$10+1,1))</f>
        <v>508.21188526136734</v>
      </c>
      <c r="AO125" s="57">
        <f t="shared" si="90"/>
        <v>281.06176764290592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-1.064108801074326E-13</v>
      </c>
      <c r="BF125" s="13" t="e">
        <f t="shared" si="91"/>
        <v>#NUM!</v>
      </c>
      <c r="BG125" s="20" t="e">
        <f t="shared" si="61"/>
        <v>#NUM!</v>
      </c>
      <c r="BH125" s="57" t="e">
        <f t="shared" si="62"/>
        <v>#NUM!</v>
      </c>
      <c r="BI125" s="57">
        <f ca="1">AVERAGE(OFFSET($BH$3,0,0,'Données projet'!$E$11+1,1))-AVERAGE(OFFSET($H$3,0,0,'Données projet'!$E$11+1,1))</f>
        <v>449.50723280509311</v>
      </c>
      <c r="BJ125" s="57">
        <f t="shared" si="92"/>
        <v>281.26353650058275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150.75075717263513</v>
      </c>
      <c r="BQ125" s="21">
        <f>EXP(-LN(2)/25)*BQ124+(1-EXP(-LN(2)/25))/(LN(2)/25)*Calculateur!BL125*Calculateur!BN125*VLOOKUP('Données projet'!$B$11,Paramètres!$A$1:$I$89,3,0)*0.475*44/12</f>
        <v>28.595240043055863</v>
      </c>
      <c r="BR125" s="21">
        <f>EXP(-LN(2)/2)*BR124+(1-EXP(-LN(2)/2))/(LN(2)/2)*BL125*BO125*VLOOKUP('Données projet'!$B$11,Paramètres!$A$1:$I$89,3,0)*0.475*44/12</f>
        <v>2.0666232684832156E-2</v>
      </c>
      <c r="BS125" s="22">
        <f t="shared" si="63"/>
        <v>179.36666344837585</v>
      </c>
      <c r="BT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3.2</v>
      </c>
      <c r="BY125" s="12">
        <f>IF('Données projet'!$A$114&gt;35,BY124+BX125-CG124,IF(A125&lt;'Données projet'!$A$114,$BV$205^A125,IF(A125='Données projet'!$A$114,'Données projet'!$B$114,BY124+BX125-CG124)))</f>
        <v>274.39999999999924</v>
      </c>
      <c r="BZ125" s="13">
        <f>BY125*VLOOKUP('Données projet'!$B$12,Paramètres!$A$1:$I$89,3,0)*VLOOKUP('Données projet'!$B$12,Paramètres!$A$1:$I$89,5,0)</f>
        <v>261.1190399999993</v>
      </c>
      <c r="CA125" s="13">
        <f t="shared" si="93"/>
        <v>62.960852407139463</v>
      </c>
      <c r="CB125" s="20">
        <f t="shared" si="64"/>
        <v>564.43914594243324</v>
      </c>
      <c r="CC125" s="57">
        <f t="shared" si="65"/>
        <v>846.93339182457498</v>
      </c>
      <c r="CD125" s="57">
        <f ca="1">AVERAGE(OFFSET($CC$3,0,0,'Données projet'!$E$12+1,1))-AVERAGE(OFFSET($H$3,0,0,'Données projet'!$E$12+1,1))</f>
        <v>479.4551766174892</v>
      </c>
      <c r="CE125" s="57">
        <f t="shared" si="94"/>
        <v>260.29028006191834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-2.2737367544323206E-13</v>
      </c>
      <c r="CU125" s="17">
        <f>CT125*VLOOKUP('Données projet'!$B$13,Paramètres!$A$1:$I$89,3,0)*VLOOKUP('Données projet'!$B$13,Paramètres!$A$1:$I$89,5,0)</f>
        <v>-1.2710188457276673E-13</v>
      </c>
      <c r="CV125" s="13" t="e">
        <f t="shared" si="95"/>
        <v>#NUM!</v>
      </c>
      <c r="CW125" s="20" t="e">
        <f t="shared" si="67"/>
        <v>#NUM!</v>
      </c>
      <c r="CX125" s="57" t="e">
        <f t="shared" si="68"/>
        <v>#NUM!</v>
      </c>
      <c r="CY125" s="57">
        <f ca="1">AVERAGE(OFFSET($CX$3,0,0,'Données projet'!$E$13+1,1))-AVERAGE(OFFSET($H$3,0,0,'Données projet'!$E$13+1,1))</f>
        <v>459.83870442974046</v>
      </c>
      <c r="CZ125" s="57">
        <f t="shared" si="96"/>
        <v>565.68976940602215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75.802491803124724</v>
      </c>
      <c r="DG125" s="21">
        <f>EXP(-LN(2)/25)*DG124+(1-EXP(-LN(2)/25))/(LN(2)/25)*Calculateur!DB125*Calculateur!DD125*VLOOKUP('Données projet'!$B$13,Paramètres!$A$1:$I$89,3,0)*0.475*44/12</f>
        <v>11.547710832524167</v>
      </c>
      <c r="DH125" s="21">
        <f>EXP(-LN(2)/2)*DH124+(1-EXP(-LN(2)/2))/(LN(2)/2)*DB125*DE125*VLOOKUP('Données projet'!$B$13,Paramètres!$A$1:$I$89,3,0)*0.475*44/12</f>
        <v>2.6226439697346321E-8</v>
      </c>
      <c r="DI125" s="22">
        <f t="shared" si="69"/>
        <v>87.350202661875329</v>
      </c>
      <c r="DJ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7" t="e">
        <f t="shared" si="71"/>
        <v>#NUM!</v>
      </c>
      <c r="DT125" s="57">
        <f ca="1">AVERAGE(OFFSET($DS$3,0,0,'Données projet'!$E$14+1,1))-AVERAGE(OFFSET($H$3,0,0,'Données projet'!$E$14+1,1))</f>
        <v>315.23504986325418</v>
      </c>
      <c r="DU125" s="57">
        <f t="shared" si="98"/>
        <v>350.52837099886688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41.19216430074718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41.19216430074718</v>
      </c>
      <c r="EE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3.6666666666666665</v>
      </c>
      <c r="EJ125" s="12">
        <f>IF('Données projet'!$A$192&gt;35,EJ124+EI125-ER124,IF(A125&lt;'Données projet'!$A$192,$EG$205^A125,IF(A125='Données projet'!$A$192,'Données projet'!$B$192,EJ124+EI125-ER124)))</f>
        <v>179.73333333333318</v>
      </c>
      <c r="EK125" s="17">
        <f>EJ125*VLOOKUP('Données projet'!$B$15,Paramètres!$A$1:$I$89,3,0)*VLOOKUP('Données projet'!$B$15,Paramètres!$A$1:$I$89,5,0)</f>
        <v>173.83807999999985</v>
      </c>
      <c r="EL125" s="13">
        <f t="shared" si="99"/>
        <v>43.948505708523449</v>
      </c>
      <c r="EM125" s="20">
        <f t="shared" si="73"/>
        <v>379.31163677567798</v>
      </c>
      <c r="EN125" s="57">
        <f t="shared" si="74"/>
        <v>661.80588265781978</v>
      </c>
      <c r="EO125" s="57">
        <f ca="1">AVERAGE(OFFSET($EN$3,0,0,'Données projet'!$E$15+1,1))-AVERAGE(OFFSET($H$3,0,0,'Données projet'!$E$15+1,1))</f>
        <v>328.31200866623891</v>
      </c>
      <c r="EP125" s="57">
        <f t="shared" si="100"/>
        <v>195.52650232917446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33.636549323215696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33.636549323215696</v>
      </c>
      <c r="EZ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7" t="e">
        <f t="shared" si="77"/>
        <v>#NUM!</v>
      </c>
      <c r="FJ125" s="57">
        <f ca="1">AVERAGE(OFFSET($FI$3,0,0,'Données projet'!$E$16+1,1))-AVERAGE(OFFSET($H$3,0,0,'Données projet'!$E$16+1,1))</f>
        <v>142.88219003619457</v>
      </c>
      <c r="FK125" s="57">
        <f t="shared" si="102"/>
        <v>288.69704547625088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7.9389114223711879</v>
      </c>
      <c r="FR125" s="21">
        <f>EXP(-LN(2)/25)*FR124+(1-EXP(-LN(2)/25))/(LN(2)/25)*Calculateur!FM125*Calculateur!FO125*VLOOKUP('Données projet'!$B$16,Paramètres!$A$1:$I$89,3,0)*0.475*44/12</f>
        <v>0.96895039527633353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8.9078618176475217</v>
      </c>
      <c r="FU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7" t="e">
        <f t="shared" si="80"/>
        <v>#N/A</v>
      </c>
      <c r="GE125" s="57" t="e">
        <f ca="1">AVERAGE(OFFSET($GD$3,0,0,'Données projet'!$E$17+1,1))-AVERAGE(OFFSET($H$3,0,0,'Données projet'!$E$17+1,1))</f>
        <v>#N/A</v>
      </c>
      <c r="GF125" s="57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7" t="e">
        <f t="shared" si="83"/>
        <v>#N/A</v>
      </c>
      <c r="GZ125" s="57" t="e">
        <f ca="1">AVERAGE(OFFSET($GY$3,0,0,'Données projet'!$E$18+1,1))-AVERAGE(OFFSET($H$3,0,0,'Données projet'!$E$18+1,1))</f>
        <v>#N/A</v>
      </c>
      <c r="HA125" s="57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1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5">
        <f t="shared" si="56"/>
        <v>183.33333333333334</v>
      </c>
      <c r="I126" s="6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4.2</v>
      </c>
      <c r="N126" s="13">
        <f>IF('Données projet'!$A$36&gt;35,N125+M126-V125,IF(A126&lt;'Données projet'!$A$36,$K$205^A126,IF(A126='Données projet'!$A$36,'Données projet'!$B$36,N125+M126-V125)))</f>
        <v>340.59999999999985</v>
      </c>
      <c r="O126" s="13">
        <f>N126*VLOOKUP('Données projet'!$B$9,Paramètres!$A$1:$I$89,3,0)*VLOOKUP('Données projet'!$B$9,Paramètres!$A$1:$I$89,5,0)</f>
        <v>308.17487999999986</v>
      </c>
      <c r="P126" s="13">
        <f t="shared" si="87"/>
        <v>72.887541582684676</v>
      </c>
      <c r="Q126" s="20">
        <f t="shared" si="107"/>
        <v>663.6837175898421</v>
      </c>
      <c r="R126" s="57">
        <f t="shared" si="55"/>
        <v>946.36599740669271</v>
      </c>
      <c r="S126" s="57">
        <f ca="1">AVERAGE(OFFSET($R$3,0,0,'Données projet'!$E$9+1,1))-AVERAGE(OFFSET($H$3,0,0,'Données projet'!$E$9+1,1))</f>
        <v>539.63700256763173</v>
      </c>
      <c r="T126" s="57">
        <f t="shared" si="88"/>
        <v>297.32483725004136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4.2</v>
      </c>
      <c r="AI126" s="13">
        <f>IF('Données projet'!$A$62&gt;35,AI125+AH126-AQ125,IF(A126&lt;'Données projet'!$A$62,$AF$205^A126,IF(A126='Données projet'!$A$62,'Données projet'!$B$62,AI125+AH126-AQ125)))</f>
        <v>340.59999999999985</v>
      </c>
      <c r="AJ126" s="13">
        <f>AI126*VLOOKUP('Données projet'!$B$10,Paramètres!$A$1:$I$89,3,0)*VLOOKUP('Données projet'!$B$10,Paramètres!$A$1:$I$89,5,0)</f>
        <v>286.9214399999999</v>
      </c>
      <c r="AK126" s="13">
        <f t="shared" si="89"/>
        <v>68.427622886698884</v>
      </c>
      <c r="AL126" s="20">
        <f t="shared" si="58"/>
        <v>618.89961786100037</v>
      </c>
      <c r="AM126" s="57">
        <f t="shared" si="59"/>
        <v>901.58189767785098</v>
      </c>
      <c r="AN126" s="57">
        <f ca="1">AVERAGE(OFFSET($AM$3,0,0,'Données projet'!$E$10+1,1))-AVERAGE(OFFSET($H$3,0,0,'Données projet'!$E$10+1,1))</f>
        <v>508.21188526136734</v>
      </c>
      <c r="AO126" s="57">
        <f t="shared" si="90"/>
        <v>281.06176764290592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-1.064108801074326E-13</v>
      </c>
      <c r="BF126" s="13" t="e">
        <f t="shared" si="91"/>
        <v>#NUM!</v>
      </c>
      <c r="BG126" s="20" t="e">
        <f t="shared" si="61"/>
        <v>#NUM!</v>
      </c>
      <c r="BH126" s="57" t="e">
        <f t="shared" si="62"/>
        <v>#NUM!</v>
      </c>
      <c r="BI126" s="57">
        <f ca="1">AVERAGE(OFFSET($BH$3,0,0,'Données projet'!$E$11+1,1))-AVERAGE(OFFSET($H$3,0,0,'Données projet'!$E$11+1,1))</f>
        <v>449.50723280509311</v>
      </c>
      <c r="BJ126" s="57">
        <f t="shared" si="92"/>
        <v>281.26353650058275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147.79462677336244</v>
      </c>
      <c r="BQ126" s="21">
        <f>EXP(-LN(2)/25)*BQ125+(1-EXP(-LN(2)/25))/(LN(2)/25)*Calculateur!BL126*Calculateur!BN126*VLOOKUP('Données projet'!$B$11,Paramètres!$A$1:$I$89,3,0)*0.475*44/12</f>
        <v>27.813301700320181</v>
      </c>
      <c r="BR126" s="21">
        <f>EXP(-LN(2)/2)*BR125+(1-EXP(-LN(2)/2))/(LN(2)/2)*BL126*BO126*VLOOKUP('Données projet'!$B$11,Paramètres!$A$1:$I$89,3,0)*0.475*44/12</f>
        <v>1.4613233273023888E-2</v>
      </c>
      <c r="BS126" s="22">
        <f t="shared" si="63"/>
        <v>175.62254170695564</v>
      </c>
      <c r="BT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3.2</v>
      </c>
      <c r="BY126" s="12">
        <f>IF('Données projet'!$A$114&gt;35,BY125+BX126-CG125,IF(A126&lt;'Données projet'!$A$114,$BV$205^A126,IF(A126='Données projet'!$A$114,'Données projet'!$B$114,BY125+BX126-CG125)))</f>
        <v>277.59999999999923</v>
      </c>
      <c r="BZ126" s="13">
        <f>BY126*VLOOKUP('Données projet'!$B$12,Paramètres!$A$1:$I$89,3,0)*VLOOKUP('Données projet'!$B$12,Paramètres!$A$1:$I$89,5,0)</f>
        <v>264.1641599999993</v>
      </c>
      <c r="CA126" s="13">
        <f t="shared" si="93"/>
        <v>63.609186092368212</v>
      </c>
      <c r="CB126" s="20">
        <f t="shared" si="64"/>
        <v>570.87191111087338</v>
      </c>
      <c r="CC126" s="57">
        <f t="shared" si="65"/>
        <v>853.55419092772399</v>
      </c>
      <c r="CD126" s="57">
        <f ca="1">AVERAGE(OFFSET($CC$3,0,0,'Données projet'!$E$12+1,1))-AVERAGE(OFFSET($H$3,0,0,'Données projet'!$E$12+1,1))</f>
        <v>479.4551766174892</v>
      </c>
      <c r="CE126" s="57">
        <f t="shared" si="94"/>
        <v>260.29028006191834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-2.2737367544323206E-13</v>
      </c>
      <c r="CU126" s="17">
        <f>CT126*VLOOKUP('Données projet'!$B$13,Paramètres!$A$1:$I$89,3,0)*VLOOKUP('Données projet'!$B$13,Paramètres!$A$1:$I$89,5,0)</f>
        <v>-1.2710188457276673E-13</v>
      </c>
      <c r="CV126" s="13" t="e">
        <f t="shared" si="95"/>
        <v>#NUM!</v>
      </c>
      <c r="CW126" s="20" t="e">
        <f t="shared" si="67"/>
        <v>#NUM!</v>
      </c>
      <c r="CX126" s="57" t="e">
        <f t="shared" si="68"/>
        <v>#NUM!</v>
      </c>
      <c r="CY126" s="57">
        <f ca="1">AVERAGE(OFFSET($CX$3,0,0,'Données projet'!$E$13+1,1))-AVERAGE(OFFSET($H$3,0,0,'Données projet'!$E$13+1,1))</f>
        <v>459.83870442974046</v>
      </c>
      <c r="CZ126" s="57">
        <f t="shared" si="96"/>
        <v>565.68976940602215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74.316051173820128</v>
      </c>
      <c r="DG126" s="21">
        <f>EXP(-LN(2)/25)*DG125+(1-EXP(-LN(2)/25))/(LN(2)/25)*Calculateur!DB126*Calculateur!DD126*VLOOKUP('Données projet'!$B$13,Paramètres!$A$1:$I$89,3,0)*0.475*44/12</f>
        <v>11.231938072541073</v>
      </c>
      <c r="DH126" s="21">
        <f>EXP(-LN(2)/2)*DH125+(1-EXP(-LN(2)/2))/(LN(2)/2)*DB126*DE126*VLOOKUP('Données projet'!$B$13,Paramètres!$A$1:$I$89,3,0)*0.475*44/12</f>
        <v>1.8544893356373648E-8</v>
      </c>
      <c r="DI126" s="22">
        <f t="shared" si="69"/>
        <v>85.547989264906093</v>
      </c>
      <c r="DJ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7" t="e">
        <f t="shared" si="71"/>
        <v>#NUM!</v>
      </c>
      <c r="DT126" s="57">
        <f ca="1">AVERAGE(OFFSET($DS$3,0,0,'Données projet'!$E$14+1,1))-AVERAGE(OFFSET($H$3,0,0,'Données projet'!$E$14+1,1))</f>
        <v>315.23504986325418</v>
      </c>
      <c r="DU126" s="57">
        <f t="shared" si="98"/>
        <v>350.52837099886688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40.384411083548891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40.384411083548891</v>
      </c>
      <c r="EE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3.6666666666666665</v>
      </c>
      <c r="EJ126" s="12">
        <f>IF('Données projet'!$A$192&gt;35,EJ125+EI126-ER125,IF(A126&lt;'Données projet'!$A$192,$EG$205^A126,IF(A126='Données projet'!$A$192,'Données projet'!$B$192,EJ125+EI126-ER125)))</f>
        <v>183.39999999999984</v>
      </c>
      <c r="EK126" s="17">
        <f>EJ126*VLOOKUP('Données projet'!$B$15,Paramètres!$A$1:$I$89,3,0)*VLOOKUP('Données projet'!$B$15,Paramètres!$A$1:$I$89,5,0)</f>
        <v>177.38447999999985</v>
      </c>
      <c r="EL126" s="13">
        <f t="shared" si="99"/>
        <v>44.739786364792536</v>
      </c>
      <c r="EM126" s="20">
        <f t="shared" si="73"/>
        <v>386.86643058534673</v>
      </c>
      <c r="EN126" s="57">
        <f t="shared" si="74"/>
        <v>669.54871040219746</v>
      </c>
      <c r="EO126" s="57">
        <f ca="1">AVERAGE(OFFSET($EN$3,0,0,'Données projet'!$E$15+1,1))-AVERAGE(OFFSET($H$3,0,0,'Données projet'!$E$15+1,1))</f>
        <v>328.31200866623891</v>
      </c>
      <c r="EP126" s="57">
        <f t="shared" si="100"/>
        <v>195.52650232917446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32.976957107256709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32.976957107256709</v>
      </c>
      <c r="EZ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7" t="e">
        <f t="shared" si="77"/>
        <v>#NUM!</v>
      </c>
      <c r="FJ126" s="57">
        <f ca="1">AVERAGE(OFFSET($FI$3,0,0,'Données projet'!$E$16+1,1))-AVERAGE(OFFSET($H$3,0,0,'Données projet'!$E$16+1,1))</f>
        <v>142.88219003619457</v>
      </c>
      <c r="FK126" s="57">
        <f t="shared" si="102"/>
        <v>288.69704547625088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7.7832342116363229</v>
      </c>
      <c r="FR126" s="21">
        <f>EXP(-LN(2)/25)*FR125+(1-EXP(-LN(2)/25))/(LN(2)/25)*Calculateur!FM126*Calculateur!FO126*VLOOKUP('Données projet'!$B$16,Paramètres!$A$1:$I$89,3,0)*0.475*44/12</f>
        <v>0.94245439576261547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8.7256886073989381</v>
      </c>
      <c r="FU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7" t="e">
        <f t="shared" si="80"/>
        <v>#N/A</v>
      </c>
      <c r="GE126" s="57" t="e">
        <f ca="1">AVERAGE(OFFSET($GD$3,0,0,'Données projet'!$E$17+1,1))-AVERAGE(OFFSET($H$3,0,0,'Données projet'!$E$17+1,1))</f>
        <v>#N/A</v>
      </c>
      <c r="GF126" s="57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7" t="e">
        <f t="shared" si="83"/>
        <v>#N/A</v>
      </c>
      <c r="GZ126" s="57" t="e">
        <f ca="1">AVERAGE(OFFSET($GY$3,0,0,'Données projet'!$E$18+1,1))-AVERAGE(OFFSET($H$3,0,0,'Données projet'!$E$18+1,1))</f>
        <v>#N/A</v>
      </c>
      <c r="HA126" s="57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1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5">
        <f t="shared" si="56"/>
        <v>183.33333333333334</v>
      </c>
      <c r="I127" s="6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4.2</v>
      </c>
      <c r="N127" s="13">
        <f>IF('Données projet'!$A$36&gt;35,N126+M127-V126,IF(A127&lt;'Données projet'!$A$36,$K$205^A127,IF(A127='Données projet'!$A$36,'Données projet'!$B$36,N126+M127-V126)))</f>
        <v>344.79999999999984</v>
      </c>
      <c r="O127" s="13">
        <f>N127*VLOOKUP('Données projet'!$B$9,Paramètres!$A$1:$I$89,3,0)*VLOOKUP('Données projet'!$B$9,Paramètres!$A$1:$I$89,5,0)</f>
        <v>311.97503999999986</v>
      </c>
      <c r="P127" s="13">
        <f t="shared" si="87"/>
        <v>73.681144552074599</v>
      </c>
      <c r="Q127" s="20">
        <f t="shared" si="107"/>
        <v>671.68452142819626</v>
      </c>
      <c r="R127" s="57">
        <f t="shared" si="55"/>
        <v>954.5515732113696</v>
      </c>
      <c r="S127" s="57">
        <f ca="1">AVERAGE(OFFSET($R$3,0,0,'Données projet'!$E$9+1,1))-AVERAGE(OFFSET($H$3,0,0,'Données projet'!$E$9+1,1))</f>
        <v>539.63700256763173</v>
      </c>
      <c r="T127" s="57">
        <f t="shared" si="88"/>
        <v>297.32483725004136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4.2</v>
      </c>
      <c r="AI127" s="13">
        <f>IF('Données projet'!$A$62&gt;35,AI126+AH127-AQ126,IF(A127&lt;'Données projet'!$A$62,$AF$205^A127,IF(A127='Données projet'!$A$62,'Données projet'!$B$62,AI126+AH127-AQ126)))</f>
        <v>344.79999999999984</v>
      </c>
      <c r="AJ127" s="13">
        <f>AI127*VLOOKUP('Données projet'!$B$10,Paramètres!$A$1:$I$89,3,0)*VLOOKUP('Données projet'!$B$10,Paramètres!$A$1:$I$89,5,0)</f>
        <v>290.45951999999988</v>
      </c>
      <c r="AK127" s="13">
        <f t="shared" si="89"/>
        <v>69.172666052266209</v>
      </c>
      <c r="AL127" s="20">
        <f t="shared" si="58"/>
        <v>626.35939070769678</v>
      </c>
      <c r="AM127" s="57">
        <f t="shared" si="59"/>
        <v>909.22644249087011</v>
      </c>
      <c r="AN127" s="57">
        <f ca="1">AVERAGE(OFFSET($AM$3,0,0,'Données projet'!$E$10+1,1))-AVERAGE(OFFSET($H$3,0,0,'Données projet'!$E$10+1,1))</f>
        <v>508.21188526136734</v>
      </c>
      <c r="AO127" s="57">
        <f t="shared" si="90"/>
        <v>281.06176764290592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-1.064108801074326E-13</v>
      </c>
      <c r="BF127" s="13" t="e">
        <f t="shared" si="91"/>
        <v>#NUM!</v>
      </c>
      <c r="BG127" s="20" t="e">
        <f t="shared" si="61"/>
        <v>#NUM!</v>
      </c>
      <c r="BH127" s="57" t="e">
        <f t="shared" si="62"/>
        <v>#NUM!</v>
      </c>
      <c r="BI127" s="57">
        <f ca="1">AVERAGE(OFFSET($BH$3,0,0,'Données projet'!$E$11+1,1))-AVERAGE(OFFSET($H$3,0,0,'Données projet'!$E$11+1,1))</f>
        <v>449.50723280509311</v>
      </c>
      <c r="BJ127" s="57">
        <f t="shared" si="92"/>
        <v>281.26353650058275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144.89646428815797</v>
      </c>
      <c r="BQ127" s="21">
        <f>EXP(-LN(2)/25)*BQ126+(1-EXP(-LN(2)/25))/(LN(2)/25)*Calculateur!BL127*Calculateur!BN127*VLOOKUP('Données projet'!$B$11,Paramètres!$A$1:$I$89,3,0)*0.475*44/12</f>
        <v>27.052745502686957</v>
      </c>
      <c r="BR127" s="21">
        <f>EXP(-LN(2)/2)*BR126+(1-EXP(-LN(2)/2))/(LN(2)/2)*BL127*BO127*VLOOKUP('Données projet'!$B$11,Paramètres!$A$1:$I$89,3,0)*0.475*44/12</f>
        <v>1.0333116342416078E-2</v>
      </c>
      <c r="BS127" s="22">
        <f t="shared" si="63"/>
        <v>171.95954290718734</v>
      </c>
      <c r="BT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3.2</v>
      </c>
      <c r="BY127" s="12">
        <f>IF('Données projet'!$A$114&gt;35,BY126+BX127-CG126,IF(A127&lt;'Données projet'!$A$114,$BV$205^A127,IF(A127='Données projet'!$A$114,'Données projet'!$B$114,BY126+BX127-CG126)))</f>
        <v>280.79999999999922</v>
      </c>
      <c r="BZ127" s="13">
        <f>BY127*VLOOKUP('Données projet'!$B$12,Paramètres!$A$1:$I$89,3,0)*VLOOKUP('Données projet'!$B$12,Paramètres!$A$1:$I$89,5,0)</f>
        <v>267.2092799999993</v>
      </c>
      <c r="CA127" s="13">
        <f t="shared" si="93"/>
        <v>64.256650415057905</v>
      </c>
      <c r="CB127" s="20">
        <f t="shared" si="64"/>
        <v>577.30316213955791</v>
      </c>
      <c r="CC127" s="57">
        <f t="shared" si="65"/>
        <v>860.17021392273125</v>
      </c>
      <c r="CD127" s="57">
        <f ca="1">AVERAGE(OFFSET($CC$3,0,0,'Données projet'!$E$12+1,1))-AVERAGE(OFFSET($H$3,0,0,'Données projet'!$E$12+1,1))</f>
        <v>479.4551766174892</v>
      </c>
      <c r="CE127" s="57">
        <f t="shared" si="94"/>
        <v>260.29028006191834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-2.2737367544323206E-13</v>
      </c>
      <c r="CU127" s="17">
        <f>CT127*VLOOKUP('Données projet'!$B$13,Paramètres!$A$1:$I$89,3,0)*VLOOKUP('Données projet'!$B$13,Paramètres!$A$1:$I$89,5,0)</f>
        <v>-1.2710188457276673E-13</v>
      </c>
      <c r="CV127" s="13" t="e">
        <f t="shared" si="95"/>
        <v>#NUM!</v>
      </c>
      <c r="CW127" s="20" t="e">
        <f t="shared" si="67"/>
        <v>#NUM!</v>
      </c>
      <c r="CX127" s="57" t="e">
        <f t="shared" si="68"/>
        <v>#NUM!</v>
      </c>
      <c r="CY127" s="57">
        <f ca="1">AVERAGE(OFFSET($CX$3,0,0,'Données projet'!$E$13+1,1))-AVERAGE(OFFSET($H$3,0,0,'Données projet'!$E$13+1,1))</f>
        <v>459.83870442974046</v>
      </c>
      <c r="CZ127" s="57">
        <f t="shared" si="96"/>
        <v>565.68976940602215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72.858758738616928</v>
      </c>
      <c r="DG127" s="21">
        <f>EXP(-LN(2)/25)*DG126+(1-EXP(-LN(2)/25))/(LN(2)/25)*Calculateur!DB127*Calculateur!DD127*VLOOKUP('Données projet'!$B$13,Paramètres!$A$1:$I$89,3,0)*0.475*44/12</f>
        <v>10.924800135285485</v>
      </c>
      <c r="DH127" s="21">
        <f>EXP(-LN(2)/2)*DH126+(1-EXP(-LN(2)/2))/(LN(2)/2)*DB127*DE127*VLOOKUP('Données projet'!$B$13,Paramètres!$A$1:$I$89,3,0)*0.475*44/12</f>
        <v>1.311321984867316E-8</v>
      </c>
      <c r="DI127" s="22">
        <f t="shared" si="69"/>
        <v>83.78355888701563</v>
      </c>
      <c r="DJ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7" t="e">
        <f t="shared" si="71"/>
        <v>#NUM!</v>
      </c>
      <c r="DT127" s="57">
        <f ca="1">AVERAGE(OFFSET($DS$3,0,0,'Données projet'!$E$14+1,1))-AVERAGE(OFFSET($H$3,0,0,'Données projet'!$E$14+1,1))</f>
        <v>315.23504986325418</v>
      </c>
      <c r="DU127" s="57">
        <f t="shared" si="98"/>
        <v>350.52837099886688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39.592497414259043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39.592497414259043</v>
      </c>
      <c r="EE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3.6666666666666665</v>
      </c>
      <c r="EJ127" s="12">
        <f>IF('Données projet'!$A$192&gt;35,EJ126+EI127-ER126,IF(A127&lt;'Données projet'!$A$192,$EG$205^A127,IF(A127='Données projet'!$A$192,'Données projet'!$B$192,EJ126+EI127-ER126)))</f>
        <v>187.06666666666649</v>
      </c>
      <c r="EK127" s="17">
        <f>EJ127*VLOOKUP('Données projet'!$B$15,Paramètres!$A$1:$I$89,3,0)*VLOOKUP('Données projet'!$B$15,Paramètres!$A$1:$I$89,5,0)</f>
        <v>180.93087999999983</v>
      </c>
      <c r="EL127" s="13">
        <f t="shared" si="99"/>
        <v>45.529227600759334</v>
      </c>
      <c r="EM127" s="20">
        <f t="shared" si="73"/>
        <v>394.41802073798885</v>
      </c>
      <c r="EN127" s="57">
        <f t="shared" si="74"/>
        <v>677.28507252116219</v>
      </c>
      <c r="EO127" s="57">
        <f ca="1">AVERAGE(OFFSET($EN$3,0,0,'Données projet'!$E$15+1,1))-AVERAGE(OFFSET($H$3,0,0,'Données projet'!$E$15+1,1))</f>
        <v>328.31200866623891</v>
      </c>
      <c r="EP127" s="57">
        <f t="shared" si="100"/>
        <v>195.52650232917446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32.33029909234115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32.33029909234115</v>
      </c>
      <c r="EZ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7" t="e">
        <f t="shared" si="77"/>
        <v>#NUM!</v>
      </c>
      <c r="FJ127" s="57">
        <f ca="1">AVERAGE(OFFSET($FI$3,0,0,'Données projet'!$E$16+1,1))-AVERAGE(OFFSET($H$3,0,0,'Données projet'!$E$16+1,1))</f>
        <v>142.88219003619457</v>
      </c>
      <c r="FK127" s="57">
        <f t="shared" si="102"/>
        <v>288.69704547625088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7.6306097360502463</v>
      </c>
      <c r="FR127" s="21">
        <f>EXP(-LN(2)/25)*FR126+(1-EXP(-LN(2)/25))/(LN(2)/25)*Calculateur!FM127*Calculateur!FO127*VLOOKUP('Données projet'!$B$16,Paramètres!$A$1:$I$89,3,0)*0.475*44/12</f>
        <v>0.91668293074896412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8.5472926667992102</v>
      </c>
      <c r="FU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7" t="e">
        <f t="shared" si="80"/>
        <v>#N/A</v>
      </c>
      <c r="GE127" s="57" t="e">
        <f ca="1">AVERAGE(OFFSET($GD$3,0,0,'Données projet'!$E$17+1,1))-AVERAGE(OFFSET($H$3,0,0,'Données projet'!$E$17+1,1))</f>
        <v>#N/A</v>
      </c>
      <c r="GF127" s="57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7" t="e">
        <f t="shared" si="83"/>
        <v>#N/A</v>
      </c>
      <c r="GZ127" s="57" t="e">
        <f ca="1">AVERAGE(OFFSET($GY$3,0,0,'Données projet'!$E$18+1,1))-AVERAGE(OFFSET($H$3,0,0,'Données projet'!$E$18+1,1))</f>
        <v>#N/A</v>
      </c>
      <c r="HA127" s="57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1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5">
        <f t="shared" si="56"/>
        <v>183.33333333333334</v>
      </c>
      <c r="I128" s="6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349</v>
      </c>
      <c r="L128" s="12">
        <f>VLOOKUP(A128,'Données projet'!$A$35:$I$55,9,0)</f>
        <v>4.2</v>
      </c>
      <c r="M128" s="12">
        <f t="array" ref="M128">INDEX(L:L,MIN(IF(ISNUMBER(L128:L324),ROW(L128:L324),"")))</f>
        <v>4.2</v>
      </c>
      <c r="N128" s="13">
        <f>IF('Données projet'!$A$36&gt;35,N127+M128-V127,IF(A128&lt;'Données projet'!$A$36,$K$205^A128,IF(A128='Données projet'!$A$36,'Données projet'!$B$36,N127+M128-V127)))</f>
        <v>348.99999999999983</v>
      </c>
      <c r="O128" s="13">
        <f>N128*VLOOKUP('Données projet'!$B$9,Paramètres!$A$1:$I$89,3,0)*VLOOKUP('Données projet'!$B$9,Paramètres!$A$1:$I$89,5,0)</f>
        <v>315.77519999999981</v>
      </c>
      <c r="P128" s="13">
        <f t="shared" si="87"/>
        <v>74.473623067174003</v>
      </c>
      <c r="Q128" s="20">
        <f t="shared" si="107"/>
        <v>679.68336684199437</v>
      </c>
      <c r="R128" s="57">
        <f t="shared" si="55"/>
        <v>962.73198521096288</v>
      </c>
      <c r="S128" s="57">
        <f ca="1">AVERAGE(OFFSET($R$3,0,0,'Données projet'!$E$9+1,1))-AVERAGE(OFFSET($H$3,0,0,'Données projet'!$E$9+1,1))</f>
        <v>539.63700256763173</v>
      </c>
      <c r="T128" s="57">
        <f t="shared" si="88"/>
        <v>297.32483725004136</v>
      </c>
      <c r="U128" s="15">
        <f>IF(ISNA(VLOOKUP(A128,'Données projet'!$A$35:$I$55,3,0)),0,VLOOKUP(A128,'Données projet'!$A$35:$I$55,3,0))</f>
        <v>17</v>
      </c>
      <c r="V128" s="15">
        <f>IF(ISNA(VLOOKUP(A128,'Données projet'!$A$35:$I$55,4,0)),0,VLOOKUP(A128,'Données projet'!$A$35:$I$55,4,0))</f>
        <v>45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349</v>
      </c>
      <c r="AG128" s="12">
        <f>VLOOKUP(A128,'Données projet'!$A$61:$I$81,9,0)</f>
        <v>4.2</v>
      </c>
      <c r="AH128" s="12">
        <f t="array" ref="AH128">INDEX(AG:AG,MIN(IF(ISNUMBER(AG128:AG324),ROW(AG128:AG324),"")))</f>
        <v>4.2</v>
      </c>
      <c r="AI128" s="13">
        <f>IF('Données projet'!$A$62&gt;35,AI127+AH128-AQ127,IF(A128&lt;'Données projet'!$A$62,$AF$205^A128,IF(A128='Données projet'!$A$62,'Données projet'!$B$62,AI127+AH128-AQ127)))</f>
        <v>348.99999999999983</v>
      </c>
      <c r="AJ128" s="13">
        <f>AI128*VLOOKUP('Données projet'!$B$10,Paramètres!$A$1:$I$89,3,0)*VLOOKUP('Données projet'!$B$10,Paramètres!$A$1:$I$89,5,0)</f>
        <v>293.99759999999986</v>
      </c>
      <c r="AK128" s="13">
        <f t="shared" si="89"/>
        <v>69.916653567821413</v>
      </c>
      <c r="AL128" s="20">
        <f t="shared" si="58"/>
        <v>633.81732496395534</v>
      </c>
      <c r="AM128" s="57">
        <f t="shared" si="59"/>
        <v>916.86594333292385</v>
      </c>
      <c r="AN128" s="57">
        <f ca="1">AVERAGE(OFFSET($AM$3,0,0,'Données projet'!$E$10+1,1))-AVERAGE(OFFSET($H$3,0,0,'Données projet'!$E$10+1,1))</f>
        <v>508.21188526136734</v>
      </c>
      <c r="AO128" s="57">
        <f t="shared" si="90"/>
        <v>281.06176764290592</v>
      </c>
      <c r="AP128" s="15">
        <f>IF(ISNA(VLOOKUP(A128,'Données projet'!$A$61:$I$81,3,0)),0,VLOOKUP(A128,'Données projet'!$A$61:$I$81,3,0))</f>
        <v>17</v>
      </c>
      <c r="AQ128" s="15">
        <f>IF(ISNA(VLOOKUP(A128,'Données projet'!$A$61:$I$81,4,0)),0,VLOOKUP(A128,'Données projet'!$A$61:$I$81,4,0))</f>
        <v>45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-1.064108801074326E-13</v>
      </c>
      <c r="BF128" s="13" t="e">
        <f t="shared" si="91"/>
        <v>#NUM!</v>
      </c>
      <c r="BG128" s="20" t="e">
        <f t="shared" si="61"/>
        <v>#NUM!</v>
      </c>
      <c r="BH128" s="57" t="e">
        <f t="shared" si="62"/>
        <v>#NUM!</v>
      </c>
      <c r="BI128" s="57">
        <f ca="1">AVERAGE(OFFSET($BH$3,0,0,'Données projet'!$E$11+1,1))-AVERAGE(OFFSET($H$3,0,0,'Données projet'!$E$11+1,1))</f>
        <v>449.50723280509311</v>
      </c>
      <c r="BJ128" s="57">
        <f t="shared" si="92"/>
        <v>281.26353650058275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142.05513300158378</v>
      </c>
      <c r="BQ128" s="21">
        <f>EXP(-LN(2)/25)*BQ127+(1-EXP(-LN(2)/25))/(LN(2)/25)*Calculateur!BL128*Calculateur!BN128*VLOOKUP('Données projet'!$B$11,Paramètres!$A$1:$I$89,3,0)*0.475*44/12</f>
        <v>26.312986754273926</v>
      </c>
      <c r="BR128" s="21">
        <f>EXP(-LN(2)/2)*BR127+(1-EXP(-LN(2)/2))/(LN(2)/2)*BL128*BO128*VLOOKUP('Données projet'!$B$11,Paramètres!$A$1:$I$89,3,0)*0.475*44/12</f>
        <v>7.306616636511944E-3</v>
      </c>
      <c r="BS128" s="22">
        <f t="shared" si="63"/>
        <v>168.37542637249422</v>
      </c>
      <c r="BT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3.2</v>
      </c>
      <c r="BY128" s="12">
        <f>IF('Données projet'!$A$114&gt;35,BY127+BX128-CG127,IF(A128&lt;'Données projet'!$A$114,$BV$205^A128,IF(A128='Données projet'!$A$114,'Données projet'!$B$114,BY127+BX128-CG127)))</f>
        <v>283.9999999999992</v>
      </c>
      <c r="BZ128" s="13">
        <f>BY128*VLOOKUP('Données projet'!$B$12,Paramètres!$A$1:$I$89,3,0)*VLOOKUP('Données projet'!$B$12,Paramètres!$A$1:$I$89,5,0)</f>
        <v>270.25439999999924</v>
      </c>
      <c r="CA128" s="13">
        <f t="shared" si="93"/>
        <v>64.903256428828143</v>
      </c>
      <c r="CB128" s="20">
        <f t="shared" si="64"/>
        <v>583.73291828020763</v>
      </c>
      <c r="CC128" s="57">
        <f t="shared" si="65"/>
        <v>866.78153664917613</v>
      </c>
      <c r="CD128" s="57">
        <f ca="1">AVERAGE(OFFSET($CC$3,0,0,'Données projet'!$E$12+1,1))-AVERAGE(OFFSET($H$3,0,0,'Données projet'!$E$12+1,1))</f>
        <v>479.4551766174892</v>
      </c>
      <c r="CE128" s="57">
        <f t="shared" si="94"/>
        <v>260.29028006191834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-2.2737367544323206E-13</v>
      </c>
      <c r="CU128" s="17">
        <f>CT128*VLOOKUP('Données projet'!$B$13,Paramètres!$A$1:$I$89,3,0)*VLOOKUP('Données projet'!$B$13,Paramètres!$A$1:$I$89,5,0)</f>
        <v>-1.2710188457276673E-13</v>
      </c>
      <c r="CV128" s="13" t="e">
        <f t="shared" si="95"/>
        <v>#NUM!</v>
      </c>
      <c r="CW128" s="20" t="e">
        <f t="shared" si="67"/>
        <v>#NUM!</v>
      </c>
      <c r="CX128" s="57" t="e">
        <f t="shared" si="68"/>
        <v>#NUM!</v>
      </c>
      <c r="CY128" s="57">
        <f ca="1">AVERAGE(OFFSET($CX$3,0,0,'Données projet'!$E$13+1,1))-AVERAGE(OFFSET($H$3,0,0,'Données projet'!$E$13+1,1))</f>
        <v>459.83870442974046</v>
      </c>
      <c r="CZ128" s="57">
        <f t="shared" si="96"/>
        <v>565.68976940602215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71.430042919207452</v>
      </c>
      <c r="DG128" s="21">
        <f>EXP(-LN(2)/25)*DG127+(1-EXP(-LN(2)/25))/(LN(2)/25)*Calculateur!DB128*Calculateur!DD128*VLOOKUP('Données projet'!$B$13,Paramètres!$A$1:$I$89,3,0)*0.475*44/12</f>
        <v>10.626060901075833</v>
      </c>
      <c r="DH128" s="21">
        <f>EXP(-LN(2)/2)*DH127+(1-EXP(-LN(2)/2))/(LN(2)/2)*DB128*DE128*VLOOKUP('Données projet'!$B$13,Paramètres!$A$1:$I$89,3,0)*0.475*44/12</f>
        <v>9.2724466781868241E-9</v>
      </c>
      <c r="DI128" s="22">
        <f t="shared" si="69"/>
        <v>82.056103829555724</v>
      </c>
      <c r="DJ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7" t="e">
        <f t="shared" si="71"/>
        <v>#NUM!</v>
      </c>
      <c r="DT128" s="57">
        <f ca="1">AVERAGE(OFFSET($DS$3,0,0,'Données projet'!$E$14+1,1))-AVERAGE(OFFSET($H$3,0,0,'Données projet'!$E$14+1,1))</f>
        <v>315.23504986325418</v>
      </c>
      <c r="DU128" s="57">
        <f t="shared" si="98"/>
        <v>350.52837099886688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38.816112689004328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38.816112689004328</v>
      </c>
      <c r="EE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3.6666666666666665</v>
      </c>
      <c r="EJ128" s="12">
        <f>IF('Données projet'!$A$192&gt;35,EJ127+EI128-ER127,IF(A128&lt;'Données projet'!$A$192,$EG$205^A128,IF(A128='Données projet'!$A$192,'Données projet'!$B$192,EJ127+EI128-ER127)))</f>
        <v>190.73333333333315</v>
      </c>
      <c r="EK128" s="17">
        <f>EJ128*VLOOKUP('Données projet'!$B$15,Paramètres!$A$1:$I$89,3,0)*VLOOKUP('Données projet'!$B$15,Paramètres!$A$1:$I$89,5,0)</f>
        <v>184.47727999999984</v>
      </c>
      <c r="EL128" s="13">
        <f t="shared" si="99"/>
        <v>46.316869626658544</v>
      </c>
      <c r="EM128" s="20">
        <f t="shared" si="73"/>
        <v>401.96647726643005</v>
      </c>
      <c r="EN128" s="57">
        <f t="shared" si="74"/>
        <v>685.01509563539855</v>
      </c>
      <c r="EO128" s="57">
        <f ca="1">AVERAGE(OFFSET($EN$3,0,0,'Données projet'!$E$15+1,1))-AVERAGE(OFFSET($H$3,0,0,'Données projet'!$E$15+1,1))</f>
        <v>328.31200866623891</v>
      </c>
      <c r="EP128" s="57">
        <f t="shared" si="100"/>
        <v>195.52650232917446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31.696321646675646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31.696321646675646</v>
      </c>
      <c r="EZ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7" t="e">
        <f t="shared" si="77"/>
        <v>#NUM!</v>
      </c>
      <c r="FJ128" s="57">
        <f ca="1">AVERAGE(OFFSET($FI$3,0,0,'Données projet'!$E$16+1,1))-AVERAGE(OFFSET($H$3,0,0,'Données projet'!$E$16+1,1))</f>
        <v>142.88219003619457</v>
      </c>
      <c r="FK128" s="57">
        <f t="shared" si="102"/>
        <v>288.69704547625088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7.4809781333386747</v>
      </c>
      <c r="FR128" s="21">
        <f>EXP(-LN(2)/25)*FR127+(1-EXP(-LN(2)/25))/(LN(2)/25)*Calculateur!FM128*Calculateur!FO128*VLOOKUP('Données projet'!$B$16,Paramètres!$A$1:$I$89,3,0)*0.475*44/12</f>
        <v>0.89161618780137353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8.3725943211400491</v>
      </c>
      <c r="FU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7" t="e">
        <f t="shared" si="80"/>
        <v>#N/A</v>
      </c>
      <c r="GE128" s="57" t="e">
        <f ca="1">AVERAGE(OFFSET($GD$3,0,0,'Données projet'!$E$17+1,1))-AVERAGE(OFFSET($H$3,0,0,'Données projet'!$E$17+1,1))</f>
        <v>#N/A</v>
      </c>
      <c r="GF128" s="57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7" t="e">
        <f t="shared" si="83"/>
        <v>#N/A</v>
      </c>
      <c r="GZ128" s="57" t="e">
        <f ca="1">AVERAGE(OFFSET($GY$3,0,0,'Données projet'!$E$18+1,1))-AVERAGE(OFFSET($H$3,0,0,'Données projet'!$E$18+1,1))</f>
        <v>#N/A</v>
      </c>
      <c r="HA128" s="57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1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5">
        <f t="shared" si="56"/>
        <v>183.33333333333334</v>
      </c>
      <c r="I129" s="6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4</v>
      </c>
      <c r="N129" s="13">
        <f>IF('Données projet'!$A$36&gt;35,N128+M129-V128,IF(A129&lt;'Données projet'!$A$36,$K$205^A129,IF(A129='Données projet'!$A$36,'Données projet'!$B$36,N128+M129-V128)))</f>
        <v>307.99999999999983</v>
      </c>
      <c r="O129" s="13">
        <f>N129*VLOOKUP('Données projet'!$B$9,Paramètres!$A$1:$I$89,3,0)*VLOOKUP('Données projet'!$B$9,Paramètres!$A$1:$I$89,5,0)</f>
        <v>278.67839999999984</v>
      </c>
      <c r="P129" s="13">
        <f t="shared" si="87"/>
        <v>66.687639951856738</v>
      </c>
      <c r="Q129" s="20">
        <f t="shared" si="107"/>
        <v>601.51251958281682</v>
      </c>
      <c r="R129" s="57">
        <f t="shared" si="55"/>
        <v>884.73955476323908</v>
      </c>
      <c r="S129" s="57">
        <f ca="1">AVERAGE(OFFSET($R$3,0,0,'Données projet'!$E$9+1,1))-AVERAGE(OFFSET($H$3,0,0,'Données projet'!$E$9+1,1))</f>
        <v>539.63700256763173</v>
      </c>
      <c r="T129" s="57">
        <f t="shared" si="88"/>
        <v>297.32483725004136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4</v>
      </c>
      <c r="AI129" s="13">
        <f>IF('Données projet'!$A$62&gt;35,AI128+AH129-AQ128,IF(A129&lt;'Données projet'!$A$62,$AF$205^A129,IF(A129='Données projet'!$A$62,'Données projet'!$B$62,AI128+AH129-AQ128)))</f>
        <v>307.99999999999983</v>
      </c>
      <c r="AJ129" s="13">
        <f>AI129*VLOOKUP('Données projet'!$B$10,Paramètres!$A$1:$I$89,3,0)*VLOOKUP('Données projet'!$B$10,Paramètres!$A$1:$I$89,5,0)</f>
        <v>259.45919999999984</v>
      </c>
      <c r="AK129" s="13">
        <f t="shared" si="89"/>
        <v>62.607087284635128</v>
      </c>
      <c r="AL129" s="20">
        <f t="shared" si="58"/>
        <v>560.93211702073916</v>
      </c>
      <c r="AM129" s="57">
        <f t="shared" si="59"/>
        <v>844.15915220116131</v>
      </c>
      <c r="AN129" s="57">
        <f ca="1">AVERAGE(OFFSET($AM$3,0,0,'Données projet'!$E$10+1,1))-AVERAGE(OFFSET($H$3,0,0,'Données projet'!$E$10+1,1))</f>
        <v>508.21188526136734</v>
      </c>
      <c r="AO129" s="57">
        <f t="shared" si="90"/>
        <v>281.06176764290592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-1.064108801074326E-13</v>
      </c>
      <c r="BF129" s="13" t="e">
        <f t="shared" si="91"/>
        <v>#NUM!</v>
      </c>
      <c r="BG129" s="20" t="e">
        <f t="shared" si="61"/>
        <v>#NUM!</v>
      </c>
      <c r="BH129" s="57" t="e">
        <f t="shared" si="62"/>
        <v>#NUM!</v>
      </c>
      <c r="BI129" s="57">
        <f ca="1">AVERAGE(OFFSET($BH$3,0,0,'Données projet'!$E$11+1,1))-AVERAGE(OFFSET($H$3,0,0,'Données projet'!$E$11+1,1))</f>
        <v>449.50723280509311</v>
      </c>
      <c r="BJ129" s="57">
        <f t="shared" si="92"/>
        <v>281.26353650058275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139.26951848849836</v>
      </c>
      <c r="BQ129" s="21">
        <f>EXP(-LN(2)/25)*BQ128+(1-EXP(-LN(2)/25))/(LN(2)/25)*Calculateur!BL129*Calculateur!BN129*VLOOKUP('Données projet'!$B$11,Paramètres!$A$1:$I$89,3,0)*0.475*44/12</f>
        <v>25.593456747738472</v>
      </c>
      <c r="BR129" s="21">
        <f>EXP(-LN(2)/2)*BR128+(1-EXP(-LN(2)/2))/(LN(2)/2)*BL129*BO129*VLOOKUP('Données projet'!$B$11,Paramètres!$A$1:$I$89,3,0)*0.475*44/12</f>
        <v>5.166558171208039E-3</v>
      </c>
      <c r="BS129" s="22">
        <f t="shared" si="63"/>
        <v>164.86814179440802</v>
      </c>
      <c r="BT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3.2</v>
      </c>
      <c r="BY129" s="12">
        <f>IF('Données projet'!$A$114&gt;35,BY128+BX129-CG128,IF(A129&lt;'Données projet'!$A$114,$BV$205^A129,IF(A129='Données projet'!$A$114,'Données projet'!$B$114,BY128+BX129-CG128)))</f>
        <v>287.19999999999919</v>
      </c>
      <c r="BZ129" s="13">
        <f>BY129*VLOOKUP('Données projet'!$B$12,Paramètres!$A$1:$I$89,3,0)*VLOOKUP('Données projet'!$B$12,Paramètres!$A$1:$I$89,5,0)</f>
        <v>273.29951999999923</v>
      </c>
      <c r="CA129" s="13">
        <f t="shared" si="93"/>
        <v>65.54901492386152</v>
      </c>
      <c r="CB129" s="20">
        <f t="shared" si="64"/>
        <v>590.16119832572406</v>
      </c>
      <c r="CC129" s="57">
        <f t="shared" si="65"/>
        <v>873.38823350614621</v>
      </c>
      <c r="CD129" s="57">
        <f ca="1">AVERAGE(OFFSET($CC$3,0,0,'Données projet'!$E$12+1,1))-AVERAGE(OFFSET($H$3,0,0,'Données projet'!$E$12+1,1))</f>
        <v>479.4551766174892</v>
      </c>
      <c r="CE129" s="57">
        <f t="shared" si="94"/>
        <v>260.29028006191834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-2.2737367544323206E-13</v>
      </c>
      <c r="CU129" s="17">
        <f>CT129*VLOOKUP('Données projet'!$B$13,Paramètres!$A$1:$I$89,3,0)*VLOOKUP('Données projet'!$B$13,Paramètres!$A$1:$I$89,5,0)</f>
        <v>-1.2710188457276673E-13</v>
      </c>
      <c r="CV129" s="13" t="e">
        <f t="shared" si="95"/>
        <v>#NUM!</v>
      </c>
      <c r="CW129" s="20" t="e">
        <f t="shared" si="67"/>
        <v>#NUM!</v>
      </c>
      <c r="CX129" s="57" t="e">
        <f t="shared" si="68"/>
        <v>#NUM!</v>
      </c>
      <c r="CY129" s="57">
        <f ca="1">AVERAGE(OFFSET($CX$3,0,0,'Données projet'!$E$13+1,1))-AVERAGE(OFFSET($H$3,0,0,'Données projet'!$E$13+1,1))</f>
        <v>459.83870442974046</v>
      </c>
      <c r="CZ129" s="57">
        <f t="shared" si="96"/>
        <v>565.68976940602215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70.029343345585986</v>
      </c>
      <c r="DG129" s="21">
        <f>EXP(-LN(2)/25)*DG128+(1-EXP(-LN(2)/25))/(LN(2)/25)*Calculateur!DB129*Calculateur!DD129*VLOOKUP('Données projet'!$B$13,Paramètres!$A$1:$I$89,3,0)*0.475*44/12</f>
        <v>10.335490706935659</v>
      </c>
      <c r="DH129" s="21">
        <f>EXP(-LN(2)/2)*DH128+(1-EXP(-LN(2)/2))/(LN(2)/2)*DB129*DE129*VLOOKUP('Données projet'!$B$13,Paramètres!$A$1:$I$89,3,0)*0.475*44/12</f>
        <v>6.5566099243365802E-9</v>
      </c>
      <c r="DI129" s="22">
        <f t="shared" si="69"/>
        <v>80.364834059078248</v>
      </c>
      <c r="DJ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7" t="e">
        <f t="shared" si="71"/>
        <v>#NUM!</v>
      </c>
      <c r="DT129" s="57">
        <f ca="1">AVERAGE(OFFSET($DS$3,0,0,'Données projet'!$E$14+1,1))-AVERAGE(OFFSET($H$3,0,0,'Données projet'!$E$14+1,1))</f>
        <v>315.23504986325418</v>
      </c>
      <c r="DU129" s="57">
        <f t="shared" si="98"/>
        <v>350.52837099886688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38.054952394663935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38.054952394663935</v>
      </c>
      <c r="EE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>
        <f>VLOOKUP(A129,'Données projet'!$A$191:$I$211,2,0)</f>
        <v>194.4</v>
      </c>
      <c r="EH129" s="12">
        <f>VLOOKUP(A129,'Données projet'!$A$191:$I$211,9,0)</f>
        <v>3.6666666666666665</v>
      </c>
      <c r="EI129" s="12">
        <f t="array" ref="EI129">INDEX(EH:EH,MIN(IF(ISNUMBER(EH129:EH325),ROW(EH129:EH325),"")))</f>
        <v>3.6666666666666665</v>
      </c>
      <c r="EJ129" s="12">
        <f>IF('Données projet'!$A$192&gt;35,EJ128+EI129-ER128,IF(A129&lt;'Données projet'!$A$192,$EG$205^A129,IF(A129='Données projet'!$A$192,'Données projet'!$B$192,EJ128+EI129-ER128)))</f>
        <v>194.39999999999981</v>
      </c>
      <c r="EK129" s="17">
        <f>EJ129*VLOOKUP('Données projet'!$B$15,Paramètres!$A$1:$I$89,3,0)*VLOOKUP('Données projet'!$B$15,Paramètres!$A$1:$I$89,5,0)</f>
        <v>188.02367999999981</v>
      </c>
      <c r="EL129" s="13">
        <f t="shared" si="99"/>
        <v>47.10275101826771</v>
      </c>
      <c r="EM129" s="20">
        <f t="shared" si="73"/>
        <v>409.51186735681591</v>
      </c>
      <c r="EN129" s="57">
        <f t="shared" si="74"/>
        <v>692.73890253723812</v>
      </c>
      <c r="EO129" s="57">
        <f ca="1">AVERAGE(OFFSET($EN$3,0,0,'Données projet'!$E$15+1,1))-AVERAGE(OFFSET($H$3,0,0,'Données projet'!$E$15+1,1))</f>
        <v>328.31200866623891</v>
      </c>
      <c r="EP129" s="57">
        <f t="shared" si="100"/>
        <v>195.52650232917446</v>
      </c>
      <c r="EQ129" s="15">
        <f>IF(ISNA(VLOOKUP(A129,'Données projet'!$A$191:$I$211,3,0)),0,VLOOKUP(A129,'Données projet'!$A$191:$I$211,3,0))</f>
        <v>10</v>
      </c>
      <c r="ER129" s="15">
        <f>IF(ISNA(VLOOKUP(A129,'Données projet'!$A$191:$I$211,4,0)),0,VLOOKUP(A129,'Données projet'!$A$191:$I$211,4,0))</f>
        <v>30.400000000000002</v>
      </c>
      <c r="ES129" s="16">
        <f>IF(ISNA(VLOOKUP(A129,'Données projet'!$A$191:$I$211,5,0)),0%,VLOOKUP(A129,'Données projet'!$A$191:$I$211,5,0)*VLOOKUP('Données projet'!$B$15,Paramètres!$A$1:$I$89,7,0))</f>
        <v>0.38700000000000001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43.653829109347797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43.653829109347797</v>
      </c>
      <c r="EZ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7" t="e">
        <f t="shared" si="77"/>
        <v>#NUM!</v>
      </c>
      <c r="FJ129" s="57">
        <f ca="1">AVERAGE(OFFSET($FI$3,0,0,'Données projet'!$E$16+1,1))-AVERAGE(OFFSET($H$3,0,0,'Données projet'!$E$16+1,1))</f>
        <v>142.88219003619457</v>
      </c>
      <c r="FK129" s="57">
        <f t="shared" si="102"/>
        <v>288.69704547625088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7.3342807150900109</v>
      </c>
      <c r="FR129" s="21">
        <f>EXP(-LN(2)/25)*FR128+(1-EXP(-LN(2)/25))/(LN(2)/25)*Calculateur!FM129*Calculateur!FO129*VLOOKUP('Données projet'!$B$16,Paramètres!$A$1:$I$89,3,0)*0.475*44/12</f>
        <v>0.86723489625788752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8.2015156113478991</v>
      </c>
      <c r="FU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7" t="e">
        <f t="shared" si="80"/>
        <v>#N/A</v>
      </c>
      <c r="GE129" s="57" t="e">
        <f ca="1">AVERAGE(OFFSET($GD$3,0,0,'Données projet'!$E$17+1,1))-AVERAGE(OFFSET($H$3,0,0,'Données projet'!$E$17+1,1))</f>
        <v>#N/A</v>
      </c>
      <c r="GF129" s="57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7" t="e">
        <f t="shared" si="83"/>
        <v>#N/A</v>
      </c>
      <c r="GZ129" s="57" t="e">
        <f ca="1">AVERAGE(OFFSET($GY$3,0,0,'Données projet'!$E$18+1,1))-AVERAGE(OFFSET($H$3,0,0,'Données projet'!$E$18+1,1))</f>
        <v>#N/A</v>
      </c>
      <c r="HA129" s="57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1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5">
        <f t="shared" si="56"/>
        <v>183.33333333333334</v>
      </c>
      <c r="I130" s="6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4</v>
      </c>
      <c r="N130" s="13">
        <f>IF('Données projet'!$A$36&gt;35,N129+M130-V129,IF(A130&lt;'Données projet'!$A$36,$K$205^A130,IF(A130='Données projet'!$A$36,'Données projet'!$B$36,N129+M130-V129)))</f>
        <v>311.99999999999983</v>
      </c>
      <c r="O130" s="13">
        <f>N130*VLOOKUP('Données projet'!$B$9,Paramètres!$A$1:$I$89,3,0)*VLOOKUP('Données projet'!$B$9,Paramètres!$A$1:$I$89,5,0)</f>
        <v>282.29759999999982</v>
      </c>
      <c r="P130" s="13">
        <f t="shared" si="87"/>
        <v>67.452326629470107</v>
      </c>
      <c r="Q130" s="20">
        <f t="shared" si="107"/>
        <v>609.1477888796602</v>
      </c>
      <c r="R130" s="57">
        <f t="shared" si="55"/>
        <v>892.55014573873768</v>
      </c>
      <c r="S130" s="57">
        <f ca="1">AVERAGE(OFFSET($R$3,0,0,'Données projet'!$E$9+1,1))-AVERAGE(OFFSET($H$3,0,0,'Données projet'!$E$9+1,1))</f>
        <v>539.63700256763173</v>
      </c>
      <c r="T130" s="57">
        <f t="shared" si="88"/>
        <v>297.32483725004136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4</v>
      </c>
      <c r="AI130" s="13">
        <f>IF('Données projet'!$A$62&gt;35,AI129+AH130-AQ129,IF(A130&lt;'Données projet'!$A$62,$AF$205^A130,IF(A130='Données projet'!$A$62,'Données projet'!$B$62,AI129+AH130-AQ129)))</f>
        <v>311.99999999999983</v>
      </c>
      <c r="AJ130" s="13">
        <f>AI130*VLOOKUP('Données projet'!$B$10,Paramètres!$A$1:$I$89,3,0)*VLOOKUP('Données projet'!$B$10,Paramètres!$A$1:$I$89,5,0)</f>
        <v>262.82879999999989</v>
      </c>
      <c r="AK130" s="13">
        <f t="shared" si="89"/>
        <v>63.324983518559428</v>
      </c>
      <c r="AL130" s="20">
        <f t="shared" si="58"/>
        <v>568.05117296149081</v>
      </c>
      <c r="AM130" s="57">
        <f t="shared" si="59"/>
        <v>851.45352982056829</v>
      </c>
      <c r="AN130" s="57">
        <f ca="1">AVERAGE(OFFSET($AM$3,0,0,'Données projet'!$E$10+1,1))-AVERAGE(OFFSET($H$3,0,0,'Données projet'!$E$10+1,1))</f>
        <v>508.21188526136734</v>
      </c>
      <c r="AO130" s="57">
        <f t="shared" si="90"/>
        <v>281.06176764290592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-1.064108801074326E-13</v>
      </c>
      <c r="BF130" s="13" t="e">
        <f t="shared" si="91"/>
        <v>#NUM!</v>
      </c>
      <c r="BG130" s="20" t="e">
        <f t="shared" si="61"/>
        <v>#NUM!</v>
      </c>
      <c r="BH130" s="57" t="e">
        <f t="shared" si="62"/>
        <v>#NUM!</v>
      </c>
      <c r="BI130" s="57">
        <f ca="1">AVERAGE(OFFSET($BH$3,0,0,'Données projet'!$E$11+1,1))-AVERAGE(OFFSET($H$3,0,0,'Données projet'!$E$11+1,1))</f>
        <v>449.50723280509311</v>
      </c>
      <c r="BJ130" s="57">
        <f t="shared" si="92"/>
        <v>281.26353650058275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136.53852817695747</v>
      </c>
      <c r="BQ130" s="21">
        <f>EXP(-LN(2)/25)*BQ129+(1-EXP(-LN(2)/25))/(LN(2)/25)*Calculateur!BL130*Calculateur!BN130*VLOOKUP('Données projet'!$B$11,Paramètres!$A$1:$I$89,3,0)*0.475*44/12</f>
        <v>24.893602327070166</v>
      </c>
      <c r="BR130" s="21">
        <f>EXP(-LN(2)/2)*BR129+(1-EXP(-LN(2)/2))/(LN(2)/2)*BL130*BO130*VLOOKUP('Données projet'!$B$11,Paramètres!$A$1:$I$89,3,0)*0.475*44/12</f>
        <v>3.653308318255972E-3</v>
      </c>
      <c r="BS130" s="22">
        <f t="shared" si="63"/>
        <v>161.4357838123459</v>
      </c>
      <c r="BT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3.2</v>
      </c>
      <c r="BY130" s="12">
        <f>IF('Données projet'!$A$114&gt;35,BY129+BX130-CG129,IF(A130&lt;'Données projet'!$A$114,$BV$205^A130,IF(A130='Données projet'!$A$114,'Données projet'!$B$114,BY129+BX130-CG129)))</f>
        <v>290.39999999999918</v>
      </c>
      <c r="BZ130" s="13">
        <f>BY130*VLOOKUP('Données projet'!$B$12,Paramètres!$A$1:$I$89,3,0)*VLOOKUP('Données projet'!$B$12,Paramètres!$A$1:$I$89,5,0)</f>
        <v>276.34463999999923</v>
      </c>
      <c r="CA130" s="13">
        <f t="shared" si="93"/>
        <v>66.193936436046002</v>
      </c>
      <c r="CB130" s="20">
        <f t="shared" si="64"/>
        <v>596.5880206261121</v>
      </c>
      <c r="CC130" s="57">
        <f t="shared" si="65"/>
        <v>879.99037748518958</v>
      </c>
      <c r="CD130" s="57">
        <f ca="1">AVERAGE(OFFSET($CC$3,0,0,'Données projet'!$E$12+1,1))-AVERAGE(OFFSET($H$3,0,0,'Données projet'!$E$12+1,1))</f>
        <v>479.4551766174892</v>
      </c>
      <c r="CE130" s="57">
        <f t="shared" si="94"/>
        <v>260.29028006191834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-2.2737367544323206E-13</v>
      </c>
      <c r="CU130" s="17">
        <f>CT130*VLOOKUP('Données projet'!$B$13,Paramètres!$A$1:$I$89,3,0)*VLOOKUP('Données projet'!$B$13,Paramètres!$A$1:$I$89,5,0)</f>
        <v>-1.2710188457276673E-13</v>
      </c>
      <c r="CV130" s="13" t="e">
        <f t="shared" si="95"/>
        <v>#NUM!</v>
      </c>
      <c r="CW130" s="20" t="e">
        <f t="shared" si="67"/>
        <v>#NUM!</v>
      </c>
      <c r="CX130" s="57" t="e">
        <f t="shared" si="68"/>
        <v>#NUM!</v>
      </c>
      <c r="CY130" s="57">
        <f ca="1">AVERAGE(OFFSET($CX$3,0,0,'Données projet'!$E$13+1,1))-AVERAGE(OFFSET($H$3,0,0,'Données projet'!$E$13+1,1))</f>
        <v>459.83870442974046</v>
      </c>
      <c r="CZ130" s="57">
        <f t="shared" si="96"/>
        <v>565.68976940602215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68.656110636260863</v>
      </c>
      <c r="DG130" s="21">
        <f>EXP(-LN(2)/25)*DG129+(1-EXP(-LN(2)/25))/(LN(2)/25)*Calculateur!DB130*Calculateur!DD130*VLOOKUP('Données projet'!$B$13,Paramètres!$A$1:$I$89,3,0)*0.475*44/12</f>
        <v>10.052866170034669</v>
      </c>
      <c r="DH130" s="21">
        <f>EXP(-LN(2)/2)*DH129+(1-EXP(-LN(2)/2))/(LN(2)/2)*DB130*DE130*VLOOKUP('Données projet'!$B$13,Paramètres!$A$1:$I$89,3,0)*0.475*44/12</f>
        <v>4.636223339093412E-9</v>
      </c>
      <c r="DI130" s="22">
        <f t="shared" si="69"/>
        <v>78.708976810931759</v>
      </c>
      <c r="DJ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7" t="e">
        <f t="shared" si="71"/>
        <v>#NUM!</v>
      </c>
      <c r="DT130" s="57">
        <f ca="1">AVERAGE(OFFSET($DS$3,0,0,'Données projet'!$E$14+1,1))-AVERAGE(OFFSET($H$3,0,0,'Données projet'!$E$14+1,1))</f>
        <v>315.23504986325418</v>
      </c>
      <c r="DU130" s="57">
        <f t="shared" si="98"/>
        <v>350.52837099886688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37.308717989433617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37.308717989433617</v>
      </c>
      <c r="EE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3.800000000000002</v>
      </c>
      <c r="EJ130" s="12">
        <f>IF('Données projet'!$A$192&gt;35,EJ129+EI130-ER129,IF(A130&lt;'Données projet'!$A$192,$EG$205^A130,IF(A130='Données projet'!$A$192,'Données projet'!$B$192,EJ129+EI130-ER129)))</f>
        <v>167.79999999999981</v>
      </c>
      <c r="EK130" s="17">
        <f>EJ130*VLOOKUP('Données projet'!$B$15,Paramètres!$A$1:$I$89,3,0)*VLOOKUP('Données projet'!$B$15,Paramètres!$A$1:$I$89,5,0)</f>
        <v>162.29615999999984</v>
      </c>
      <c r="EL130" s="13">
        <f t="shared" si="99"/>
        <v>41.359990427678127</v>
      </c>
      <c r="EM130" s="20">
        <f t="shared" si="73"/>
        <v>354.70112866153909</v>
      </c>
      <c r="EN130" s="57">
        <f t="shared" si="74"/>
        <v>638.10348552061646</v>
      </c>
      <c r="EO130" s="57">
        <f ca="1">AVERAGE(OFFSET($EN$3,0,0,'Données projet'!$E$15+1,1))-AVERAGE(OFFSET($H$3,0,0,'Données projet'!$E$15+1,1))</f>
        <v>328.31200866623891</v>
      </c>
      <c r="EP130" s="57">
        <f t="shared" si="100"/>
        <v>195.52650232917446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42.797804146720125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42.797804146720125</v>
      </c>
      <c r="EZ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7" t="e">
        <f t="shared" si="77"/>
        <v>#NUM!</v>
      </c>
      <c r="FJ130" s="57">
        <f ca="1">AVERAGE(OFFSET($FI$3,0,0,'Données projet'!$E$16+1,1))-AVERAGE(OFFSET($H$3,0,0,'Données projet'!$E$16+1,1))</f>
        <v>142.88219003619457</v>
      </c>
      <c r="FK130" s="57">
        <f t="shared" si="102"/>
        <v>288.69704547625088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7.1904599437366139</v>
      </c>
      <c r="FR130" s="21">
        <f>EXP(-LN(2)/25)*FR129+(1-EXP(-LN(2)/25))/(LN(2)/25)*Calculateur!FM130*Calculateur!FO130*VLOOKUP('Données projet'!$B$16,Paramètres!$A$1:$I$89,3,0)*0.475*44/12</f>
        <v>0.84352031241381453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8.0339802561504285</v>
      </c>
      <c r="FU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7" t="e">
        <f t="shared" si="80"/>
        <v>#N/A</v>
      </c>
      <c r="GE130" s="57" t="e">
        <f ca="1">AVERAGE(OFFSET($GD$3,0,0,'Données projet'!$E$17+1,1))-AVERAGE(OFFSET($H$3,0,0,'Données projet'!$E$17+1,1))</f>
        <v>#N/A</v>
      </c>
      <c r="GF130" s="57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7" t="e">
        <f t="shared" si="83"/>
        <v>#N/A</v>
      </c>
      <c r="GZ130" s="57" t="e">
        <f ca="1">AVERAGE(OFFSET($GY$3,0,0,'Données projet'!$E$18+1,1))-AVERAGE(OFFSET($H$3,0,0,'Données projet'!$E$18+1,1))</f>
        <v>#N/A</v>
      </c>
      <c r="HA130" s="57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1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5">
        <f t="shared" si="56"/>
        <v>183.33333333333334</v>
      </c>
      <c r="I131" s="6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4</v>
      </c>
      <c r="N131" s="13">
        <f>IF('Données projet'!$A$36&gt;35,N130+M131-V130,IF(A131&lt;'Données projet'!$A$36,$K$205^A131,IF(A131='Données projet'!$A$36,'Données projet'!$B$36,N130+M131-V130)))</f>
        <v>315.99999999999983</v>
      </c>
      <c r="O131" s="13">
        <f>N131*VLOOKUP('Données projet'!$B$9,Paramètres!$A$1:$I$89,3,0)*VLOOKUP('Données projet'!$B$9,Paramètres!$A$1:$I$89,5,0)</f>
        <v>285.91679999999985</v>
      </c>
      <c r="P131" s="13">
        <f t="shared" si="87"/>
        <v>68.215872977287475</v>
      </c>
      <c r="Q131" s="20">
        <f t="shared" ref="Q131:Q153" si="108">(O131+P131)*0.475*44/12</f>
        <v>616.78107210210862</v>
      </c>
      <c r="R131" s="57">
        <f t="shared" ref="R131:R194" si="109">Q131+(I131+J131)*44/12</f>
        <v>900.35570920067721</v>
      </c>
      <c r="S131" s="57">
        <f ca="1">AVERAGE(OFFSET($R$3,0,0,'Données projet'!$E$9+1,1))-AVERAGE(OFFSET($H$3,0,0,'Données projet'!$E$9+1,1))</f>
        <v>539.63700256763173</v>
      </c>
      <c r="T131" s="57">
        <f t="shared" si="88"/>
        <v>297.32483725004136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4</v>
      </c>
      <c r="AI131" s="13">
        <f>IF('Données projet'!$A$62&gt;35,AI130+AH131-AQ130,IF(A131&lt;'Données projet'!$A$62,$AF$205^A131,IF(A131='Données projet'!$A$62,'Données projet'!$B$62,AI130+AH131-AQ130)))</f>
        <v>315.99999999999983</v>
      </c>
      <c r="AJ131" s="13">
        <f>AI131*VLOOKUP('Données projet'!$B$10,Paramètres!$A$1:$I$89,3,0)*VLOOKUP('Données projet'!$B$10,Paramètres!$A$1:$I$89,5,0)</f>
        <v>266.19839999999988</v>
      </c>
      <c r="AK131" s="13">
        <f t="shared" si="89"/>
        <v>64.041809198373215</v>
      </c>
      <c r="AL131" s="20">
        <f t="shared" si="58"/>
        <v>575.16836435383323</v>
      </c>
      <c r="AM131" s="57">
        <f t="shared" si="59"/>
        <v>858.74300145240181</v>
      </c>
      <c r="AN131" s="57">
        <f ca="1">AVERAGE(OFFSET($AM$3,0,0,'Données projet'!$E$10+1,1))-AVERAGE(OFFSET($H$3,0,0,'Données projet'!$E$10+1,1))</f>
        <v>508.21188526136734</v>
      </c>
      <c r="AO131" s="57">
        <f t="shared" si="90"/>
        <v>281.06176764290592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-1.064108801074326E-13</v>
      </c>
      <c r="BF131" s="13" t="e">
        <f t="shared" si="91"/>
        <v>#NUM!</v>
      </c>
      <c r="BG131" s="20" t="e">
        <f t="shared" si="61"/>
        <v>#NUM!</v>
      </c>
      <c r="BH131" s="57" t="e">
        <f t="shared" si="62"/>
        <v>#NUM!</v>
      </c>
      <c r="BI131" s="57">
        <f ca="1">AVERAGE(OFFSET($BH$3,0,0,'Données projet'!$E$11+1,1))-AVERAGE(OFFSET($H$3,0,0,'Données projet'!$E$11+1,1))</f>
        <v>449.50723280509311</v>
      </c>
      <c r="BJ131" s="57">
        <f t="shared" si="92"/>
        <v>281.26353650058275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133.86109091968629</v>
      </c>
      <c r="BQ131" s="21">
        <f>EXP(-LN(2)/25)*BQ130+(1-EXP(-LN(2)/25))/(LN(2)/25)*Calculateur!BL131*Calculateur!BN131*VLOOKUP('Données projet'!$B$11,Paramètres!$A$1:$I$89,3,0)*0.475*44/12</f>
        <v>24.212885462338782</v>
      </c>
      <c r="BR131" s="21">
        <f>EXP(-LN(2)/2)*BR130+(1-EXP(-LN(2)/2))/(LN(2)/2)*BL131*BO131*VLOOKUP('Données projet'!$B$11,Paramètres!$A$1:$I$89,3,0)*0.475*44/12</f>
        <v>2.5832790856040195E-3</v>
      </c>
      <c r="BS131" s="22">
        <f t="shared" si="63"/>
        <v>158.07655966111068</v>
      </c>
      <c r="BT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3.2</v>
      </c>
      <c r="BY131" s="12">
        <f>IF('Données projet'!$A$114&gt;35,BY130+BX131-CG130,IF(A131&lt;'Données projet'!$A$114,$BV$205^A131,IF(A131='Données projet'!$A$114,'Données projet'!$B$114,BY130+BX131-CG130)))</f>
        <v>293.59999999999917</v>
      </c>
      <c r="BZ131" s="13">
        <f>BY131*VLOOKUP('Données projet'!$B$12,Paramètres!$A$1:$I$89,3,0)*VLOOKUP('Données projet'!$B$12,Paramètres!$A$1:$I$89,5,0)</f>
        <v>279.38975999999923</v>
      </c>
      <c r="CA131" s="13">
        <f t="shared" si="93"/>
        <v>66.838031255702703</v>
      </c>
      <c r="CB131" s="20">
        <f t="shared" si="64"/>
        <v>603.01340310368084</v>
      </c>
      <c r="CC131" s="57">
        <f t="shared" si="65"/>
        <v>886.58804020224943</v>
      </c>
      <c r="CD131" s="57">
        <f ca="1">AVERAGE(OFFSET($CC$3,0,0,'Données projet'!$E$12+1,1))-AVERAGE(OFFSET($H$3,0,0,'Données projet'!$E$12+1,1))</f>
        <v>479.4551766174892</v>
      </c>
      <c r="CE131" s="57">
        <f t="shared" si="94"/>
        <v>260.29028006191834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-2.2737367544323206E-13</v>
      </c>
      <c r="CU131" s="17">
        <f>CT131*VLOOKUP('Données projet'!$B$13,Paramètres!$A$1:$I$89,3,0)*VLOOKUP('Données projet'!$B$13,Paramètres!$A$1:$I$89,5,0)</f>
        <v>-1.2710188457276673E-13</v>
      </c>
      <c r="CV131" s="13" t="e">
        <f t="shared" si="95"/>
        <v>#NUM!</v>
      </c>
      <c r="CW131" s="20" t="e">
        <f t="shared" si="67"/>
        <v>#NUM!</v>
      </c>
      <c r="CX131" s="57" t="e">
        <f t="shared" si="68"/>
        <v>#NUM!</v>
      </c>
      <c r="CY131" s="57">
        <f ca="1">AVERAGE(OFFSET($CX$3,0,0,'Données projet'!$E$13+1,1))-AVERAGE(OFFSET($H$3,0,0,'Données projet'!$E$13+1,1))</f>
        <v>459.83870442974046</v>
      </c>
      <c r="CZ131" s="57">
        <f t="shared" si="96"/>
        <v>565.68976940602215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67.309806182776356</v>
      </c>
      <c r="DG131" s="21">
        <f>EXP(-LN(2)/25)*DG130+(1-EXP(-LN(2)/25))/(LN(2)/25)*Calculateur!DB131*Calculateur!DD131*VLOOKUP('Données projet'!$B$13,Paramètres!$A$1:$I$89,3,0)*0.475*44/12</f>
        <v>9.7779700159578145</v>
      </c>
      <c r="DH131" s="21">
        <f>EXP(-LN(2)/2)*DH130+(1-EXP(-LN(2)/2))/(LN(2)/2)*DB131*DE131*VLOOKUP('Données projet'!$B$13,Paramètres!$A$1:$I$89,3,0)*0.475*44/12</f>
        <v>3.2783049621682901E-9</v>
      </c>
      <c r="DI131" s="22">
        <f t="shared" si="69"/>
        <v>77.087776202012478</v>
      </c>
      <c r="DJ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7" t="e">
        <f t="shared" si="71"/>
        <v>#NUM!</v>
      </c>
      <c r="DT131" s="57">
        <f ca="1">AVERAGE(OFFSET($DS$3,0,0,'Données projet'!$E$14+1,1))-AVERAGE(OFFSET($H$3,0,0,'Données projet'!$E$14+1,1))</f>
        <v>315.23504986325418</v>
      </c>
      <c r="DU131" s="57">
        <f t="shared" si="98"/>
        <v>350.52837099886688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36.577116785731825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36.577116785731825</v>
      </c>
      <c r="EE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3.800000000000002</v>
      </c>
      <c r="EJ131" s="12">
        <f>IF('Données projet'!$A$192&gt;35,EJ130+EI131-ER130,IF(A131&lt;'Données projet'!$A$192,$EG$205^A131,IF(A131='Données projet'!$A$192,'Données projet'!$B$192,EJ130+EI131-ER130)))</f>
        <v>171.59999999999982</v>
      </c>
      <c r="EK131" s="17">
        <f>EJ131*VLOOKUP('Données projet'!$B$15,Paramètres!$A$1:$I$89,3,0)*VLOOKUP('Données projet'!$B$15,Paramètres!$A$1:$I$89,5,0)</f>
        <v>165.97151999999986</v>
      </c>
      <c r="EL131" s="13">
        <f t="shared" si="99"/>
        <v>42.186522619819392</v>
      </c>
      <c r="EM131" s="20">
        <f t="shared" si="73"/>
        <v>362.54192422951854</v>
      </c>
      <c r="EN131" s="57">
        <f t="shared" si="74"/>
        <v>646.11656132808707</v>
      </c>
      <c r="EO131" s="57">
        <f ca="1">AVERAGE(OFFSET($EN$3,0,0,'Données projet'!$E$15+1,1))-AVERAGE(OFFSET($H$3,0,0,'Données projet'!$E$15+1,1))</f>
        <v>328.31200866623891</v>
      </c>
      <c r="EP131" s="57">
        <f t="shared" si="100"/>
        <v>195.52650232917446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41.958565311485906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41.958565311485906</v>
      </c>
      <c r="EZ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7" t="e">
        <f t="shared" si="77"/>
        <v>#NUM!</v>
      </c>
      <c r="FJ131" s="57">
        <f ca="1">AVERAGE(OFFSET($FI$3,0,0,'Données projet'!$E$16+1,1))-AVERAGE(OFFSET($H$3,0,0,'Données projet'!$E$16+1,1))</f>
        <v>142.88219003619457</v>
      </c>
      <c r="FK131" s="57">
        <f t="shared" si="102"/>
        <v>288.69704547625088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7.0494594099874481</v>
      </c>
      <c r="FR131" s="21">
        <f>EXP(-LN(2)/25)*FR130+(1-EXP(-LN(2)/25))/(LN(2)/25)*Calculateur!FM131*Calculateur!FO131*VLOOKUP('Données projet'!$B$16,Paramètres!$A$1:$I$89,3,0)*0.475*44/12</f>
        <v>0.82045420511205347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7.8699136150995015</v>
      </c>
      <c r="FU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7" t="e">
        <f t="shared" si="80"/>
        <v>#N/A</v>
      </c>
      <c r="GE131" s="57" t="e">
        <f ca="1">AVERAGE(OFFSET($GD$3,0,0,'Données projet'!$E$17+1,1))-AVERAGE(OFFSET($H$3,0,0,'Données projet'!$E$17+1,1))</f>
        <v>#N/A</v>
      </c>
      <c r="GF131" s="57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7" t="e">
        <f t="shared" si="83"/>
        <v>#N/A</v>
      </c>
      <c r="GZ131" s="57" t="e">
        <f ca="1">AVERAGE(OFFSET($GY$3,0,0,'Données projet'!$E$18+1,1))-AVERAGE(OFFSET($H$3,0,0,'Données projet'!$E$18+1,1))</f>
        <v>#N/A</v>
      </c>
      <c r="HA131" s="57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1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5">
        <f t="shared" ref="H132:H195" si="110">(B132+E132+F132)*44/12+(C132+D132)*0.475*44/12</f>
        <v>183.33333333333334</v>
      </c>
      <c r="I132" s="6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4</v>
      </c>
      <c r="N132" s="13">
        <f>IF('Données projet'!$A$36&gt;35,N131+M132-V131,IF(A132&lt;'Données projet'!$A$36,$K$205^A132,IF(A132='Données projet'!$A$36,'Données projet'!$B$36,N131+M132-V131)))</f>
        <v>319.99999999999983</v>
      </c>
      <c r="O132" s="13">
        <f>N132*VLOOKUP('Données projet'!$B$9,Paramètres!$A$1:$I$89,3,0)*VLOOKUP('Données projet'!$B$9,Paramètres!$A$1:$I$89,5,0)</f>
        <v>289.53599999999983</v>
      </c>
      <c r="P132" s="13">
        <f t="shared" si="87"/>
        <v>68.97829509904436</v>
      </c>
      <c r="Q132" s="20">
        <f t="shared" si="108"/>
        <v>624.41239729750191</v>
      </c>
      <c r="R132" s="57">
        <f t="shared" si="109"/>
        <v>908.15632595856732</v>
      </c>
      <c r="S132" s="57">
        <f ca="1">AVERAGE(OFFSET($R$3,0,0,'Données projet'!$E$9+1,1))-AVERAGE(OFFSET($H$3,0,0,'Données projet'!$E$9+1,1))</f>
        <v>539.63700256763173</v>
      </c>
      <c r="T132" s="57">
        <f t="shared" si="88"/>
        <v>297.32483725004136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4</v>
      </c>
      <c r="AI132" s="13">
        <f>IF('Données projet'!$A$62&gt;35,AI131+AH132-AQ131,IF(A132&lt;'Données projet'!$A$62,$AF$205^A132,IF(A132='Données projet'!$A$62,'Données projet'!$B$62,AI131+AH132-AQ131)))</f>
        <v>319.99999999999983</v>
      </c>
      <c r="AJ132" s="13">
        <f>AI132*VLOOKUP('Données projet'!$B$10,Paramètres!$A$1:$I$89,3,0)*VLOOKUP('Données projet'!$B$10,Paramètres!$A$1:$I$89,5,0)</f>
        <v>269.56799999999987</v>
      </c>
      <c r="AK132" s="13">
        <f t="shared" si="89"/>
        <v>64.757579442439805</v>
      </c>
      <c r="AL132" s="20">
        <f t="shared" ref="AL132:AL153" si="112">(AJ132+AK132)*0.475*44/12</f>
        <v>582.28371752891576</v>
      </c>
      <c r="AM132" s="57">
        <f t="shared" ref="AM132:AM195" si="113">AL132+(AD132+AE132)*44/12</f>
        <v>866.02764618998117</v>
      </c>
      <c r="AN132" s="57">
        <f ca="1">AVERAGE(OFFSET($AM$3,0,0,'Données projet'!$E$10+1,1))-AVERAGE(OFFSET($H$3,0,0,'Données projet'!$E$10+1,1))</f>
        <v>508.21188526136734</v>
      </c>
      <c r="AO132" s="57">
        <f t="shared" si="90"/>
        <v>281.06176764290592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-1.064108801074326E-13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7" t="e">
        <f t="shared" ref="BH132:BH195" si="116">BG132+(AY132+AZ132)*44/12</f>
        <v>#NUM!</v>
      </c>
      <c r="BI132" s="57">
        <f ca="1">AVERAGE(OFFSET($BH$3,0,0,'Données projet'!$E$11+1,1))-AVERAGE(OFFSET($H$3,0,0,'Données projet'!$E$11+1,1))</f>
        <v>449.50723280509311</v>
      </c>
      <c r="BJ132" s="57">
        <f t="shared" si="92"/>
        <v>281.26353650058275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131.2361565739547</v>
      </c>
      <c r="BQ132" s="21">
        <f>EXP(-LN(2)/25)*BQ131+(1-EXP(-LN(2)/25))/(LN(2)/25)*Calculateur!BL132*Calculateur!BN132*VLOOKUP('Données projet'!$B$11,Paramètres!$A$1:$I$89,3,0)*0.475*44/12</f>
        <v>23.55078283607082</v>
      </c>
      <c r="BR132" s="21">
        <f>EXP(-LN(2)/2)*BR131+(1-EXP(-LN(2)/2))/(LN(2)/2)*BL132*BO132*VLOOKUP('Données projet'!$B$11,Paramètres!$A$1:$I$89,3,0)*0.475*44/12</f>
        <v>1.826654159127986E-3</v>
      </c>
      <c r="BS132" s="22">
        <f t="shared" ref="BS132:BS153" si="117">SUM(BP132:BR132)</f>
        <v>154.78876606418464</v>
      </c>
      <c r="BT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3.2</v>
      </c>
      <c r="BY132" s="12">
        <f>IF('Données projet'!$A$114&gt;35,BY131+BX132-CG131,IF(A132&lt;'Données projet'!$A$114,$BV$205^A132,IF(A132='Données projet'!$A$114,'Données projet'!$B$114,BY131+BX132-CG131)))</f>
        <v>296.79999999999916</v>
      </c>
      <c r="BZ132" s="13">
        <f>BY132*VLOOKUP('Données projet'!$B$12,Paramètres!$A$1:$I$89,3,0)*VLOOKUP('Données projet'!$B$12,Paramètres!$A$1:$I$89,5,0)</f>
        <v>282.43487999999923</v>
      </c>
      <c r="CA132" s="13">
        <f t="shared" si="93"/>
        <v>67.481309435922114</v>
      </c>
      <c r="CB132" s="20">
        <f t="shared" ref="CB132:CB153" si="118">(BZ132+CA132)*0.475*44/12</f>
        <v>609.437363267563</v>
      </c>
      <c r="CC132" s="57">
        <f t="shared" ref="CC132:CC195" si="119">CB132+(BT132+BU132)*44/12</f>
        <v>893.1812919286283</v>
      </c>
      <c r="CD132" s="57">
        <f ca="1">AVERAGE(OFFSET($CC$3,0,0,'Données projet'!$E$12+1,1))-AVERAGE(OFFSET($H$3,0,0,'Données projet'!$E$12+1,1))</f>
        <v>479.4551766174892</v>
      </c>
      <c r="CE132" s="57">
        <f t="shared" si="94"/>
        <v>260.29028006191834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-2.2737367544323206E-13</v>
      </c>
      <c r="CU132" s="17">
        <f>CT132*VLOOKUP('Données projet'!$B$13,Paramètres!$A$1:$I$89,3,0)*VLOOKUP('Données projet'!$B$13,Paramètres!$A$1:$I$89,5,0)</f>
        <v>-1.2710188457276673E-13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7" t="e">
        <f t="shared" ref="CX132:CX195" si="122">CW132+(CO132+CP132)*44/12</f>
        <v>#NUM!</v>
      </c>
      <c r="CY132" s="57">
        <f ca="1">AVERAGE(OFFSET($CX$3,0,0,'Données projet'!$E$13+1,1))-AVERAGE(OFFSET($H$3,0,0,'Données projet'!$E$13+1,1))</f>
        <v>459.83870442974046</v>
      </c>
      <c r="CZ132" s="57">
        <f t="shared" si="96"/>
        <v>565.68976940602215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65.989901938460051</v>
      </c>
      <c r="DG132" s="21">
        <f>EXP(-LN(2)/25)*DG131+(1-EXP(-LN(2)/25))/(LN(2)/25)*Calculateur!DB132*Calculateur!DD132*VLOOKUP('Données projet'!$B$13,Paramètres!$A$1:$I$89,3,0)*0.475*44/12</f>
        <v>9.5105909116703522</v>
      </c>
      <c r="DH132" s="21">
        <f>EXP(-LN(2)/2)*DH131+(1-EXP(-LN(2)/2))/(LN(2)/2)*DB132*DE132*VLOOKUP('Données projet'!$B$13,Paramètres!$A$1:$I$89,3,0)*0.475*44/12</f>
        <v>2.318111669546706E-9</v>
      </c>
      <c r="DI132" s="22">
        <f t="shared" ref="DI132:DI153" si="123">SUM(DF132:DH132)</f>
        <v>75.500492852448517</v>
      </c>
      <c r="DJ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7" t="e">
        <f t="shared" ref="DS132:DS195" si="125">DR132+(DJ132+DK132)*44/12</f>
        <v>#NUM!</v>
      </c>
      <c r="DT132" s="57">
        <f ca="1">AVERAGE(OFFSET($DS$3,0,0,'Données projet'!$E$14+1,1))-AVERAGE(OFFSET($H$3,0,0,'Données projet'!$E$14+1,1))</f>
        <v>315.23504986325418</v>
      </c>
      <c r="DU132" s="57">
        <f t="shared" si="98"/>
        <v>350.52837099886688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35.859861835401951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35.859861835401951</v>
      </c>
      <c r="EE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3.800000000000002</v>
      </c>
      <c r="EJ132" s="12">
        <f>IF('Données projet'!$A$192&gt;35,EJ131+EI132-ER131,IF(A132&lt;'Données projet'!$A$192,$EG$205^A132,IF(A132='Données projet'!$A$192,'Données projet'!$B$192,EJ131+EI132-ER131)))</f>
        <v>175.39999999999984</v>
      </c>
      <c r="EK132" s="17">
        <f>EJ132*VLOOKUP('Données projet'!$B$15,Paramètres!$A$1:$I$89,3,0)*VLOOKUP('Données projet'!$B$15,Paramètres!$A$1:$I$89,5,0)</f>
        <v>169.64687999999984</v>
      </c>
      <c r="EL132" s="13">
        <f t="shared" si="99"/>
        <v>43.010926883703142</v>
      </c>
      <c r="EM132" s="20">
        <f t="shared" ref="EM132:EM153" si="127">(EK132+EL132)*0.475*44/12</f>
        <v>370.37901365578267</v>
      </c>
      <c r="EN132" s="57">
        <f t="shared" ref="EN132:EN195" si="128">EM132+(EE132+EF132)*44/12</f>
        <v>654.12294231684803</v>
      </c>
      <c r="EO132" s="57">
        <f ca="1">AVERAGE(OFFSET($EN$3,0,0,'Données projet'!$E$15+1,1))-AVERAGE(OFFSET($H$3,0,0,'Données projet'!$E$15+1,1))</f>
        <v>328.31200866623891</v>
      </c>
      <c r="EP132" s="57">
        <f t="shared" si="100"/>
        <v>195.52650232917446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41.13578343792549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41.13578343792549</v>
      </c>
      <c r="EZ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7" t="e">
        <f t="shared" ref="FI132:FI195" si="131">FH132+(EZ132+FA132)*44/12</f>
        <v>#NUM!</v>
      </c>
      <c r="FJ132" s="57">
        <f ca="1">AVERAGE(OFFSET($FI$3,0,0,'Données projet'!$E$16+1,1))-AVERAGE(OFFSET($H$3,0,0,'Données projet'!$E$16+1,1))</f>
        <v>142.88219003619457</v>
      </c>
      <c r="FK132" s="57">
        <f t="shared" si="102"/>
        <v>288.69704547625088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6.9112238107032695</v>
      </c>
      <c r="FR132" s="21">
        <f>EXP(-LN(2)/25)*FR131+(1-EXP(-LN(2)/25))/(LN(2)/25)*Calculateur!FM132*Calculateur!FO132*VLOOKUP('Données projet'!$B$16,Paramètres!$A$1:$I$89,3,0)*0.475*44/12</f>
        <v>0.79801884172745285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7.7092426524307225</v>
      </c>
      <c r="FU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7" t="e">
        <f t="shared" ref="GD132:GD195" si="134">GC132+(FU132+FV132)*44/12</f>
        <v>#N/A</v>
      </c>
      <c r="GE132" s="57" t="e">
        <f ca="1">AVERAGE(OFFSET($GD$3,0,0,'Données projet'!$E$17+1,1))-AVERAGE(OFFSET($H$3,0,0,'Données projet'!$E$17+1,1))</f>
        <v>#N/A</v>
      </c>
      <c r="GF132" s="57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7" t="e">
        <f t="shared" ref="GY132:GY195" si="137">GX132+(GP132+GQ132)*44/12</f>
        <v>#N/A</v>
      </c>
      <c r="GZ132" s="57" t="e">
        <f ca="1">AVERAGE(OFFSET($GY$3,0,0,'Données projet'!$E$18+1,1))-AVERAGE(OFFSET($H$3,0,0,'Données projet'!$E$18+1,1))</f>
        <v>#N/A</v>
      </c>
      <c r="HA132" s="57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1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5">
        <f t="shared" si="110"/>
        <v>183.33333333333334</v>
      </c>
      <c r="I133" s="6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4</v>
      </c>
      <c r="N133" s="13">
        <f>IF('Données projet'!$A$36&gt;35,N132+M133-V132,IF(A133&lt;'Données projet'!$A$36,$K$205^A133,IF(A133='Données projet'!$A$36,'Données projet'!$B$36,N132+M133-V132)))</f>
        <v>323.99999999999983</v>
      </c>
      <c r="O133" s="13">
        <f>N133*VLOOKUP('Données projet'!$B$9,Paramètres!$A$1:$I$89,3,0)*VLOOKUP('Données projet'!$B$9,Paramètres!$A$1:$I$89,5,0)</f>
        <v>293.15519999999987</v>
      </c>
      <c r="P133" s="13">
        <f t="shared" ref="P133:P196" si="141">EXP(-1.0587+0.8836*LN(O133)+0.284)</f>
        <v>69.739608672728551</v>
      </c>
      <c r="Q133" s="20">
        <f t="shared" si="108"/>
        <v>632.0417917716685</v>
      </c>
      <c r="R133" s="57">
        <f t="shared" si="109"/>
        <v>915.95207516510061</v>
      </c>
      <c r="S133" s="57">
        <f ca="1">AVERAGE(OFFSET($R$3,0,0,'Données projet'!$E$9+1,1))-AVERAGE(OFFSET($H$3,0,0,'Données projet'!$E$9+1,1))</f>
        <v>539.63700256763173</v>
      </c>
      <c r="T133" s="57">
        <f t="shared" ref="T133:T196" si="142">$T$3</f>
        <v>297.32483725004136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4</v>
      </c>
      <c r="AI133" s="13">
        <f>IF('Données projet'!$A$62&gt;35,AI132+AH133-AQ132,IF(A133&lt;'Données projet'!$A$62,$AF$205^A133,IF(A133='Données projet'!$A$62,'Données projet'!$B$62,AI132+AH133-AQ132)))</f>
        <v>323.99999999999983</v>
      </c>
      <c r="AJ133" s="13">
        <f>AI133*VLOOKUP('Données projet'!$B$10,Paramètres!$A$1:$I$89,3,0)*VLOOKUP('Données projet'!$B$10,Paramètres!$A$1:$I$89,5,0)</f>
        <v>272.93759999999986</v>
      </c>
      <c r="AK133" s="13">
        <f t="shared" ref="AK133:AK153" si="143">EXP(-1.0587+0.8836*LN(AJ133)+0.284)</f>
        <v>65.472308969426166</v>
      </c>
      <c r="AL133" s="20">
        <f t="shared" si="112"/>
        <v>589.39725812175027</v>
      </c>
      <c r="AM133" s="57">
        <f t="shared" si="113"/>
        <v>873.30754151518238</v>
      </c>
      <c r="AN133" s="57">
        <f ca="1">AVERAGE(OFFSET($AM$3,0,0,'Données projet'!$E$10+1,1))-AVERAGE(OFFSET($H$3,0,0,'Données projet'!$E$10+1,1))</f>
        <v>508.21188526136734</v>
      </c>
      <c r="AO133" s="57">
        <f t="shared" ref="AO133:AO196" si="144">$AO$3</f>
        <v>281.06176764290592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-1.064108801074326E-13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7" t="e">
        <f t="shared" si="116"/>
        <v>#NUM!</v>
      </c>
      <c r="BI133" s="57">
        <f ca="1">AVERAGE(OFFSET($BH$3,0,0,'Données projet'!$E$11+1,1))-AVERAGE(OFFSET($H$3,0,0,'Données projet'!$E$11+1,1))</f>
        <v>449.50723280509311</v>
      </c>
      <c r="BJ133" s="57">
        <f t="shared" ref="BJ133:BJ196" si="146">$BJ$3</f>
        <v>281.26353650058275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128.66269558969105</v>
      </c>
      <c r="BQ133" s="21">
        <f>EXP(-LN(2)/25)*BQ132+(1-EXP(-LN(2)/25))/(LN(2)/25)*Calculateur!BL133*Calculateur!BN133*VLOOKUP('Données projet'!$B$11,Paramètres!$A$1:$I$89,3,0)*0.475*44/12</f>
        <v>22.90678544093662</v>
      </c>
      <c r="BR133" s="21">
        <f>EXP(-LN(2)/2)*BR132+(1-EXP(-LN(2)/2))/(LN(2)/2)*BL133*BO133*VLOOKUP('Données projet'!$B$11,Paramètres!$A$1:$I$89,3,0)*0.475*44/12</f>
        <v>1.2916395428020097E-3</v>
      </c>
      <c r="BS133" s="22">
        <f t="shared" si="117"/>
        <v>151.5707726701705</v>
      </c>
      <c r="BT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300</v>
      </c>
      <c r="BW133" s="12">
        <f>VLOOKUP(A133,'Données projet'!$A$113:$I$133,9,0)</f>
        <v>3.2</v>
      </c>
      <c r="BX133" s="12">
        <f t="array" ref="BX133">INDEX(BW:BW,MIN(IF(ISNUMBER(BW133:BW329),ROW(BW133:BW329),"")))</f>
        <v>3.2</v>
      </c>
      <c r="BY133" s="12">
        <f>IF('Données projet'!$A$114&gt;35,BY132+BX133-CG132,IF(A133&lt;'Données projet'!$A$114,$BV$205^A133,IF(A133='Données projet'!$A$114,'Données projet'!$B$114,BY132+BX133-CG132)))</f>
        <v>299.99999999999915</v>
      </c>
      <c r="BZ133" s="13">
        <f>BY133*VLOOKUP('Données projet'!$B$12,Paramètres!$A$1:$I$89,3,0)*VLOOKUP('Données projet'!$B$12,Paramètres!$A$1:$I$89,5,0)</f>
        <v>285.47999999999922</v>
      </c>
      <c r="CA133" s="13">
        <f t="shared" ref="CA133:CA153" si="147">EXP(-1.0587+0.8836*LN(BZ133)+0.284)</f>
        <v>68.123780800530582</v>
      </c>
      <c r="CB133" s="20">
        <f t="shared" si="118"/>
        <v>615.85991822758945</v>
      </c>
      <c r="CC133" s="57">
        <f t="shared" si="119"/>
        <v>899.77020162102156</v>
      </c>
      <c r="CD133" s="57">
        <f ca="1">AVERAGE(OFFSET($CC$3,0,0,'Données projet'!$E$12+1,1))-AVERAGE(OFFSET($H$3,0,0,'Données projet'!$E$12+1,1))</f>
        <v>479.4551766174892</v>
      </c>
      <c r="CE133" s="57">
        <f t="shared" ref="CE133:CE196" si="148">$CE$3</f>
        <v>260.29028006191834</v>
      </c>
      <c r="CF133" s="15">
        <f>IF(ISNA(VLOOKUP(A133,'Données projet'!$A$113:$I$133,3,0)),0,VLOOKUP(A133,'Données projet'!$A$113:$I$133,3,0))</f>
        <v>18</v>
      </c>
      <c r="CG133" s="15">
        <f>IF(ISNA(VLOOKUP(A133,'Données projet'!$A$113:$I$133,4,0)),0,VLOOKUP(A133,'Données projet'!$A$113:$I$133,4,0))</f>
        <v>31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-2.2737367544323206E-13</v>
      </c>
      <c r="CU133" s="17">
        <f>CT133*VLOOKUP('Données projet'!$B$13,Paramètres!$A$1:$I$89,3,0)*VLOOKUP('Données projet'!$B$13,Paramètres!$A$1:$I$89,5,0)</f>
        <v>-1.2710188457276673E-13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7" t="e">
        <f t="shared" si="122"/>
        <v>#NUM!</v>
      </c>
      <c r="CY133" s="57">
        <f ca="1">AVERAGE(OFFSET($CX$3,0,0,'Données projet'!$E$13+1,1))-AVERAGE(OFFSET($H$3,0,0,'Données projet'!$E$13+1,1))</f>
        <v>459.83870442974046</v>
      </c>
      <c r="CZ133" s="57">
        <f t="shared" ref="CZ133:CZ196" si="150">$CZ$3</f>
        <v>565.68976940602215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64.695880211312684</v>
      </c>
      <c r="DG133" s="21">
        <f>EXP(-LN(2)/25)*DG132+(1-EXP(-LN(2)/25))/(LN(2)/25)*Calculateur!DB133*Calculateur!DD133*VLOOKUP('Données projet'!$B$13,Paramètres!$A$1:$I$89,3,0)*0.475*44/12</f>
        <v>9.2505233030504872</v>
      </c>
      <c r="DH133" s="21">
        <f>EXP(-LN(2)/2)*DH132+(1-EXP(-LN(2)/2))/(LN(2)/2)*DB133*DE133*VLOOKUP('Données projet'!$B$13,Paramètres!$A$1:$I$89,3,0)*0.475*44/12</f>
        <v>1.6391524810841451E-9</v>
      </c>
      <c r="DI133" s="22">
        <f t="shared" si="123"/>
        <v>73.94640351600232</v>
      </c>
      <c r="DJ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7" t="e">
        <f t="shared" si="125"/>
        <v>#NUM!</v>
      </c>
      <c r="DT133" s="57">
        <f ca="1">AVERAGE(OFFSET($DS$3,0,0,'Données projet'!$E$14+1,1))-AVERAGE(OFFSET($H$3,0,0,'Données projet'!$E$14+1,1))</f>
        <v>315.23504986325418</v>
      </c>
      <c r="DU133" s="57">
        <f t="shared" ref="DU133:DU196" si="152">$DU$3</f>
        <v>350.52837099886688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35.156671817165723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35.156671817165723</v>
      </c>
      <c r="EE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3.800000000000002</v>
      </c>
      <c r="EJ133" s="12">
        <f>IF('Données projet'!$A$192&gt;35,EJ132+EI133-ER132,IF(A133&lt;'Données projet'!$A$192,$EG$205^A133,IF(A133='Données projet'!$A$192,'Données projet'!$B$192,EJ132+EI133-ER132)))</f>
        <v>179.19999999999985</v>
      </c>
      <c r="EK133" s="17">
        <f>EJ133*VLOOKUP('Données projet'!$B$15,Paramètres!$A$1:$I$89,3,0)*VLOOKUP('Données projet'!$B$15,Paramètres!$A$1:$I$89,5,0)</f>
        <v>173.32223999999985</v>
      </c>
      <c r="EL133" s="13">
        <f t="shared" ref="EL133:EL153" si="153">EXP(-1.0587+0.8836*LN(EK133)+0.284)</f>
        <v>43.833254629845086</v>
      </c>
      <c r="EM133" s="20">
        <f t="shared" si="127"/>
        <v>378.2124864803132</v>
      </c>
      <c r="EN133" s="57">
        <f t="shared" si="128"/>
        <v>662.12276987374526</v>
      </c>
      <c r="EO133" s="57">
        <f ca="1">AVERAGE(OFFSET($EN$3,0,0,'Données projet'!$E$15+1,1))-AVERAGE(OFFSET($H$3,0,0,'Données projet'!$E$15+1,1))</f>
        <v>328.31200866623891</v>
      </c>
      <c r="EP133" s="57">
        <f t="shared" ref="EP133:EP196" si="154">$EP$3</f>
        <v>195.52650232917446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40.329135815058201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40.329135815058201</v>
      </c>
      <c r="EZ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7" t="e">
        <f t="shared" si="131"/>
        <v>#NUM!</v>
      </c>
      <c r="FJ133" s="57">
        <f ca="1">AVERAGE(OFFSET($FI$3,0,0,'Données projet'!$E$16+1,1))-AVERAGE(OFFSET($H$3,0,0,'Données projet'!$E$16+1,1))</f>
        <v>142.88219003619457</v>
      </c>
      <c r="FK133" s="57">
        <f t="shared" ref="FK133:FK196" si="156">$FK$3</f>
        <v>288.69704547625088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6.7756989272056636</v>
      </c>
      <c r="FR133" s="21">
        <f>EXP(-LN(2)/25)*FR132+(1-EXP(-LN(2)/25))/(LN(2)/25)*Calculateur!FM133*Calculateur!FO133*VLOOKUP('Données projet'!$B$16,Paramètres!$A$1:$I$89,3,0)*0.475*44/12</f>
        <v>0.77619697453442871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7.5518959017400924</v>
      </c>
      <c r="FU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7" t="e">
        <f t="shared" si="134"/>
        <v>#N/A</v>
      </c>
      <c r="GE133" s="57" t="e">
        <f ca="1">AVERAGE(OFFSET($GD$3,0,0,'Données projet'!$E$17+1,1))-AVERAGE(OFFSET($H$3,0,0,'Données projet'!$E$17+1,1))</f>
        <v>#N/A</v>
      </c>
      <c r="GF133" s="57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7" t="e">
        <f t="shared" si="137"/>
        <v>#N/A</v>
      </c>
      <c r="GZ133" s="57" t="e">
        <f ca="1">AVERAGE(OFFSET($GY$3,0,0,'Données projet'!$E$18+1,1))-AVERAGE(OFFSET($H$3,0,0,'Données projet'!$E$18+1,1))</f>
        <v>#N/A</v>
      </c>
      <c r="HA133" s="57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1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5">
        <f t="shared" si="110"/>
        <v>183.33333333333334</v>
      </c>
      <c r="I134" s="6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4</v>
      </c>
      <c r="N134" s="13">
        <f>IF('Données projet'!$A$36&gt;35,N133+M134-V133,IF(A134&lt;'Données projet'!$A$36,$K$205^A134,IF(A134='Données projet'!$A$36,'Données projet'!$B$36,N133+M134-V133)))</f>
        <v>327.99999999999983</v>
      </c>
      <c r="O134" s="13">
        <f>N134*VLOOKUP('Données projet'!$B$9,Paramètres!$A$1:$I$89,3,0)*VLOOKUP('Données projet'!$B$9,Paramètres!$A$1:$I$89,5,0)</f>
        <v>296.77439999999984</v>
      </c>
      <c r="P134" s="13">
        <f t="shared" si="141"/>
        <v>70.499828966950673</v>
      </c>
      <c r="Q134" s="20">
        <f t="shared" si="108"/>
        <v>639.6692821174388</v>
      </c>
      <c r="R134" s="57">
        <f t="shared" si="109"/>
        <v>923.74303436054447</v>
      </c>
      <c r="S134" s="57">
        <f ca="1">AVERAGE(OFFSET($R$3,0,0,'Données projet'!$E$9+1,1))-AVERAGE(OFFSET($H$3,0,0,'Données projet'!$E$9+1,1))</f>
        <v>539.63700256763173</v>
      </c>
      <c r="T134" s="57">
        <f t="shared" si="142"/>
        <v>297.32483725004136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4</v>
      </c>
      <c r="AI134" s="13">
        <f>IF('Données projet'!$A$62&gt;35,AI133+AH134-AQ133,IF(A134&lt;'Données projet'!$A$62,$AF$205^A134,IF(A134='Données projet'!$A$62,'Données projet'!$B$62,AI133+AH134-AQ133)))</f>
        <v>327.99999999999983</v>
      </c>
      <c r="AJ134" s="13">
        <f>AI134*VLOOKUP('Données projet'!$B$10,Paramètres!$A$1:$I$89,3,0)*VLOOKUP('Données projet'!$B$10,Paramètres!$A$1:$I$89,5,0)</f>
        <v>276.30719999999991</v>
      </c>
      <c r="AK134" s="13">
        <f t="shared" si="143"/>
        <v>66.186012113671126</v>
      </c>
      <c r="AL134" s="20">
        <f t="shared" si="112"/>
        <v>596.5090110979769</v>
      </c>
      <c r="AM134" s="57">
        <f t="shared" si="113"/>
        <v>880.58276334108268</v>
      </c>
      <c r="AN134" s="57">
        <f ca="1">AVERAGE(OFFSET($AM$3,0,0,'Données projet'!$E$10+1,1))-AVERAGE(OFFSET($H$3,0,0,'Données projet'!$E$10+1,1))</f>
        <v>508.21188526136734</v>
      </c>
      <c r="AO134" s="57">
        <f t="shared" si="144"/>
        <v>281.06176764290592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-1.064108801074326E-13</v>
      </c>
      <c r="BF134" s="13" t="e">
        <f t="shared" si="145"/>
        <v>#NUM!</v>
      </c>
      <c r="BG134" s="20" t="e">
        <f t="shared" si="115"/>
        <v>#NUM!</v>
      </c>
      <c r="BH134" s="57" t="e">
        <f t="shared" si="116"/>
        <v>#NUM!</v>
      </c>
      <c r="BI134" s="57">
        <f ca="1">AVERAGE(OFFSET($BH$3,0,0,'Données projet'!$E$11+1,1))-AVERAGE(OFFSET($H$3,0,0,'Données projet'!$E$11+1,1))</f>
        <v>449.50723280509311</v>
      </c>
      <c r="BJ134" s="57">
        <f t="shared" si="146"/>
        <v>281.26353650058275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126.13969860567261</v>
      </c>
      <c r="BQ134" s="21">
        <f>EXP(-LN(2)/25)*BQ133+(1-EXP(-LN(2)/25))/(LN(2)/25)*Calculateur!BL134*Calculateur!BN134*VLOOKUP('Données projet'!$B$11,Paramètres!$A$1:$I$89,3,0)*0.475*44/12</f>
        <v>22.280398188438717</v>
      </c>
      <c r="BR134" s="21">
        <f>EXP(-LN(2)/2)*BR133+(1-EXP(-LN(2)/2))/(LN(2)/2)*BL134*BO134*VLOOKUP('Données projet'!$B$11,Paramètres!$A$1:$I$89,3,0)*0.475*44/12</f>
        <v>9.13327079563993E-4</v>
      </c>
      <c r="BS134" s="22">
        <f t="shared" si="117"/>
        <v>148.42101012119087</v>
      </c>
      <c r="BT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2.7</v>
      </c>
      <c r="BY134" s="12">
        <f>IF('Données projet'!$A$114&gt;35,BY133+BX134-CG133,IF(A134&lt;'Données projet'!$A$114,$BV$205^A134,IF(A134='Données projet'!$A$114,'Données projet'!$B$114,BY133+BX134-CG133)))</f>
        <v>271.69999999999914</v>
      </c>
      <c r="BZ134" s="13">
        <f>BY134*VLOOKUP('Données projet'!$B$12,Paramètres!$A$1:$I$89,3,0)*VLOOKUP('Données projet'!$B$12,Paramètres!$A$1:$I$89,5,0)</f>
        <v>258.54971999999918</v>
      </c>
      <c r="CA134" s="13">
        <f t="shared" si="147"/>
        <v>62.413136298925998</v>
      </c>
      <c r="CB134" s="20">
        <f t="shared" si="118"/>
        <v>559.01030805396135</v>
      </c>
      <c r="CC134" s="57">
        <f t="shared" si="119"/>
        <v>843.08406029706703</v>
      </c>
      <c r="CD134" s="57">
        <f ca="1">AVERAGE(OFFSET($CC$3,0,0,'Données projet'!$E$12+1,1))-AVERAGE(OFFSET($H$3,0,0,'Données projet'!$E$12+1,1))</f>
        <v>479.4551766174892</v>
      </c>
      <c r="CE134" s="57">
        <f t="shared" si="148"/>
        <v>260.29028006191834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-2.2737367544323206E-13</v>
      </c>
      <c r="CU134" s="17">
        <f>CT134*VLOOKUP('Données projet'!$B$13,Paramètres!$A$1:$I$89,3,0)*VLOOKUP('Données projet'!$B$13,Paramètres!$A$1:$I$89,5,0)</f>
        <v>-1.2710188457276673E-13</v>
      </c>
      <c r="CV134" s="13" t="e">
        <f t="shared" si="149"/>
        <v>#NUM!</v>
      </c>
      <c r="CW134" s="20" t="e">
        <f t="shared" si="121"/>
        <v>#NUM!</v>
      </c>
      <c r="CX134" s="57" t="e">
        <f t="shared" si="122"/>
        <v>#NUM!</v>
      </c>
      <c r="CY134" s="57">
        <f ca="1">AVERAGE(OFFSET($CX$3,0,0,'Données projet'!$E$13+1,1))-AVERAGE(OFFSET($H$3,0,0,'Données projet'!$E$13+1,1))</f>
        <v>459.83870442974046</v>
      </c>
      <c r="CZ134" s="57">
        <f t="shared" si="150"/>
        <v>565.68976940602215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63.427233460959364</v>
      </c>
      <c r="DG134" s="21">
        <f>EXP(-LN(2)/25)*DG133+(1-EXP(-LN(2)/25))/(LN(2)/25)*Calculateur!DB134*Calculateur!DD134*VLOOKUP('Données projet'!$B$13,Paramètres!$A$1:$I$89,3,0)*0.475*44/12</f>
        <v>8.9975672568646932</v>
      </c>
      <c r="DH134" s="21">
        <f>EXP(-LN(2)/2)*DH133+(1-EXP(-LN(2)/2))/(LN(2)/2)*DB134*DE134*VLOOKUP('Données projet'!$B$13,Paramètres!$A$1:$I$89,3,0)*0.475*44/12</f>
        <v>1.159055834773353E-9</v>
      </c>
      <c r="DI134" s="22">
        <f t="shared" si="123"/>
        <v>72.424800718983107</v>
      </c>
      <c r="DJ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7" t="e">
        <f t="shared" si="125"/>
        <v>#NUM!</v>
      </c>
      <c r="DT134" s="57">
        <f ca="1">AVERAGE(OFFSET($DS$3,0,0,'Données projet'!$E$14+1,1))-AVERAGE(OFFSET($H$3,0,0,'Données projet'!$E$14+1,1))</f>
        <v>315.23504986325418</v>
      </c>
      <c r="DU134" s="57">
        <f t="shared" si="152"/>
        <v>350.52837099886688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34.467270926283547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34.467270926283547</v>
      </c>
      <c r="EE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3.800000000000002</v>
      </c>
      <c r="EJ134" s="12">
        <f>IF('Données projet'!$A$192&gt;35,EJ133+EI134-ER133,IF(A134&lt;'Données projet'!$A$192,$EG$205^A134,IF(A134='Données projet'!$A$192,'Données projet'!$B$192,EJ133+EI134-ER133)))</f>
        <v>182.99999999999986</v>
      </c>
      <c r="EK134" s="17">
        <f>EJ134*VLOOKUP('Données projet'!$B$15,Paramètres!$A$1:$I$89,3,0)*VLOOKUP('Données projet'!$B$15,Paramètres!$A$1:$I$89,5,0)</f>
        <v>176.99759999999986</v>
      </c>
      <c r="EL134" s="13">
        <f t="shared" si="153"/>
        <v>44.653554963834011</v>
      </c>
      <c r="EM134" s="20">
        <f t="shared" si="127"/>
        <v>386.04242822867735</v>
      </c>
      <c r="EN134" s="57">
        <f t="shared" si="128"/>
        <v>670.11618047178308</v>
      </c>
      <c r="EO134" s="57">
        <f ca="1">AVERAGE(OFFSET($EN$3,0,0,'Données projet'!$E$15+1,1))-AVERAGE(OFFSET($H$3,0,0,'Données projet'!$E$15+1,1))</f>
        <v>328.31200866623891</v>
      </c>
      <c r="EP134" s="57">
        <f t="shared" si="154"/>
        <v>195.52650232917446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39.538306060068869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39.538306060068869</v>
      </c>
      <c r="EZ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7" t="e">
        <f t="shared" si="131"/>
        <v>#NUM!</v>
      </c>
      <c r="FJ134" s="57">
        <f ca="1">AVERAGE(OFFSET($FI$3,0,0,'Données projet'!$E$16+1,1))-AVERAGE(OFFSET($H$3,0,0,'Données projet'!$E$16+1,1))</f>
        <v>142.88219003619457</v>
      </c>
      <c r="FK134" s="57">
        <f t="shared" si="156"/>
        <v>288.69704547625088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6.6428316040114295</v>
      </c>
      <c r="FR134" s="21">
        <f>EXP(-LN(2)/25)*FR133+(1-EXP(-LN(2)/25))/(LN(2)/25)*Calculateur!FM134*Calculateur!FO134*VLOOKUP('Données projet'!$B$16,Paramètres!$A$1:$I$89,3,0)*0.475*44/12</f>
        <v>0.75497182744735991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7.3978034314587893</v>
      </c>
      <c r="FU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7" t="e">
        <f t="shared" si="134"/>
        <v>#N/A</v>
      </c>
      <c r="GE134" s="57" t="e">
        <f ca="1">AVERAGE(OFFSET($GD$3,0,0,'Données projet'!$E$17+1,1))-AVERAGE(OFFSET($H$3,0,0,'Données projet'!$E$17+1,1))</f>
        <v>#N/A</v>
      </c>
      <c r="GF134" s="57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7" t="e">
        <f t="shared" si="137"/>
        <v>#N/A</v>
      </c>
      <c r="GZ134" s="57" t="e">
        <f ca="1">AVERAGE(OFFSET($GY$3,0,0,'Données projet'!$E$18+1,1))-AVERAGE(OFFSET($H$3,0,0,'Données projet'!$E$18+1,1))</f>
        <v>#N/A</v>
      </c>
      <c r="HA134" s="57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1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5">
        <f t="shared" si="110"/>
        <v>183.33333333333334</v>
      </c>
      <c r="I135" s="6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4</v>
      </c>
      <c r="N135" s="13">
        <f>IF('Données projet'!$A$36&gt;35,N134+M135-V134,IF(A135&lt;'Données projet'!$A$36,$K$205^A135,IF(A135='Données projet'!$A$36,'Données projet'!$B$36,N134+M135-V134)))</f>
        <v>331.99999999999983</v>
      </c>
      <c r="O135" s="13">
        <f>N135*VLOOKUP('Données projet'!$B$9,Paramètres!$A$1:$I$89,3,0)*VLOOKUP('Données projet'!$B$9,Paramètres!$A$1:$I$89,5,0)</f>
        <v>300.39359999999982</v>
      </c>
      <c r="P135" s="13">
        <f t="shared" si="141"/>
        <v>71.258970856492667</v>
      </c>
      <c r="Q135" s="20">
        <f t="shared" si="108"/>
        <v>647.29489424172436</v>
      </c>
      <c r="R135" s="57">
        <f t="shared" si="109"/>
        <v>931.52927951542347</v>
      </c>
      <c r="S135" s="57">
        <f ca="1">AVERAGE(OFFSET($R$3,0,0,'Données projet'!$E$9+1,1))-AVERAGE(OFFSET($H$3,0,0,'Données projet'!$E$9+1,1))</f>
        <v>539.63700256763173</v>
      </c>
      <c r="T135" s="57">
        <f t="shared" si="142"/>
        <v>297.32483725004136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4</v>
      </c>
      <c r="AI135" s="13">
        <f>IF('Données projet'!$A$62&gt;35,AI134+AH135-AQ134,IF(A135&lt;'Données projet'!$A$62,$AF$205^A135,IF(A135='Données projet'!$A$62,'Données projet'!$B$62,AI134+AH135-AQ134)))</f>
        <v>331.99999999999983</v>
      </c>
      <c r="AJ135" s="13">
        <f>AI135*VLOOKUP('Données projet'!$B$10,Paramètres!$A$1:$I$89,3,0)*VLOOKUP('Données projet'!$B$10,Paramètres!$A$1:$I$89,5,0)</f>
        <v>279.6767999999999</v>
      </c>
      <c r="AK135" s="13">
        <f t="shared" si="143"/>
        <v>66.898702839783041</v>
      </c>
      <c r="AL135" s="20">
        <f t="shared" si="112"/>
        <v>603.61900077928851</v>
      </c>
      <c r="AM135" s="57">
        <f t="shared" si="113"/>
        <v>887.85338605298762</v>
      </c>
      <c r="AN135" s="57">
        <f ca="1">AVERAGE(OFFSET($AM$3,0,0,'Données projet'!$E$10+1,1))-AVERAGE(OFFSET($H$3,0,0,'Données projet'!$E$10+1,1))</f>
        <v>508.21188526136734</v>
      </c>
      <c r="AO135" s="57">
        <f t="shared" si="144"/>
        <v>281.06176764290592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-1.064108801074326E-13</v>
      </c>
      <c r="BF135" s="13" t="e">
        <f t="shared" si="145"/>
        <v>#NUM!</v>
      </c>
      <c r="BG135" s="20" t="e">
        <f t="shared" si="115"/>
        <v>#NUM!</v>
      </c>
      <c r="BH135" s="57" t="e">
        <f t="shared" si="116"/>
        <v>#NUM!</v>
      </c>
      <c r="BI135" s="57">
        <f ca="1">AVERAGE(OFFSET($BH$3,0,0,'Données projet'!$E$11+1,1))-AVERAGE(OFFSET($H$3,0,0,'Données projet'!$E$11+1,1))</f>
        <v>449.50723280509311</v>
      </c>
      <c r="BJ135" s="57">
        <f t="shared" si="146"/>
        <v>281.26353650058275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123.66617605363456</v>
      </c>
      <c r="BQ135" s="21">
        <f>EXP(-LN(2)/25)*BQ134+(1-EXP(-LN(2)/25))/(LN(2)/25)*Calculateur!BL135*Calculateur!BN135*VLOOKUP('Données projet'!$B$11,Paramètres!$A$1:$I$89,3,0)*0.475*44/12</f>
        <v>21.671139528300642</v>
      </c>
      <c r="BR135" s="21">
        <f>EXP(-LN(2)/2)*BR134+(1-EXP(-LN(2)/2))/(LN(2)/2)*BL135*BO135*VLOOKUP('Données projet'!$B$11,Paramètres!$A$1:$I$89,3,0)*0.475*44/12</f>
        <v>6.4581977140100487E-4</v>
      </c>
      <c r="BS135" s="22">
        <f t="shared" si="117"/>
        <v>145.33796140170659</v>
      </c>
      <c r="BT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2.7</v>
      </c>
      <c r="BY135" s="12">
        <f>IF('Données projet'!$A$114&gt;35,BY134+BX135-CG134,IF(A135&lt;'Données projet'!$A$114,$BV$205^A135,IF(A135='Données projet'!$A$114,'Données projet'!$B$114,BY134+BX135-CG134)))</f>
        <v>274.39999999999912</v>
      </c>
      <c r="BZ135" s="13">
        <f>BY135*VLOOKUP('Données projet'!$B$12,Paramètres!$A$1:$I$89,3,0)*VLOOKUP('Données projet'!$B$12,Paramètres!$A$1:$I$89,5,0)</f>
        <v>261.11903999999919</v>
      </c>
      <c r="CA135" s="13">
        <f t="shared" si="147"/>
        <v>62.960852407139463</v>
      </c>
      <c r="CB135" s="20">
        <f t="shared" si="118"/>
        <v>564.43914594243313</v>
      </c>
      <c r="CC135" s="57">
        <f t="shared" si="119"/>
        <v>848.67353121613223</v>
      </c>
      <c r="CD135" s="57">
        <f ca="1">AVERAGE(OFFSET($CC$3,0,0,'Données projet'!$E$12+1,1))-AVERAGE(OFFSET($H$3,0,0,'Données projet'!$E$12+1,1))</f>
        <v>479.4551766174892</v>
      </c>
      <c r="CE135" s="57">
        <f t="shared" si="148"/>
        <v>260.29028006191834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-2.2737367544323206E-13</v>
      </c>
      <c r="CU135" s="17">
        <f>CT135*VLOOKUP('Données projet'!$B$13,Paramètres!$A$1:$I$89,3,0)*VLOOKUP('Données projet'!$B$13,Paramètres!$A$1:$I$89,5,0)</f>
        <v>-1.2710188457276673E-13</v>
      </c>
      <c r="CV135" s="13" t="e">
        <f t="shared" si="149"/>
        <v>#NUM!</v>
      </c>
      <c r="CW135" s="20" t="e">
        <f t="shared" si="121"/>
        <v>#NUM!</v>
      </c>
      <c r="CX135" s="57" t="e">
        <f t="shared" si="122"/>
        <v>#NUM!</v>
      </c>
      <c r="CY135" s="57">
        <f ca="1">AVERAGE(OFFSET($CX$3,0,0,'Données projet'!$E$13+1,1))-AVERAGE(OFFSET($H$3,0,0,'Données projet'!$E$13+1,1))</f>
        <v>459.83870442974046</v>
      </c>
      <c r="CZ135" s="57">
        <f t="shared" si="150"/>
        <v>565.68976940602215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62.183464099582359</v>
      </c>
      <c r="DG135" s="21">
        <f>EXP(-LN(2)/25)*DG134+(1-EXP(-LN(2)/25))/(LN(2)/25)*Calculateur!DB135*Calculateur!DD135*VLOOKUP('Données projet'!$B$13,Paramètres!$A$1:$I$89,3,0)*0.475*44/12</f>
        <v>8.7515283070642305</v>
      </c>
      <c r="DH135" s="21">
        <f>EXP(-LN(2)/2)*DH134+(1-EXP(-LN(2)/2))/(LN(2)/2)*DB135*DE135*VLOOKUP('Données projet'!$B$13,Paramètres!$A$1:$I$89,3,0)*0.475*44/12</f>
        <v>8.1957624054207253E-10</v>
      </c>
      <c r="DI135" s="22">
        <f t="shared" si="123"/>
        <v>70.934992407466169</v>
      </c>
      <c r="DJ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7" t="e">
        <f t="shared" si="125"/>
        <v>#NUM!</v>
      </c>
      <c r="DT135" s="57">
        <f ca="1">AVERAGE(OFFSET($DS$3,0,0,'Données projet'!$E$14+1,1))-AVERAGE(OFFSET($H$3,0,0,'Données projet'!$E$14+1,1))</f>
        <v>315.23504986325418</v>
      </c>
      <c r="DU135" s="57">
        <f t="shared" si="152"/>
        <v>350.52837099886688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33.791388766378546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33.791388766378546</v>
      </c>
      <c r="EE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3.800000000000002</v>
      </c>
      <c r="EJ135" s="12">
        <f>IF('Données projet'!$A$192&gt;35,EJ134+EI135-ER134,IF(A135&lt;'Données projet'!$A$192,$EG$205^A135,IF(A135='Données projet'!$A$192,'Données projet'!$B$192,EJ134+EI135-ER134)))</f>
        <v>186.79999999999987</v>
      </c>
      <c r="EK135" s="17">
        <f>EJ135*VLOOKUP('Données projet'!$B$15,Paramètres!$A$1:$I$89,3,0)*VLOOKUP('Données projet'!$B$15,Paramètres!$A$1:$I$89,5,0)</f>
        <v>180.67295999999988</v>
      </c>
      <c r="EL135" s="13">
        <f t="shared" si="153"/>
        <v>45.471874835351159</v>
      </c>
      <c r="EM135" s="20">
        <f t="shared" si="127"/>
        <v>393.8689206715697</v>
      </c>
      <c r="EN135" s="57">
        <f t="shared" si="128"/>
        <v>678.10330594526886</v>
      </c>
      <c r="EO135" s="57">
        <f ca="1">AVERAGE(OFFSET($EN$3,0,0,'Données projet'!$E$15+1,1))-AVERAGE(OFFSET($H$3,0,0,'Données projet'!$E$15+1,1))</f>
        <v>328.31200866623891</v>
      </c>
      <c r="EP135" s="57">
        <f t="shared" si="154"/>
        <v>195.52650232917446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38.762983994216363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38.762983994216363</v>
      </c>
      <c r="EZ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7" t="e">
        <f t="shared" si="131"/>
        <v>#NUM!</v>
      </c>
      <c r="FJ135" s="57">
        <f ca="1">AVERAGE(OFFSET($FI$3,0,0,'Données projet'!$E$16+1,1))-AVERAGE(OFFSET($H$3,0,0,'Données projet'!$E$16+1,1))</f>
        <v>142.88219003619457</v>
      </c>
      <c r="FK135" s="57">
        <f t="shared" si="156"/>
        <v>288.69704547625088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6.5125697279839692</v>
      </c>
      <c r="FR135" s="21">
        <f>EXP(-LN(2)/25)*FR134+(1-EXP(-LN(2)/25))/(LN(2)/25)*Calculateur!FM135*Calculateur!FO135*VLOOKUP('Données projet'!$B$16,Paramètres!$A$1:$I$89,3,0)*0.475*44/12</f>
        <v>0.73432708312356898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7.246896811107538</v>
      </c>
      <c r="FU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7" t="e">
        <f t="shared" si="134"/>
        <v>#N/A</v>
      </c>
      <c r="GE135" s="57" t="e">
        <f ca="1">AVERAGE(OFFSET($GD$3,0,0,'Données projet'!$E$17+1,1))-AVERAGE(OFFSET($H$3,0,0,'Données projet'!$E$17+1,1))</f>
        <v>#N/A</v>
      </c>
      <c r="GF135" s="57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7" t="e">
        <f t="shared" si="137"/>
        <v>#N/A</v>
      </c>
      <c r="GZ135" s="57" t="e">
        <f ca="1">AVERAGE(OFFSET($GY$3,0,0,'Données projet'!$E$18+1,1))-AVERAGE(OFFSET($H$3,0,0,'Données projet'!$E$18+1,1))</f>
        <v>#N/A</v>
      </c>
      <c r="HA135" s="57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1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5">
        <f t="shared" si="110"/>
        <v>183.33333333333334</v>
      </c>
      <c r="I136" s="6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4</v>
      </c>
      <c r="N136" s="13">
        <f>IF('Données projet'!$A$36&gt;35,N135+M136-V135,IF(A136&lt;'Données projet'!$A$36,$K$205^A136,IF(A136='Données projet'!$A$36,'Données projet'!$B$36,N135+M136-V135)))</f>
        <v>335.99999999999983</v>
      </c>
      <c r="O136" s="13">
        <f>N136*VLOOKUP('Données projet'!$B$9,Paramètres!$A$1:$I$89,3,0)*VLOOKUP('Données projet'!$B$9,Paramètres!$A$1:$I$89,5,0)</f>
        <v>304.0127999999998</v>
      </c>
      <c r="P136" s="13">
        <f t="shared" si="141"/>
        <v>72.017048837085824</v>
      </c>
      <c r="Q136" s="20">
        <f t="shared" si="108"/>
        <v>654.91865339125741</v>
      </c>
      <c r="R136" s="57">
        <f t="shared" si="109"/>
        <v>939.31088507159075</v>
      </c>
      <c r="S136" s="57">
        <f ca="1">AVERAGE(OFFSET($R$3,0,0,'Données projet'!$E$9+1,1))-AVERAGE(OFFSET($H$3,0,0,'Données projet'!$E$9+1,1))</f>
        <v>539.63700256763173</v>
      </c>
      <c r="T136" s="57">
        <f t="shared" si="142"/>
        <v>297.32483725004136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4</v>
      </c>
      <c r="AI136" s="13">
        <f>IF('Données projet'!$A$62&gt;35,AI135+AH136-AQ135,IF(A136&lt;'Données projet'!$A$62,$AF$205^A136,IF(A136='Données projet'!$A$62,'Données projet'!$B$62,AI135+AH136-AQ135)))</f>
        <v>335.99999999999983</v>
      </c>
      <c r="AJ136" s="13">
        <f>AI136*VLOOKUP('Données projet'!$B$10,Paramètres!$A$1:$I$89,3,0)*VLOOKUP('Données projet'!$B$10,Paramètres!$A$1:$I$89,5,0)</f>
        <v>283.04639999999989</v>
      </c>
      <c r="AK136" s="13">
        <f t="shared" si="143"/>
        <v>67.610394756513259</v>
      </c>
      <c r="AL136" s="20">
        <f t="shared" si="112"/>
        <v>610.72725086759363</v>
      </c>
      <c r="AM136" s="57">
        <f t="shared" si="113"/>
        <v>895.11948254792696</v>
      </c>
      <c r="AN136" s="57">
        <f ca="1">AVERAGE(OFFSET($AM$3,0,0,'Données projet'!$E$10+1,1))-AVERAGE(OFFSET($H$3,0,0,'Données projet'!$E$10+1,1))</f>
        <v>508.21188526136734</v>
      </c>
      <c r="AO136" s="57">
        <f t="shared" si="144"/>
        <v>281.06176764290592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-1.064108801074326E-13</v>
      </c>
      <c r="BF136" s="13" t="e">
        <f t="shared" si="145"/>
        <v>#NUM!</v>
      </c>
      <c r="BG136" s="20" t="e">
        <f t="shared" si="115"/>
        <v>#NUM!</v>
      </c>
      <c r="BH136" s="57" t="e">
        <f t="shared" si="116"/>
        <v>#NUM!</v>
      </c>
      <c r="BI136" s="57">
        <f ca="1">AVERAGE(OFFSET($BH$3,0,0,'Données projet'!$E$11+1,1))-AVERAGE(OFFSET($H$3,0,0,'Données projet'!$E$11+1,1))</f>
        <v>449.50723280509311</v>
      </c>
      <c r="BJ136" s="57">
        <f t="shared" si="146"/>
        <v>281.26353650058275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121.24115777014219</v>
      </c>
      <c r="BQ136" s="21">
        <f>EXP(-LN(2)/25)*BQ135+(1-EXP(-LN(2)/25))/(LN(2)/25)*Calculateur!BL136*Calculateur!BN136*VLOOKUP('Données projet'!$B$11,Paramètres!$A$1:$I$89,3,0)*0.475*44/12</f>
        <v>21.078541078263562</v>
      </c>
      <c r="BR136" s="21">
        <f>EXP(-LN(2)/2)*BR135+(1-EXP(-LN(2)/2))/(LN(2)/2)*BL136*BO136*VLOOKUP('Données projet'!$B$11,Paramètres!$A$1:$I$89,3,0)*0.475*44/12</f>
        <v>4.566635397819965E-4</v>
      </c>
      <c r="BS136" s="22">
        <f t="shared" si="117"/>
        <v>142.32015551194553</v>
      </c>
      <c r="BT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2.7</v>
      </c>
      <c r="BY136" s="12">
        <f>IF('Données projet'!$A$114&gt;35,BY135+BX136-CG135,IF(A136&lt;'Données projet'!$A$114,$BV$205^A136,IF(A136='Données projet'!$A$114,'Données projet'!$B$114,BY135+BX136-CG135)))</f>
        <v>277.09999999999911</v>
      </c>
      <c r="BZ136" s="13">
        <f>BY136*VLOOKUP('Données projet'!$B$12,Paramètres!$A$1:$I$89,3,0)*VLOOKUP('Données projet'!$B$12,Paramètres!$A$1:$I$89,5,0)</f>
        <v>263.68835999999919</v>
      </c>
      <c r="CA136" s="13">
        <f t="shared" si="147"/>
        <v>63.507941545180344</v>
      </c>
      <c r="CB136" s="20">
        <f t="shared" si="118"/>
        <v>569.8668918578544</v>
      </c>
      <c r="CC136" s="57">
        <f t="shared" si="119"/>
        <v>854.25912353818785</v>
      </c>
      <c r="CD136" s="57">
        <f ca="1">AVERAGE(OFFSET($CC$3,0,0,'Données projet'!$E$12+1,1))-AVERAGE(OFFSET($H$3,0,0,'Données projet'!$E$12+1,1))</f>
        <v>479.4551766174892</v>
      </c>
      <c r="CE136" s="57">
        <f t="shared" si="148"/>
        <v>260.29028006191834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-2.2737367544323206E-13</v>
      </c>
      <c r="CU136" s="17">
        <f>CT136*VLOOKUP('Données projet'!$B$13,Paramètres!$A$1:$I$89,3,0)*VLOOKUP('Données projet'!$B$13,Paramètres!$A$1:$I$89,5,0)</f>
        <v>-1.2710188457276673E-13</v>
      </c>
      <c r="CV136" s="13" t="e">
        <f t="shared" si="149"/>
        <v>#NUM!</v>
      </c>
      <c r="CW136" s="20" t="e">
        <f t="shared" si="121"/>
        <v>#NUM!</v>
      </c>
      <c r="CX136" s="57" t="e">
        <f t="shared" si="122"/>
        <v>#NUM!</v>
      </c>
      <c r="CY136" s="57">
        <f ca="1">AVERAGE(OFFSET($CX$3,0,0,'Données projet'!$E$13+1,1))-AVERAGE(OFFSET($H$3,0,0,'Données projet'!$E$13+1,1))</f>
        <v>459.83870442974046</v>
      </c>
      <c r="CZ136" s="57">
        <f t="shared" si="150"/>
        <v>565.68976940602215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60.964084296757555</v>
      </c>
      <c r="DG136" s="21">
        <f>EXP(-LN(2)/25)*DG135+(1-EXP(-LN(2)/25))/(LN(2)/25)*Calculateur!DB136*Calculateur!DD136*VLOOKUP('Données projet'!$B$13,Paramètres!$A$1:$I$89,3,0)*0.475*44/12</f>
        <v>8.5122173052846879</v>
      </c>
      <c r="DH136" s="21">
        <f>EXP(-LN(2)/2)*DH135+(1-EXP(-LN(2)/2))/(LN(2)/2)*DB136*DE136*VLOOKUP('Données projet'!$B$13,Paramètres!$A$1:$I$89,3,0)*0.475*44/12</f>
        <v>5.7952791738667651E-10</v>
      </c>
      <c r="DI136" s="22">
        <f t="shared" si="123"/>
        <v>69.476301602621774</v>
      </c>
      <c r="DJ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7" t="e">
        <f t="shared" si="125"/>
        <v>#NUM!</v>
      </c>
      <c r="DT136" s="57">
        <f ca="1">AVERAGE(OFFSET($DS$3,0,0,'Données projet'!$E$14+1,1))-AVERAGE(OFFSET($H$3,0,0,'Données projet'!$E$14+1,1))</f>
        <v>315.23504986325418</v>
      </c>
      <c r="DU136" s="57">
        <f t="shared" si="152"/>
        <v>350.52837099886688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33.128760243381869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33.128760243381869</v>
      </c>
      <c r="EE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3.800000000000002</v>
      </c>
      <c r="EJ136" s="12">
        <f>IF('Données projet'!$A$192&gt;35,EJ135+EI136-ER135,IF(A136&lt;'Données projet'!$A$192,$EG$205^A136,IF(A136='Données projet'!$A$192,'Données projet'!$B$192,EJ135+EI136-ER135)))</f>
        <v>190.59999999999988</v>
      </c>
      <c r="EK136" s="17">
        <f>EJ136*VLOOKUP('Données projet'!$B$15,Paramètres!$A$1:$I$89,3,0)*VLOOKUP('Données projet'!$B$15,Paramètres!$A$1:$I$89,5,0)</f>
        <v>184.34831999999989</v>
      </c>
      <c r="EL136" s="13">
        <f t="shared" si="153"/>
        <v>46.288259174721468</v>
      </c>
      <c r="EM136" s="20">
        <f t="shared" si="127"/>
        <v>401.6920420626397</v>
      </c>
      <c r="EN136" s="57">
        <f t="shared" si="128"/>
        <v>686.0842737429731</v>
      </c>
      <c r="EO136" s="57">
        <f ca="1">AVERAGE(OFFSET($EN$3,0,0,'Données projet'!$E$15+1,1))-AVERAGE(OFFSET($H$3,0,0,'Données projet'!$E$15+1,1))</f>
        <v>328.31200866623891</v>
      </c>
      <c r="EP136" s="57">
        <f t="shared" si="154"/>
        <v>195.52650232917446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38.002865521175458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38.002865521175458</v>
      </c>
      <c r="EZ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7" t="e">
        <f t="shared" si="131"/>
        <v>#NUM!</v>
      </c>
      <c r="FJ136" s="57">
        <f ca="1">AVERAGE(OFFSET($FI$3,0,0,'Données projet'!$E$16+1,1))-AVERAGE(OFFSET($H$3,0,0,'Données projet'!$E$16+1,1))</f>
        <v>142.88219003619457</v>
      </c>
      <c r="FK136" s="57">
        <f t="shared" si="156"/>
        <v>288.69704547625088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6.3848622078935078</v>
      </c>
      <c r="FR136" s="21">
        <f>EXP(-LN(2)/25)*FR135+(1-EXP(-LN(2)/25))/(LN(2)/25)*Calculateur!FM136*Calculateur!FO136*VLOOKUP('Données projet'!$B$16,Paramètres!$A$1:$I$89,3,0)*0.475*44/12</f>
        <v>0.71424687041897206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7.0991090783124795</v>
      </c>
      <c r="FU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7" t="e">
        <f t="shared" si="134"/>
        <v>#N/A</v>
      </c>
      <c r="GE136" s="57" t="e">
        <f ca="1">AVERAGE(OFFSET($GD$3,0,0,'Données projet'!$E$17+1,1))-AVERAGE(OFFSET($H$3,0,0,'Données projet'!$E$17+1,1))</f>
        <v>#N/A</v>
      </c>
      <c r="GF136" s="57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7" t="e">
        <f t="shared" si="137"/>
        <v>#N/A</v>
      </c>
      <c r="GZ136" s="57" t="e">
        <f ca="1">AVERAGE(OFFSET($GY$3,0,0,'Données projet'!$E$18+1,1))-AVERAGE(OFFSET($H$3,0,0,'Données projet'!$E$18+1,1))</f>
        <v>#N/A</v>
      </c>
      <c r="HA136" s="57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1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5">
        <f t="shared" si="110"/>
        <v>183.33333333333334</v>
      </c>
      <c r="I137" s="6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4</v>
      </c>
      <c r="N137" s="13">
        <f>IF('Données projet'!$A$36&gt;35,N136+M137-V136,IF(A137&lt;'Données projet'!$A$36,$K$205^A137,IF(A137='Données projet'!$A$36,'Données projet'!$B$36,N136+M137-V136)))</f>
        <v>339.99999999999983</v>
      </c>
      <c r="O137" s="13">
        <f>N137*VLOOKUP('Données projet'!$B$9,Paramètres!$A$1:$I$89,3,0)*VLOOKUP('Données projet'!$B$9,Paramètres!$A$1:$I$89,5,0)</f>
        <v>307.63199999999983</v>
      </c>
      <c r="P137" s="13">
        <f t="shared" si="141"/>
        <v>72.774077039465496</v>
      </c>
      <c r="Q137" s="20">
        <f t="shared" si="108"/>
        <v>662.54058417706881</v>
      </c>
      <c r="R137" s="57">
        <f t="shared" si="109"/>
        <v>947.08792398177309</v>
      </c>
      <c r="S137" s="57">
        <f ca="1">AVERAGE(OFFSET($R$3,0,0,'Données projet'!$E$9+1,1))-AVERAGE(OFFSET($H$3,0,0,'Données projet'!$E$9+1,1))</f>
        <v>539.63700256763173</v>
      </c>
      <c r="T137" s="57">
        <f t="shared" si="142"/>
        <v>297.32483725004136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4</v>
      </c>
      <c r="AI137" s="13">
        <f>IF('Données projet'!$A$62&gt;35,AI136+AH137-AQ136,IF(A137&lt;'Données projet'!$A$62,$AF$205^A137,IF(A137='Données projet'!$A$62,'Données projet'!$B$62,AI136+AH137-AQ136)))</f>
        <v>339.99999999999983</v>
      </c>
      <c r="AJ137" s="13">
        <f>AI137*VLOOKUP('Données projet'!$B$10,Paramètres!$A$1:$I$89,3,0)*VLOOKUP('Données projet'!$B$10,Paramètres!$A$1:$I$89,5,0)</f>
        <v>286.41599999999988</v>
      </c>
      <c r="AK137" s="13">
        <f t="shared" si="143"/>
        <v>68.321101129951188</v>
      </c>
      <c r="AL137" s="20">
        <f t="shared" si="112"/>
        <v>617.83378446799804</v>
      </c>
      <c r="AM137" s="57">
        <f t="shared" si="113"/>
        <v>902.38112427270232</v>
      </c>
      <c r="AN137" s="57">
        <f ca="1">AVERAGE(OFFSET($AM$3,0,0,'Données projet'!$E$10+1,1))-AVERAGE(OFFSET($H$3,0,0,'Données projet'!$E$10+1,1))</f>
        <v>508.21188526136734</v>
      </c>
      <c r="AO137" s="57">
        <f t="shared" si="144"/>
        <v>281.06176764290592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-1.064108801074326E-13</v>
      </c>
      <c r="BF137" s="13" t="e">
        <f t="shared" si="145"/>
        <v>#NUM!</v>
      </c>
      <c r="BG137" s="20" t="e">
        <f t="shared" si="115"/>
        <v>#NUM!</v>
      </c>
      <c r="BH137" s="57" t="e">
        <f t="shared" si="116"/>
        <v>#NUM!</v>
      </c>
      <c r="BI137" s="57">
        <f ca="1">AVERAGE(OFFSET($BH$3,0,0,'Données projet'!$E$11+1,1))-AVERAGE(OFFSET($H$3,0,0,'Données projet'!$E$11+1,1))</f>
        <v>449.50723280509311</v>
      </c>
      <c r="BJ137" s="57">
        <f t="shared" si="146"/>
        <v>281.26353650058275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118.863692616074</v>
      </c>
      <c r="BQ137" s="21">
        <f>EXP(-LN(2)/25)*BQ136+(1-EXP(-LN(2)/25))/(LN(2)/25)*Calculateur!BL137*Calculateur!BN137*VLOOKUP('Données projet'!$B$11,Paramètres!$A$1:$I$89,3,0)*0.475*44/12</f>
        <v>20.502147264006144</v>
      </c>
      <c r="BR137" s="21">
        <f>EXP(-LN(2)/2)*BR136+(1-EXP(-LN(2)/2))/(LN(2)/2)*BL137*BO137*VLOOKUP('Données projet'!$B$11,Paramètres!$A$1:$I$89,3,0)*0.475*44/12</f>
        <v>3.2290988570050244E-4</v>
      </c>
      <c r="BS137" s="22">
        <f t="shared" si="117"/>
        <v>139.36616278996587</v>
      </c>
      <c r="BT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2.7</v>
      </c>
      <c r="BY137" s="12">
        <f>IF('Données projet'!$A$114&gt;35,BY136+BX137-CG136,IF(A137&lt;'Données projet'!$A$114,$BV$205^A137,IF(A137='Données projet'!$A$114,'Données projet'!$B$114,BY136+BX137-CG136)))</f>
        <v>279.7999999999991</v>
      </c>
      <c r="BZ137" s="13">
        <f>BY137*VLOOKUP('Données projet'!$B$12,Paramètres!$A$1:$I$89,3,0)*VLOOKUP('Données projet'!$B$12,Paramètres!$A$1:$I$89,5,0)</f>
        <v>266.25767999999914</v>
      </c>
      <c r="CA137" s="13">
        <f t="shared" si="147"/>
        <v>64.054410529549401</v>
      </c>
      <c r="CB137" s="20">
        <f t="shared" si="118"/>
        <v>575.29355767229697</v>
      </c>
      <c r="CC137" s="57">
        <f t="shared" si="119"/>
        <v>859.84089747700125</v>
      </c>
      <c r="CD137" s="57">
        <f ca="1">AVERAGE(OFFSET($CC$3,0,0,'Données projet'!$E$12+1,1))-AVERAGE(OFFSET($H$3,0,0,'Données projet'!$E$12+1,1))</f>
        <v>479.4551766174892</v>
      </c>
      <c r="CE137" s="57">
        <f t="shared" si="148"/>
        <v>260.29028006191834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-2.2737367544323206E-13</v>
      </c>
      <c r="CU137" s="17">
        <f>CT137*VLOOKUP('Données projet'!$B$13,Paramètres!$A$1:$I$89,3,0)*VLOOKUP('Données projet'!$B$13,Paramètres!$A$1:$I$89,5,0)</f>
        <v>-1.2710188457276673E-13</v>
      </c>
      <c r="CV137" s="13" t="e">
        <f t="shared" si="149"/>
        <v>#NUM!</v>
      </c>
      <c r="CW137" s="20" t="e">
        <f t="shared" si="121"/>
        <v>#NUM!</v>
      </c>
      <c r="CX137" s="57" t="e">
        <f t="shared" si="122"/>
        <v>#NUM!</v>
      </c>
      <c r="CY137" s="57">
        <f ca="1">AVERAGE(OFFSET($CX$3,0,0,'Données projet'!$E$13+1,1))-AVERAGE(OFFSET($H$3,0,0,'Données projet'!$E$13+1,1))</f>
        <v>459.83870442974046</v>
      </c>
      <c r="CZ137" s="57">
        <f t="shared" si="150"/>
        <v>565.68976940602215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59.768615788117906</v>
      </c>
      <c r="DG137" s="21">
        <f>EXP(-LN(2)/25)*DG136+(1-EXP(-LN(2)/25))/(LN(2)/25)*Calculateur!DB137*Calculateur!DD137*VLOOKUP('Données projet'!$B$13,Paramètres!$A$1:$I$89,3,0)*0.475*44/12</f>
        <v>8.279450275433625</v>
      </c>
      <c r="DH137" s="21">
        <f>EXP(-LN(2)/2)*DH136+(1-EXP(-LN(2)/2))/(LN(2)/2)*DB137*DE137*VLOOKUP('Données projet'!$B$13,Paramètres!$A$1:$I$89,3,0)*0.475*44/12</f>
        <v>4.0978812027103626E-10</v>
      </c>
      <c r="DI137" s="22">
        <f t="shared" si="123"/>
        <v>68.048066063961315</v>
      </c>
      <c r="DJ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7" t="e">
        <f t="shared" si="125"/>
        <v>#NUM!</v>
      </c>
      <c r="DT137" s="57">
        <f ca="1">AVERAGE(OFFSET($DS$3,0,0,'Données projet'!$E$14+1,1))-AVERAGE(OFFSET($H$3,0,0,'Données projet'!$E$14+1,1))</f>
        <v>315.23504986325418</v>
      </c>
      <c r="DU137" s="57">
        <f t="shared" si="152"/>
        <v>350.52837099886688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32.479125461557665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32.479125461557665</v>
      </c>
      <c r="EE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3.800000000000002</v>
      </c>
      <c r="EJ137" s="12">
        <f>IF('Données projet'!$A$192&gt;35,EJ136+EI137-ER136,IF(A137&lt;'Données projet'!$A$192,$EG$205^A137,IF(A137='Données projet'!$A$192,'Données projet'!$B$192,EJ136+EI137-ER136)))</f>
        <v>194.39999999999989</v>
      </c>
      <c r="EK137" s="17">
        <f>EJ137*VLOOKUP('Données projet'!$B$15,Paramètres!$A$1:$I$89,3,0)*VLOOKUP('Données projet'!$B$15,Paramètres!$A$1:$I$89,5,0)</f>
        <v>188.0236799999999</v>
      </c>
      <c r="EL137" s="13">
        <f t="shared" si="153"/>
        <v>47.10275101826771</v>
      </c>
      <c r="EM137" s="20">
        <f t="shared" si="127"/>
        <v>409.51186735681608</v>
      </c>
      <c r="EN137" s="57">
        <f t="shared" si="128"/>
        <v>694.05920716152036</v>
      </c>
      <c r="EO137" s="57">
        <f ca="1">AVERAGE(OFFSET($EN$3,0,0,'Données projet'!$E$15+1,1))-AVERAGE(OFFSET($H$3,0,0,'Données projet'!$E$15+1,1))</f>
        <v>328.31200866623891</v>
      </c>
      <c r="EP137" s="57">
        <f t="shared" si="154"/>
        <v>195.52650232917446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37.257652507764391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37.257652507764391</v>
      </c>
      <c r="EZ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7" t="e">
        <f t="shared" si="131"/>
        <v>#NUM!</v>
      </c>
      <c r="FJ137" s="57">
        <f ca="1">AVERAGE(OFFSET($FI$3,0,0,'Données projet'!$E$16+1,1))-AVERAGE(OFFSET($H$3,0,0,'Données projet'!$E$16+1,1))</f>
        <v>142.88219003619457</v>
      </c>
      <c r="FK137" s="57">
        <f t="shared" si="156"/>
        <v>288.69704547625088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6.2596589543781249</v>
      </c>
      <c r="FR137" s="21">
        <f>EXP(-LN(2)/25)*FR136+(1-EXP(-LN(2)/25))/(LN(2)/25)*Calculateur!FM137*Calculateur!FO137*VLOOKUP('Données projet'!$B$16,Paramètres!$A$1:$I$89,3,0)*0.475*44/12</f>
        <v>0.69471575218675474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6.95437470656488</v>
      </c>
      <c r="FU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7" t="e">
        <f t="shared" si="134"/>
        <v>#N/A</v>
      </c>
      <c r="GE137" s="57" t="e">
        <f ca="1">AVERAGE(OFFSET($GD$3,0,0,'Données projet'!$E$17+1,1))-AVERAGE(OFFSET($H$3,0,0,'Données projet'!$E$17+1,1))</f>
        <v>#N/A</v>
      </c>
      <c r="GF137" s="57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7" t="e">
        <f t="shared" si="137"/>
        <v>#N/A</v>
      </c>
      <c r="GZ137" s="57" t="e">
        <f ca="1">AVERAGE(OFFSET($GY$3,0,0,'Données projet'!$E$18+1,1))-AVERAGE(OFFSET($H$3,0,0,'Données projet'!$E$18+1,1))</f>
        <v>#N/A</v>
      </c>
      <c r="HA137" s="57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1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5">
        <f t="shared" si="110"/>
        <v>183.33333333333334</v>
      </c>
      <c r="I138" s="6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>
        <f>VLOOKUP(A138,'Données projet'!$A$35:$I$55,2,0)</f>
        <v>344</v>
      </c>
      <c r="L138" s="12">
        <f>VLOOKUP(A138,'Données projet'!$A$35:$I$55,9,0)</f>
        <v>4</v>
      </c>
      <c r="M138" s="12">
        <f t="array" ref="M138">INDEX(L:L,MIN(IF(ISNUMBER(L138:L334),ROW(L138:L334),"")))</f>
        <v>4</v>
      </c>
      <c r="N138" s="13">
        <f>IF('Données projet'!$A$36&gt;35,N137+M138-V137,IF(A138&lt;'Données projet'!$A$36,$K$205^A138,IF(A138='Données projet'!$A$36,'Données projet'!$B$36,N137+M138-V137)))</f>
        <v>343.99999999999983</v>
      </c>
      <c r="O138" s="13">
        <f>N138*VLOOKUP('Données projet'!$B$9,Paramètres!$A$1:$I$89,3,0)*VLOOKUP('Données projet'!$B$9,Paramètres!$A$1:$I$89,5,0)</f>
        <v>311.25119999999987</v>
      </c>
      <c r="P138" s="13">
        <f t="shared" si="141"/>
        <v>73.530069242745043</v>
      </c>
      <c r="Q138" s="20">
        <f t="shared" si="108"/>
        <v>670.16071059778062</v>
      </c>
      <c r="R138" s="57">
        <f t="shared" si="109"/>
        <v>954.86046774766783</v>
      </c>
      <c r="S138" s="57">
        <f ca="1">AVERAGE(OFFSET($R$3,0,0,'Données projet'!$E$9+1,1))-AVERAGE(OFFSET($H$3,0,0,'Données projet'!$E$9+1,1))</f>
        <v>539.63700256763173</v>
      </c>
      <c r="T138" s="57">
        <f t="shared" si="142"/>
        <v>297.32483725004136</v>
      </c>
      <c r="U138" s="15">
        <f>IF(ISNA(VLOOKUP(A138,'Données projet'!$A$35:$I$55,3,0)),0,VLOOKUP(A138,'Données projet'!$A$35:$I$55,3,0))</f>
        <v>18</v>
      </c>
      <c r="V138" s="15">
        <f>IF(ISNA(VLOOKUP(A138,'Données projet'!$A$35:$I$55,4,0)),0,VLOOKUP(A138,'Données projet'!$A$35:$I$55,4,0))</f>
        <v>43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>
        <f>VLOOKUP(A138,'Données projet'!$A$61:$I$81,2,0)</f>
        <v>344</v>
      </c>
      <c r="AG138" s="12">
        <f>VLOOKUP(A138,'Données projet'!$A$61:$I$81,9,0)</f>
        <v>4</v>
      </c>
      <c r="AH138" s="12">
        <f t="array" ref="AH138">INDEX(AG:AG,MIN(IF(ISNUMBER(AG138:AG334),ROW(AG138:AG334),"")))</f>
        <v>4</v>
      </c>
      <c r="AI138" s="13">
        <f>IF('Données projet'!$A$62&gt;35,AI137+AH138-AQ137,IF(A138&lt;'Données projet'!$A$62,$AF$205^A138,IF(A138='Données projet'!$A$62,'Données projet'!$B$62,AI137+AH138-AQ137)))</f>
        <v>343.99999999999983</v>
      </c>
      <c r="AJ138" s="13">
        <f>AI138*VLOOKUP('Données projet'!$B$10,Paramètres!$A$1:$I$89,3,0)*VLOOKUP('Données projet'!$B$10,Paramètres!$A$1:$I$89,5,0)</f>
        <v>289.78559999999993</v>
      </c>
      <c r="AK138" s="13">
        <f t="shared" si="143"/>
        <v>69.030834896079284</v>
      </c>
      <c r="AL138" s="20">
        <f t="shared" si="112"/>
        <v>624.93862411067119</v>
      </c>
      <c r="AM138" s="57">
        <f t="shared" si="113"/>
        <v>909.63838126055839</v>
      </c>
      <c r="AN138" s="57">
        <f ca="1">AVERAGE(OFFSET($AM$3,0,0,'Données projet'!$E$10+1,1))-AVERAGE(OFFSET($H$3,0,0,'Données projet'!$E$10+1,1))</f>
        <v>508.21188526136734</v>
      </c>
      <c r="AO138" s="57">
        <f t="shared" si="144"/>
        <v>281.06176764290592</v>
      </c>
      <c r="AP138" s="15">
        <f>IF(ISNA(VLOOKUP(A138,'Données projet'!$A$61:$I$81,3,0)),0,VLOOKUP(A138,'Données projet'!$A$61:$I$81,3,0))</f>
        <v>18</v>
      </c>
      <c r="AQ138" s="15">
        <f>IF(ISNA(VLOOKUP(A138,'Données projet'!$A$61:$I$81,4,0)),0,VLOOKUP(A138,'Données projet'!$A$61:$I$81,4,0))</f>
        <v>43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-1.064108801074326E-13</v>
      </c>
      <c r="BF138" s="13" t="e">
        <f t="shared" si="145"/>
        <v>#NUM!</v>
      </c>
      <c r="BG138" s="20" t="e">
        <f t="shared" si="115"/>
        <v>#NUM!</v>
      </c>
      <c r="BH138" s="57" t="e">
        <f t="shared" si="116"/>
        <v>#NUM!</v>
      </c>
      <c r="BI138" s="57">
        <f ca="1">AVERAGE(OFFSET($BH$3,0,0,'Données projet'!$E$11+1,1))-AVERAGE(OFFSET($H$3,0,0,'Données projet'!$E$11+1,1))</f>
        <v>449.50723280509311</v>
      </c>
      <c r="BJ138" s="57">
        <f t="shared" si="146"/>
        <v>281.26353650058275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116.53284810356654</v>
      </c>
      <c r="BQ138" s="21">
        <f>EXP(-LN(2)/25)*BQ137+(1-EXP(-LN(2)/25))/(LN(2)/25)*Calculateur!BL138*Calculateur!BN138*VLOOKUP('Données projet'!$B$11,Paramètres!$A$1:$I$89,3,0)*0.475*44/12</f>
        <v>19.94151496891083</v>
      </c>
      <c r="BR138" s="21">
        <f>EXP(-LN(2)/2)*BR137+(1-EXP(-LN(2)/2))/(LN(2)/2)*BL138*BO138*VLOOKUP('Données projet'!$B$11,Paramètres!$A$1:$I$89,3,0)*0.475*44/12</f>
        <v>2.2833176989099825E-4</v>
      </c>
      <c r="BS138" s="22">
        <f t="shared" si="117"/>
        <v>136.47459140424726</v>
      </c>
      <c r="BT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2.7</v>
      </c>
      <c r="BY138" s="12">
        <f>IF('Données projet'!$A$114&gt;35,BY137+BX138-CG137,IF(A138&lt;'Données projet'!$A$114,$BV$205^A138,IF(A138='Données projet'!$A$114,'Données projet'!$B$114,BY137+BX138-CG137)))</f>
        <v>282.49999999999909</v>
      </c>
      <c r="BZ138" s="13">
        <f>BY138*VLOOKUP('Données projet'!$B$12,Paramètres!$A$1:$I$89,3,0)*VLOOKUP('Données projet'!$B$12,Paramètres!$A$1:$I$89,5,0)</f>
        <v>268.82699999999915</v>
      </c>
      <c r="CA138" s="13">
        <f t="shared" si="147"/>
        <v>64.600266037607781</v>
      </c>
      <c r="CB138" s="20">
        <f t="shared" si="118"/>
        <v>580.7191550154987</v>
      </c>
      <c r="CC138" s="57">
        <f t="shared" si="119"/>
        <v>865.41891216538579</v>
      </c>
      <c r="CD138" s="57">
        <f ca="1">AVERAGE(OFFSET($CC$3,0,0,'Données projet'!$E$12+1,1))-AVERAGE(OFFSET($H$3,0,0,'Données projet'!$E$12+1,1))</f>
        <v>479.4551766174892</v>
      </c>
      <c r="CE138" s="57">
        <f t="shared" si="148"/>
        <v>260.29028006191834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-2.2737367544323206E-13</v>
      </c>
      <c r="CU138" s="17">
        <f>CT138*VLOOKUP('Données projet'!$B$13,Paramètres!$A$1:$I$89,3,0)*VLOOKUP('Données projet'!$B$13,Paramètres!$A$1:$I$89,5,0)</f>
        <v>-1.2710188457276673E-13</v>
      </c>
      <c r="CV138" s="13" t="e">
        <f t="shared" si="149"/>
        <v>#NUM!</v>
      </c>
      <c r="CW138" s="20" t="e">
        <f t="shared" si="121"/>
        <v>#NUM!</v>
      </c>
      <c r="CX138" s="57" t="e">
        <f t="shared" si="122"/>
        <v>#NUM!</v>
      </c>
      <c r="CY138" s="57">
        <f ca="1">AVERAGE(OFFSET($CX$3,0,0,'Données projet'!$E$13+1,1))-AVERAGE(OFFSET($H$3,0,0,'Données projet'!$E$13+1,1))</f>
        <v>459.83870442974046</v>
      </c>
      <c r="CZ138" s="57">
        <f t="shared" si="150"/>
        <v>565.68976940602215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58.596589687768883</v>
      </c>
      <c r="DG138" s="21">
        <f>EXP(-LN(2)/25)*DG137+(1-EXP(-LN(2)/25))/(LN(2)/25)*Calculateur!DB138*Calculateur!DD138*VLOOKUP('Données projet'!$B$13,Paramètres!$A$1:$I$89,3,0)*0.475*44/12</f>
        <v>8.0530482722545251</v>
      </c>
      <c r="DH138" s="21">
        <f>EXP(-LN(2)/2)*DH137+(1-EXP(-LN(2)/2))/(LN(2)/2)*DB138*DE138*VLOOKUP('Données projet'!$B$13,Paramètres!$A$1:$I$89,3,0)*0.475*44/12</f>
        <v>2.8976395869333825E-10</v>
      </c>
      <c r="DI138" s="22">
        <f t="shared" si="123"/>
        <v>66.649637960313171</v>
      </c>
      <c r="DJ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7" t="e">
        <f t="shared" si="125"/>
        <v>#NUM!</v>
      </c>
      <c r="DT138" s="57">
        <f ca="1">AVERAGE(OFFSET($DS$3,0,0,'Données projet'!$E$14+1,1))-AVERAGE(OFFSET($H$3,0,0,'Données projet'!$E$14+1,1))</f>
        <v>315.23504986325418</v>
      </c>
      <c r="DU138" s="57">
        <f t="shared" si="152"/>
        <v>350.52837099886688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31.842229621566943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31.842229621566943</v>
      </c>
      <c r="EE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3.800000000000002</v>
      </c>
      <c r="EJ138" s="12">
        <f>IF('Données projet'!$A$192&gt;35,EJ137+EI138-ER137,IF(A138&lt;'Données projet'!$A$192,$EG$205^A138,IF(A138='Données projet'!$A$192,'Données projet'!$B$192,EJ137+EI138-ER137)))</f>
        <v>198.1999999999999</v>
      </c>
      <c r="EK138" s="17">
        <f>EJ138*VLOOKUP('Données projet'!$B$15,Paramètres!$A$1:$I$89,3,0)*VLOOKUP('Données projet'!$B$15,Paramètres!$A$1:$I$89,5,0)</f>
        <v>191.69903999999991</v>
      </c>
      <c r="EL138" s="13">
        <f t="shared" si="153"/>
        <v>47.915391623586139</v>
      </c>
      <c r="EM138" s="20">
        <f t="shared" si="127"/>
        <v>417.32846841107903</v>
      </c>
      <c r="EN138" s="57">
        <f t="shared" si="128"/>
        <v>702.02822556096612</v>
      </c>
      <c r="EO138" s="57">
        <f ca="1">AVERAGE(OFFSET($EN$3,0,0,'Données projet'!$E$15+1,1))-AVERAGE(OFFSET($H$3,0,0,'Données projet'!$E$15+1,1))</f>
        <v>328.31200866623891</v>
      </c>
      <c r="EP138" s="57">
        <f t="shared" si="154"/>
        <v>195.52650232917446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36.527052667011262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36.527052667011262</v>
      </c>
      <c r="EZ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7" t="e">
        <f t="shared" si="131"/>
        <v>#NUM!</v>
      </c>
      <c r="FJ138" s="57">
        <f ca="1">AVERAGE(OFFSET($FI$3,0,0,'Données projet'!$E$16+1,1))-AVERAGE(OFFSET($H$3,0,0,'Données projet'!$E$16+1,1))</f>
        <v>142.88219003619457</v>
      </c>
      <c r="FK138" s="57">
        <f t="shared" si="156"/>
        <v>288.69704547625088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6.1369108602977347</v>
      </c>
      <c r="FR138" s="21">
        <f>EXP(-LN(2)/25)*FR137+(1-EXP(-LN(2)/25))/(LN(2)/25)*Calculateur!FM138*Calculateur!FO138*VLOOKUP('Données projet'!$B$16,Paramètres!$A$1:$I$89,3,0)*0.475*44/12</f>
        <v>0.67571871340969436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6.8126295737074294</v>
      </c>
      <c r="FU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7" t="e">
        <f t="shared" si="134"/>
        <v>#N/A</v>
      </c>
      <c r="GE138" s="57" t="e">
        <f ca="1">AVERAGE(OFFSET($GD$3,0,0,'Données projet'!$E$17+1,1))-AVERAGE(OFFSET($H$3,0,0,'Données projet'!$E$17+1,1))</f>
        <v>#N/A</v>
      </c>
      <c r="GF138" s="57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7" t="e">
        <f t="shared" si="137"/>
        <v>#N/A</v>
      </c>
      <c r="GZ138" s="57" t="e">
        <f ca="1">AVERAGE(OFFSET($GY$3,0,0,'Données projet'!$E$18+1,1))-AVERAGE(OFFSET($H$3,0,0,'Données projet'!$E$18+1,1))</f>
        <v>#N/A</v>
      </c>
      <c r="HA138" s="57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1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5">
        <f t="shared" si="110"/>
        <v>183.33333333333334</v>
      </c>
      <c r="I139" s="6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3.7</v>
      </c>
      <c r="N139" s="13">
        <f>IF('Données projet'!$A$36&gt;35,N138+M139-V138,IF(A139&lt;'Données projet'!$A$36,$K$205^A139,IF(A139='Données projet'!$A$36,'Données projet'!$B$36,N138+M139-V138)))</f>
        <v>304.69999999999982</v>
      </c>
      <c r="O139" s="13">
        <f>N139*VLOOKUP('Données projet'!$B$9,Paramètres!$A$1:$I$89,3,0)*VLOOKUP('Données projet'!$B$9,Paramètres!$A$1:$I$89,5,0)</f>
        <v>275.69255999999984</v>
      </c>
      <c r="P139" s="13">
        <f t="shared" si="141"/>
        <v>66.055903272516787</v>
      </c>
      <c r="Q139" s="20">
        <f t="shared" si="108"/>
        <v>595.21190686629973</v>
      </c>
      <c r="R139" s="57">
        <f t="shared" si="109"/>
        <v>880.06143726118489</v>
      </c>
      <c r="S139" s="57">
        <f ca="1">AVERAGE(OFFSET($R$3,0,0,'Données projet'!$E$9+1,1))-AVERAGE(OFFSET($H$3,0,0,'Données projet'!$E$9+1,1))</f>
        <v>539.63700256763173</v>
      </c>
      <c r="T139" s="57">
        <f t="shared" si="142"/>
        <v>297.32483725004136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3.7</v>
      </c>
      <c r="AI139" s="13">
        <f>IF('Données projet'!$A$62&gt;35,AI138+AH139-AQ138,IF(A139&lt;'Données projet'!$A$62,$AF$205^A139,IF(A139='Données projet'!$A$62,'Données projet'!$B$62,AI138+AH139-AQ138)))</f>
        <v>304.69999999999982</v>
      </c>
      <c r="AJ139" s="13">
        <f>AI139*VLOOKUP('Données projet'!$B$10,Paramètres!$A$1:$I$89,3,0)*VLOOKUP('Données projet'!$B$10,Paramètres!$A$1:$I$89,5,0)</f>
        <v>256.67927999999989</v>
      </c>
      <c r="AK139" s="13">
        <f t="shared" si="143"/>
        <v>62.014005966224417</v>
      </c>
      <c r="AL139" s="20">
        <f t="shared" si="112"/>
        <v>555.05747305784064</v>
      </c>
      <c r="AM139" s="57">
        <f t="shared" si="113"/>
        <v>839.9070034527258</v>
      </c>
      <c r="AN139" s="57">
        <f ca="1">AVERAGE(OFFSET($AM$3,0,0,'Données projet'!$E$10+1,1))-AVERAGE(OFFSET($H$3,0,0,'Données projet'!$E$10+1,1))</f>
        <v>508.21188526136734</v>
      </c>
      <c r="AO139" s="57">
        <f t="shared" si="144"/>
        <v>281.06176764290592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-1.064108801074326E-13</v>
      </c>
      <c r="BF139" s="13" t="e">
        <f t="shared" si="145"/>
        <v>#NUM!</v>
      </c>
      <c r="BG139" s="20" t="e">
        <f t="shared" si="115"/>
        <v>#NUM!</v>
      </c>
      <c r="BH139" s="57" t="e">
        <f t="shared" si="116"/>
        <v>#NUM!</v>
      </c>
      <c r="BI139" s="57">
        <f ca="1">AVERAGE(OFFSET($BH$3,0,0,'Données projet'!$E$11+1,1))-AVERAGE(OFFSET($H$3,0,0,'Données projet'!$E$11+1,1))</f>
        <v>449.50723280509311</v>
      </c>
      <c r="BJ139" s="57">
        <f t="shared" si="146"/>
        <v>281.26353650058275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114.24771003027456</v>
      </c>
      <c r="BQ139" s="21">
        <f>EXP(-LN(2)/25)*BQ138+(1-EXP(-LN(2)/25))/(LN(2)/25)*Calculateur!BL139*Calculateur!BN139*VLOOKUP('Données projet'!$B$11,Paramètres!$A$1:$I$89,3,0)*0.475*44/12</f>
        <v>19.39621319340727</v>
      </c>
      <c r="BR139" s="21">
        <f>EXP(-LN(2)/2)*BR138+(1-EXP(-LN(2)/2))/(LN(2)/2)*BL139*BO139*VLOOKUP('Données projet'!$B$11,Paramètres!$A$1:$I$89,3,0)*0.475*44/12</f>
        <v>1.6145494285025122E-4</v>
      </c>
      <c r="BS139" s="22">
        <f t="shared" si="117"/>
        <v>133.64408467862469</v>
      </c>
      <c r="BT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2.7</v>
      </c>
      <c r="BY139" s="12">
        <f>IF('Données projet'!$A$114&gt;35,BY138+BX139-CG138,IF(A139&lt;'Données projet'!$A$114,$BV$205^A139,IF(A139='Données projet'!$A$114,'Données projet'!$B$114,BY138+BX139-CG138)))</f>
        <v>285.19999999999908</v>
      </c>
      <c r="BZ139" s="13">
        <f>BY139*VLOOKUP('Données projet'!$B$12,Paramètres!$A$1:$I$89,3,0)*VLOOKUP('Données projet'!$B$12,Paramètres!$A$1:$I$89,5,0)</f>
        <v>271.39631999999915</v>
      </c>
      <c r="CA139" s="13">
        <f t="shared" si="147"/>
        <v>65.145514611718752</v>
      </c>
      <c r="CB139" s="20">
        <f t="shared" si="118"/>
        <v>586.14369528207533</v>
      </c>
      <c r="CC139" s="57">
        <f t="shared" si="119"/>
        <v>870.99322567696049</v>
      </c>
      <c r="CD139" s="57">
        <f ca="1">AVERAGE(OFFSET($CC$3,0,0,'Données projet'!$E$12+1,1))-AVERAGE(OFFSET($H$3,0,0,'Données projet'!$E$12+1,1))</f>
        <v>479.4551766174892</v>
      </c>
      <c r="CE139" s="57">
        <f t="shared" si="148"/>
        <v>260.29028006191834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-2.2737367544323206E-13</v>
      </c>
      <c r="CU139" s="17">
        <f>CT139*VLOOKUP('Données projet'!$B$13,Paramètres!$A$1:$I$89,3,0)*VLOOKUP('Données projet'!$B$13,Paramètres!$A$1:$I$89,5,0)</f>
        <v>-1.2710188457276673E-13</v>
      </c>
      <c r="CV139" s="13" t="e">
        <f t="shared" si="149"/>
        <v>#NUM!</v>
      </c>
      <c r="CW139" s="20" t="e">
        <f t="shared" si="121"/>
        <v>#NUM!</v>
      </c>
      <c r="CX139" s="57" t="e">
        <f t="shared" si="122"/>
        <v>#NUM!</v>
      </c>
      <c r="CY139" s="57">
        <f ca="1">AVERAGE(OFFSET($CX$3,0,0,'Données projet'!$E$13+1,1))-AVERAGE(OFFSET($H$3,0,0,'Données projet'!$E$13+1,1))</f>
        <v>459.83870442974046</v>
      </c>
      <c r="CZ139" s="57">
        <f t="shared" si="150"/>
        <v>565.68976940602215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57.447546304382378</v>
      </c>
      <c r="DG139" s="21">
        <f>EXP(-LN(2)/25)*DG138+(1-EXP(-LN(2)/25))/(LN(2)/25)*Calculateur!DB139*Calculateur!DD139*VLOOKUP('Données projet'!$B$13,Paramètres!$A$1:$I$89,3,0)*0.475*44/12</f>
        <v>7.8328372437583216</v>
      </c>
      <c r="DH139" s="21">
        <f>EXP(-LN(2)/2)*DH138+(1-EXP(-LN(2)/2))/(LN(2)/2)*DB139*DE139*VLOOKUP('Données projet'!$B$13,Paramètres!$A$1:$I$89,3,0)*0.475*44/12</f>
        <v>2.0489406013551813E-10</v>
      </c>
      <c r="DI139" s="22">
        <f t="shared" si="123"/>
        <v>65.280383548345597</v>
      </c>
      <c r="DJ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7" t="e">
        <f t="shared" si="125"/>
        <v>#NUM!</v>
      </c>
      <c r="DT139" s="57">
        <f ca="1">AVERAGE(OFFSET($DS$3,0,0,'Données projet'!$E$14+1,1))-AVERAGE(OFFSET($H$3,0,0,'Données projet'!$E$14+1,1))</f>
        <v>315.23504986325418</v>
      </c>
      <c r="DU139" s="57">
        <f t="shared" si="152"/>
        <v>350.52837099886688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31.217822920530338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31.217822920530338</v>
      </c>
      <c r="EE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3.800000000000002</v>
      </c>
      <c r="EJ139" s="12">
        <f>IF('Données projet'!$A$192&gt;35,EJ138+EI139-ER138,IF(A139&lt;'Données projet'!$A$192,$EG$205^A139,IF(A139='Données projet'!$A$192,'Données projet'!$B$192,EJ138+EI139-ER138)))</f>
        <v>201.99999999999991</v>
      </c>
      <c r="EK139" s="17">
        <f>EJ139*VLOOKUP('Données projet'!$B$15,Paramètres!$A$1:$I$89,3,0)*VLOOKUP('Données projet'!$B$15,Paramètres!$A$1:$I$89,5,0)</f>
        <v>195.37439999999992</v>
      </c>
      <c r="EL139" s="13">
        <f t="shared" si="153"/>
        <v>48.726220575731652</v>
      </c>
      <c r="EM139" s="20">
        <f t="shared" si="127"/>
        <v>425.14191416939912</v>
      </c>
      <c r="EN139" s="57">
        <f t="shared" si="128"/>
        <v>709.99144456428439</v>
      </c>
      <c r="EO139" s="57">
        <f ca="1">AVERAGE(OFFSET($EN$3,0,0,'Données projet'!$E$15+1,1))-AVERAGE(OFFSET($H$3,0,0,'Données projet'!$E$15+1,1))</f>
        <v>328.31200866623891</v>
      </c>
      <c r="EP139" s="57">
        <f t="shared" si="154"/>
        <v>195.52650232917446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35.810779443513397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35.810779443513397</v>
      </c>
      <c r="EZ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7" t="e">
        <f t="shared" si="131"/>
        <v>#NUM!</v>
      </c>
      <c r="FJ139" s="57">
        <f ca="1">AVERAGE(OFFSET($FI$3,0,0,'Données projet'!$E$16+1,1))-AVERAGE(OFFSET($H$3,0,0,'Données projet'!$E$16+1,1))</f>
        <v>142.88219003619457</v>
      </c>
      <c r="FK139" s="57">
        <f t="shared" si="156"/>
        <v>288.69704547625088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6.0165697814733159</v>
      </c>
      <c r="FR139" s="21">
        <f>EXP(-LN(2)/25)*FR138+(1-EXP(-LN(2)/25))/(LN(2)/25)*Calculateur!FM139*Calculateur!FO139*VLOOKUP('Données projet'!$B$16,Paramètres!$A$1:$I$89,3,0)*0.475*44/12</f>
        <v>0.65724114965700353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6.6738109311303191</v>
      </c>
      <c r="FU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7" t="e">
        <f t="shared" si="134"/>
        <v>#N/A</v>
      </c>
      <c r="GE139" s="57" t="e">
        <f ca="1">AVERAGE(OFFSET($GD$3,0,0,'Données projet'!$E$17+1,1))-AVERAGE(OFFSET($H$3,0,0,'Données projet'!$E$17+1,1))</f>
        <v>#N/A</v>
      </c>
      <c r="GF139" s="57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7" t="e">
        <f t="shared" si="137"/>
        <v>#N/A</v>
      </c>
      <c r="GZ139" s="57" t="e">
        <f ca="1">AVERAGE(OFFSET($GY$3,0,0,'Données projet'!$E$18+1,1))-AVERAGE(OFFSET($H$3,0,0,'Données projet'!$E$18+1,1))</f>
        <v>#N/A</v>
      </c>
      <c r="HA139" s="57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1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5">
        <f t="shared" si="110"/>
        <v>183.33333333333334</v>
      </c>
      <c r="I140" s="6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3.7</v>
      </c>
      <c r="N140" s="13">
        <f>IF('Données projet'!$A$36&gt;35,N139+M140-V139,IF(A140&lt;'Données projet'!$A$36,$K$205^A140,IF(A140='Données projet'!$A$36,'Données projet'!$B$36,N139+M140-V139)))</f>
        <v>308.39999999999981</v>
      </c>
      <c r="O140" s="13">
        <f>N140*VLOOKUP('Données projet'!$B$9,Paramètres!$A$1:$I$89,3,0)*VLOOKUP('Données projet'!$B$9,Paramètres!$A$1:$I$89,5,0)</f>
        <v>279.04031999999984</v>
      </c>
      <c r="P140" s="13">
        <f t="shared" si="141"/>
        <v>66.764160402487647</v>
      </c>
      <c r="Q140" s="20">
        <f t="shared" si="108"/>
        <v>602.2761367009989</v>
      </c>
      <c r="R140" s="57">
        <f t="shared" si="109"/>
        <v>887.27284210992434</v>
      </c>
      <c r="S140" s="57">
        <f ca="1">AVERAGE(OFFSET($R$3,0,0,'Données projet'!$E$9+1,1))-AVERAGE(OFFSET($H$3,0,0,'Données projet'!$E$9+1,1))</f>
        <v>539.63700256763173</v>
      </c>
      <c r="T140" s="57">
        <f t="shared" si="142"/>
        <v>297.32483725004136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3.7</v>
      </c>
      <c r="AI140" s="13">
        <f>IF('Données projet'!$A$62&gt;35,AI139+AH140-AQ139,IF(A140&lt;'Données projet'!$A$62,$AF$205^A140,IF(A140='Données projet'!$A$62,'Données projet'!$B$62,AI139+AH140-AQ139)))</f>
        <v>308.39999999999981</v>
      </c>
      <c r="AJ140" s="13">
        <f>AI140*VLOOKUP('Données projet'!$B$10,Paramètres!$A$1:$I$89,3,0)*VLOOKUP('Données projet'!$B$10,Paramètres!$A$1:$I$89,5,0)</f>
        <v>259.79615999999987</v>
      </c>
      <c r="AK140" s="13">
        <f t="shared" si="143"/>
        <v>62.678925522353047</v>
      </c>
      <c r="AL140" s="20">
        <f t="shared" si="112"/>
        <v>561.64410728476457</v>
      </c>
      <c r="AM140" s="57">
        <f t="shared" si="113"/>
        <v>846.6408126936899</v>
      </c>
      <c r="AN140" s="57">
        <f ca="1">AVERAGE(OFFSET($AM$3,0,0,'Données projet'!$E$10+1,1))-AVERAGE(OFFSET($H$3,0,0,'Données projet'!$E$10+1,1))</f>
        <v>508.21188526136734</v>
      </c>
      <c r="AO140" s="57">
        <f t="shared" si="144"/>
        <v>281.06176764290592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-1.064108801074326E-13</v>
      </c>
      <c r="BF140" s="13" t="e">
        <f t="shared" si="145"/>
        <v>#NUM!</v>
      </c>
      <c r="BG140" s="20" t="e">
        <f t="shared" si="115"/>
        <v>#NUM!</v>
      </c>
      <c r="BH140" s="57" t="e">
        <f t="shared" si="116"/>
        <v>#NUM!</v>
      </c>
      <c r="BI140" s="57">
        <f ca="1">AVERAGE(OFFSET($BH$3,0,0,'Données projet'!$E$11+1,1))-AVERAGE(OFFSET($H$3,0,0,'Données projet'!$E$11+1,1))</f>
        <v>449.50723280509311</v>
      </c>
      <c r="BJ140" s="57">
        <f t="shared" si="146"/>
        <v>281.26353650058275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112.00738212080326</v>
      </c>
      <c r="BQ140" s="21">
        <f>EXP(-LN(2)/25)*BQ139+(1-EXP(-LN(2)/25))/(LN(2)/25)*Calculateur!BL140*Calculateur!BN140*VLOOKUP('Données projet'!$B$11,Paramètres!$A$1:$I$89,3,0)*0.475*44/12</f>
        <v>18.865822723631027</v>
      </c>
      <c r="BR140" s="21">
        <f>EXP(-LN(2)/2)*BR139+(1-EXP(-LN(2)/2))/(LN(2)/2)*BL140*BO140*VLOOKUP('Données projet'!$B$11,Paramètres!$A$1:$I$89,3,0)*0.475*44/12</f>
        <v>1.1416588494549912E-4</v>
      </c>
      <c r="BS140" s="22">
        <f t="shared" si="117"/>
        <v>130.87331901031922</v>
      </c>
      <c r="BT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2.7</v>
      </c>
      <c r="BY140" s="12">
        <f>IF('Données projet'!$A$114&gt;35,BY139+BX140-CG139,IF(A140&lt;'Données projet'!$A$114,$BV$205^A140,IF(A140='Données projet'!$A$114,'Données projet'!$B$114,BY139+BX140-CG139)))</f>
        <v>287.89999999999907</v>
      </c>
      <c r="BZ140" s="13">
        <f>BY140*VLOOKUP('Données projet'!$B$12,Paramètres!$A$1:$I$89,3,0)*VLOOKUP('Données projet'!$B$12,Paramètres!$A$1:$I$89,5,0)</f>
        <v>273.9656399999991</v>
      </c>
      <c r="CA140" s="13">
        <f t="shared" si="147"/>
        <v>65.690162663229103</v>
      </c>
      <c r="CB140" s="20">
        <f t="shared" si="118"/>
        <v>591.56718963845572</v>
      </c>
      <c r="CC140" s="57">
        <f t="shared" si="119"/>
        <v>876.56389504738104</v>
      </c>
      <c r="CD140" s="57">
        <f ca="1">AVERAGE(OFFSET($CC$3,0,0,'Données projet'!$E$12+1,1))-AVERAGE(OFFSET($H$3,0,0,'Données projet'!$E$12+1,1))</f>
        <v>479.4551766174892</v>
      </c>
      <c r="CE140" s="57">
        <f t="shared" si="148"/>
        <v>260.29028006191834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-2.2737367544323206E-13</v>
      </c>
      <c r="CU140" s="17">
        <f>CT140*VLOOKUP('Données projet'!$B$13,Paramètres!$A$1:$I$89,3,0)*VLOOKUP('Données projet'!$B$13,Paramètres!$A$1:$I$89,5,0)</f>
        <v>-1.2710188457276673E-13</v>
      </c>
      <c r="CV140" s="13" t="e">
        <f t="shared" si="149"/>
        <v>#NUM!</v>
      </c>
      <c r="CW140" s="20" t="e">
        <f t="shared" si="121"/>
        <v>#NUM!</v>
      </c>
      <c r="CX140" s="57" t="e">
        <f t="shared" si="122"/>
        <v>#NUM!</v>
      </c>
      <c r="CY140" s="57">
        <f ca="1">AVERAGE(OFFSET($CX$3,0,0,'Données projet'!$E$13+1,1))-AVERAGE(OFFSET($H$3,0,0,'Données projet'!$E$13+1,1))</f>
        <v>459.83870442974046</v>
      </c>
      <c r="CZ140" s="57">
        <f t="shared" si="150"/>
        <v>565.68976940602215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56.321034960896817</v>
      </c>
      <c r="DG140" s="21">
        <f>EXP(-LN(2)/25)*DG139+(1-EXP(-LN(2)/25))/(LN(2)/25)*Calculateur!DB140*Calculateur!DD140*VLOOKUP('Données projet'!$B$13,Paramètres!$A$1:$I$89,3,0)*0.475*44/12</f>
        <v>7.618647897416742</v>
      </c>
      <c r="DH140" s="21">
        <f>EXP(-LN(2)/2)*DH139+(1-EXP(-LN(2)/2))/(LN(2)/2)*DB140*DE140*VLOOKUP('Données projet'!$B$13,Paramètres!$A$1:$I$89,3,0)*0.475*44/12</f>
        <v>1.4488197934666913E-10</v>
      </c>
      <c r="DI140" s="22">
        <f t="shared" si="123"/>
        <v>63.93968285845844</v>
      </c>
      <c r="DJ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7" t="e">
        <f t="shared" si="125"/>
        <v>#NUM!</v>
      </c>
      <c r="DT140" s="57">
        <f ca="1">AVERAGE(OFFSET($DS$3,0,0,'Données projet'!$E$14+1,1))-AVERAGE(OFFSET($H$3,0,0,'Données projet'!$E$14+1,1))</f>
        <v>315.23504986325418</v>
      </c>
      <c r="DU140" s="57">
        <f t="shared" si="152"/>
        <v>350.52837099886688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30.605660454050579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30.605660454050579</v>
      </c>
      <c r="EE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3.800000000000002</v>
      </c>
      <c r="EJ140" s="12">
        <f>IF('Données projet'!$A$192&gt;35,EJ139+EI140-ER139,IF(A140&lt;'Données projet'!$A$192,$EG$205^A140,IF(A140='Données projet'!$A$192,'Données projet'!$B$192,EJ139+EI140-ER139)))</f>
        <v>205.79999999999993</v>
      </c>
      <c r="EK140" s="17">
        <f>EJ140*VLOOKUP('Données projet'!$B$15,Paramètres!$A$1:$I$89,3,0)*VLOOKUP('Données projet'!$B$15,Paramètres!$A$1:$I$89,5,0)</f>
        <v>199.04975999999994</v>
      </c>
      <c r="EL140" s="13">
        <f t="shared" si="153"/>
        <v>49.535275885186969</v>
      </c>
      <c r="EM140" s="20">
        <f t="shared" si="127"/>
        <v>432.95227083336721</v>
      </c>
      <c r="EN140" s="57">
        <f t="shared" si="128"/>
        <v>717.94897624229259</v>
      </c>
      <c r="EO140" s="57">
        <f ca="1">AVERAGE(OFFSET($EN$3,0,0,'Données projet'!$E$15+1,1))-AVERAGE(OFFSET($H$3,0,0,'Données projet'!$E$15+1,1))</f>
        <v>328.31200866623891</v>
      </c>
      <c r="EP140" s="57">
        <f t="shared" si="154"/>
        <v>195.52650232917446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35.108551901044798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35.108551901044798</v>
      </c>
      <c r="EZ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7" t="e">
        <f t="shared" si="131"/>
        <v>#NUM!</v>
      </c>
      <c r="FJ140" s="57">
        <f ca="1">AVERAGE(OFFSET($FI$3,0,0,'Données projet'!$E$16+1,1))-AVERAGE(OFFSET($H$3,0,0,'Données projet'!$E$16+1,1))</f>
        <v>142.88219003619457</v>
      </c>
      <c r="FK140" s="57">
        <f t="shared" si="156"/>
        <v>288.69704547625088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5.8985885178038338</v>
      </c>
      <c r="FR140" s="21">
        <f>EXP(-LN(2)/25)*FR139+(1-EXP(-LN(2)/25))/(LN(2)/25)*Calculateur!FM140*Calculateur!FO140*VLOOKUP('Données projet'!$B$16,Paramètres!$A$1:$I$89,3,0)*0.475*44/12</f>
        <v>0.6392688558568228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6.5378573736606569</v>
      </c>
      <c r="FU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7" t="e">
        <f t="shared" si="134"/>
        <v>#N/A</v>
      </c>
      <c r="GE140" s="57" t="e">
        <f ca="1">AVERAGE(OFFSET($GD$3,0,0,'Données projet'!$E$17+1,1))-AVERAGE(OFFSET($H$3,0,0,'Données projet'!$E$17+1,1))</f>
        <v>#N/A</v>
      </c>
      <c r="GF140" s="57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7" t="e">
        <f t="shared" si="137"/>
        <v>#N/A</v>
      </c>
      <c r="GZ140" s="57" t="e">
        <f ca="1">AVERAGE(OFFSET($GY$3,0,0,'Données projet'!$E$18+1,1))-AVERAGE(OFFSET($H$3,0,0,'Données projet'!$E$18+1,1))</f>
        <v>#N/A</v>
      </c>
      <c r="HA140" s="57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1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5">
        <f t="shared" si="110"/>
        <v>183.33333333333334</v>
      </c>
      <c r="I141" s="6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3.7</v>
      </c>
      <c r="N141" s="13">
        <f>IF('Données projet'!$A$36&gt;35,N140+M141-V140,IF(A141&lt;'Données projet'!$A$36,$K$205^A141,IF(A141='Données projet'!$A$36,'Données projet'!$B$36,N140+M141-V140)))</f>
        <v>312.0999999999998</v>
      </c>
      <c r="O141" s="13">
        <f>N141*VLOOKUP('Données projet'!$B$9,Paramètres!$A$1:$I$89,3,0)*VLOOKUP('Données projet'!$B$9,Paramètres!$A$1:$I$89,5,0)</f>
        <v>282.38807999999977</v>
      </c>
      <c r="P141" s="13">
        <f t="shared" si="141"/>
        <v>67.471429117981913</v>
      </c>
      <c r="Q141" s="20">
        <f t="shared" si="108"/>
        <v>609.33864504715143</v>
      </c>
      <c r="R141" s="57">
        <f t="shared" si="109"/>
        <v>894.47997231265731</v>
      </c>
      <c r="S141" s="57">
        <f ca="1">AVERAGE(OFFSET($R$3,0,0,'Données projet'!$E$9+1,1))-AVERAGE(OFFSET($H$3,0,0,'Données projet'!$E$9+1,1))</f>
        <v>539.63700256763173</v>
      </c>
      <c r="T141" s="57">
        <f t="shared" si="142"/>
        <v>297.32483725004136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3.7</v>
      </c>
      <c r="AI141" s="13">
        <f>IF('Données projet'!$A$62&gt;35,AI140+AH141-AQ140,IF(A141&lt;'Données projet'!$A$62,$AF$205^A141,IF(A141='Données projet'!$A$62,'Données projet'!$B$62,AI140+AH141-AQ140)))</f>
        <v>312.0999999999998</v>
      </c>
      <c r="AJ141" s="13">
        <f>AI141*VLOOKUP('Données projet'!$B$10,Paramètres!$A$1:$I$89,3,0)*VLOOKUP('Données projet'!$B$10,Paramètres!$A$1:$I$89,5,0)</f>
        <v>262.91303999999985</v>
      </c>
      <c r="AK141" s="13">
        <f t="shared" si="143"/>
        <v>63.342917144137949</v>
      </c>
      <c r="AL141" s="20">
        <f t="shared" si="112"/>
        <v>568.22912535937337</v>
      </c>
      <c r="AM141" s="57">
        <f t="shared" si="113"/>
        <v>853.37045262487936</v>
      </c>
      <c r="AN141" s="57">
        <f ca="1">AVERAGE(OFFSET($AM$3,0,0,'Données projet'!$E$10+1,1))-AVERAGE(OFFSET($H$3,0,0,'Données projet'!$E$10+1,1))</f>
        <v>508.21188526136734</v>
      </c>
      <c r="AO141" s="57">
        <f t="shared" si="144"/>
        <v>281.06176764290592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-1.064108801074326E-13</v>
      </c>
      <c r="BF141" s="13" t="e">
        <f t="shared" si="145"/>
        <v>#NUM!</v>
      </c>
      <c r="BG141" s="20" t="e">
        <f t="shared" si="115"/>
        <v>#NUM!</v>
      </c>
      <c r="BH141" s="57" t="e">
        <f t="shared" si="116"/>
        <v>#NUM!</v>
      </c>
      <c r="BI141" s="57">
        <f ca="1">AVERAGE(OFFSET($BH$3,0,0,'Données projet'!$E$11+1,1))-AVERAGE(OFFSET($H$3,0,0,'Données projet'!$E$11+1,1))</f>
        <v>449.50723280509311</v>
      </c>
      <c r="BJ141" s="57">
        <f t="shared" si="146"/>
        <v>281.26353650058275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109.81098567517158</v>
      </c>
      <c r="BQ141" s="21">
        <f>EXP(-LN(2)/25)*BQ140+(1-EXP(-LN(2)/25))/(LN(2)/25)*Calculateur!BL141*Calculateur!BN141*VLOOKUP('Données projet'!$B$11,Paramètres!$A$1:$I$89,3,0)*0.475*44/12</f>
        <v>18.349935809142838</v>
      </c>
      <c r="BR141" s="21">
        <f>EXP(-LN(2)/2)*BR140+(1-EXP(-LN(2)/2))/(LN(2)/2)*BL141*BO141*VLOOKUP('Données projet'!$B$11,Paramètres!$A$1:$I$89,3,0)*0.475*44/12</f>
        <v>8.0727471425125609E-5</v>
      </c>
      <c r="BS141" s="22">
        <f t="shared" si="117"/>
        <v>128.16100221178584</v>
      </c>
      <c r="BT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2.7</v>
      </c>
      <c r="BY141" s="12">
        <f>IF('Données projet'!$A$114&gt;35,BY140+BX141-CG140,IF(A141&lt;'Données projet'!$A$114,$BV$205^A141,IF(A141='Données projet'!$A$114,'Données projet'!$B$114,BY140+BX141-CG140)))</f>
        <v>290.59999999999906</v>
      </c>
      <c r="BZ141" s="13">
        <f>BY141*VLOOKUP('Données projet'!$B$12,Paramètres!$A$1:$I$89,3,0)*VLOOKUP('Données projet'!$B$12,Paramètres!$A$1:$I$89,5,0)</f>
        <v>276.5349599999991</v>
      </c>
      <c r="CA141" s="13">
        <f t="shared" si="147"/>
        <v>66.234216476296169</v>
      </c>
      <c r="CB141" s="20">
        <f t="shared" si="118"/>
        <v>596.98964902954754</v>
      </c>
      <c r="CC141" s="57">
        <f t="shared" si="119"/>
        <v>882.13097629505342</v>
      </c>
      <c r="CD141" s="57">
        <f ca="1">AVERAGE(OFFSET($CC$3,0,0,'Données projet'!$E$12+1,1))-AVERAGE(OFFSET($H$3,0,0,'Données projet'!$E$12+1,1))</f>
        <v>479.4551766174892</v>
      </c>
      <c r="CE141" s="57">
        <f t="shared" si="148"/>
        <v>260.29028006191834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-2.2737367544323206E-13</v>
      </c>
      <c r="CU141" s="17">
        <f>CT141*VLOOKUP('Données projet'!$B$13,Paramètres!$A$1:$I$89,3,0)*VLOOKUP('Données projet'!$B$13,Paramètres!$A$1:$I$89,5,0)</f>
        <v>-1.2710188457276673E-13</v>
      </c>
      <c r="CV141" s="13" t="e">
        <f t="shared" si="149"/>
        <v>#NUM!</v>
      </c>
      <c r="CW141" s="20" t="e">
        <f t="shared" si="121"/>
        <v>#NUM!</v>
      </c>
      <c r="CX141" s="57" t="e">
        <f t="shared" si="122"/>
        <v>#NUM!</v>
      </c>
      <c r="CY141" s="57">
        <f ca="1">AVERAGE(OFFSET($CX$3,0,0,'Données projet'!$E$13+1,1))-AVERAGE(OFFSET($H$3,0,0,'Données projet'!$E$13+1,1))</f>
        <v>459.83870442974046</v>
      </c>
      <c r="CZ141" s="57">
        <f t="shared" si="150"/>
        <v>565.68976940602215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55.216613817752936</v>
      </c>
      <c r="DG141" s="21">
        <f>EXP(-LN(2)/25)*DG140+(1-EXP(-LN(2)/25))/(LN(2)/25)*Calculateur!DB141*Calculateur!DD141*VLOOKUP('Données projet'!$B$13,Paramètres!$A$1:$I$89,3,0)*0.475*44/12</f>
        <v>7.4103155700146006</v>
      </c>
      <c r="DH141" s="21">
        <f>EXP(-LN(2)/2)*DH140+(1-EXP(-LN(2)/2))/(LN(2)/2)*DB141*DE141*VLOOKUP('Données projet'!$B$13,Paramètres!$A$1:$I$89,3,0)*0.475*44/12</f>
        <v>1.0244703006775907E-10</v>
      </c>
      <c r="DI141" s="22">
        <f t="shared" si="123"/>
        <v>62.626929387869986</v>
      </c>
      <c r="DJ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7" t="e">
        <f t="shared" si="125"/>
        <v>#NUM!</v>
      </c>
      <c r="DT141" s="57">
        <f ca="1">AVERAGE(OFFSET($DS$3,0,0,'Données projet'!$E$14+1,1))-AVERAGE(OFFSET($H$3,0,0,'Données projet'!$E$14+1,1))</f>
        <v>315.23504986325418</v>
      </c>
      <c r="DU141" s="57">
        <f t="shared" si="152"/>
        <v>350.52837099886688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30.005502120156251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30.005502120156251</v>
      </c>
      <c r="EE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>
        <f>VLOOKUP(A141,'Données projet'!$A$191:$I$211,2,0)</f>
        <v>209.60000000000002</v>
      </c>
      <c r="EH141" s="12">
        <f>VLOOKUP(A141,'Données projet'!$A$191:$I$211,9,0)</f>
        <v>3.800000000000002</v>
      </c>
      <c r="EI141" s="12">
        <f t="array" ref="EI141">INDEX(EH:EH,MIN(IF(ISNUMBER(EH141:EH337),ROW(EH141:EH337),"")))</f>
        <v>3.800000000000002</v>
      </c>
      <c r="EJ141" s="12">
        <f>IF('Données projet'!$A$192&gt;35,EJ140+EI141-ER140,IF(A141&lt;'Données projet'!$A$192,$EG$205^A141,IF(A141='Données projet'!$A$192,'Données projet'!$B$192,EJ140+EI141-ER140)))</f>
        <v>209.59999999999994</v>
      </c>
      <c r="EK141" s="17">
        <f>EJ141*VLOOKUP('Données projet'!$B$15,Paramètres!$A$1:$I$89,3,0)*VLOOKUP('Données projet'!$B$15,Paramètres!$A$1:$I$89,5,0)</f>
        <v>202.72511999999995</v>
      </c>
      <c r="EL141" s="13">
        <f t="shared" si="153"/>
        <v>50.342594078391187</v>
      </c>
      <c r="EM141" s="20">
        <f t="shared" si="127"/>
        <v>440.75960201986459</v>
      </c>
      <c r="EN141" s="57">
        <f t="shared" si="128"/>
        <v>725.90092928537047</v>
      </c>
      <c r="EO141" s="57">
        <f ca="1">AVERAGE(OFFSET($EN$3,0,0,'Données projet'!$E$15+1,1))-AVERAGE(OFFSET($H$3,0,0,'Données projet'!$E$15+1,1))</f>
        <v>328.31200866623891</v>
      </c>
      <c r="EP141" s="57">
        <f t="shared" si="154"/>
        <v>195.52650232917446</v>
      </c>
      <c r="EQ141" s="15">
        <f>IF(ISNA(VLOOKUP(A141,'Données projet'!$A$191:$I$211,3,0)),0,VLOOKUP(A141,'Données projet'!$A$191:$I$211,3,0))</f>
        <v>11</v>
      </c>
      <c r="ER141" s="15">
        <f>IF(ISNA(VLOOKUP(A141,'Données projet'!$A$191:$I$211,4,0)),0,VLOOKUP(A141,'Données projet'!$A$191:$I$211,4,0))</f>
        <v>31.200000000000003</v>
      </c>
      <c r="ES141" s="16">
        <f>IF(ISNA(VLOOKUP(A141,'Données projet'!$A$191:$I$211,5,0)),0%,VLOOKUP(A141,'Données projet'!$A$191:$I$211,5,0)*VLOOKUP('Données projet'!$B$15,Paramètres!$A$1:$I$89,7,0))</f>
        <v>0.38700000000000001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47.330175320139404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47.330175320139404</v>
      </c>
      <c r="EZ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7" t="e">
        <f t="shared" si="131"/>
        <v>#NUM!</v>
      </c>
      <c r="FJ141" s="57">
        <f ca="1">AVERAGE(OFFSET($FI$3,0,0,'Données projet'!$E$16+1,1))-AVERAGE(OFFSET($H$3,0,0,'Données projet'!$E$16+1,1))</f>
        <v>142.88219003619457</v>
      </c>
      <c r="FK141" s="57">
        <f t="shared" si="156"/>
        <v>288.69704547625088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5.7829207947534451</v>
      </c>
      <c r="FR141" s="21">
        <f>EXP(-LN(2)/25)*FR140+(1-EXP(-LN(2)/25))/(LN(2)/25)*Calculateur!FM141*Calculateur!FO141*VLOOKUP('Données projet'!$B$16,Paramètres!$A$1:$I$89,3,0)*0.475*44/12</f>
        <v>0.62178801537572992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6.4047088101291747</v>
      </c>
      <c r="FU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7" t="e">
        <f t="shared" si="134"/>
        <v>#N/A</v>
      </c>
      <c r="GE141" s="57" t="e">
        <f ca="1">AVERAGE(OFFSET($GD$3,0,0,'Données projet'!$E$17+1,1))-AVERAGE(OFFSET($H$3,0,0,'Données projet'!$E$17+1,1))</f>
        <v>#N/A</v>
      </c>
      <c r="GF141" s="57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7" t="e">
        <f t="shared" si="137"/>
        <v>#N/A</v>
      </c>
      <c r="GZ141" s="57" t="e">
        <f ca="1">AVERAGE(OFFSET($GY$3,0,0,'Données projet'!$E$18+1,1))-AVERAGE(OFFSET($H$3,0,0,'Données projet'!$E$18+1,1))</f>
        <v>#N/A</v>
      </c>
      <c r="HA141" s="57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1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5">
        <f t="shared" si="110"/>
        <v>183.33333333333334</v>
      </c>
      <c r="I142" s="6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3.7</v>
      </c>
      <c r="N142" s="13">
        <f>IF('Données projet'!$A$36&gt;35,N141+M142-V141,IF(A142&lt;'Données projet'!$A$36,$K$205^A142,IF(A142='Données projet'!$A$36,'Données projet'!$B$36,N141+M142-V141)))</f>
        <v>315.79999999999978</v>
      </c>
      <c r="O142" s="13">
        <f>N142*VLOOKUP('Données projet'!$B$9,Paramètres!$A$1:$I$89,3,0)*VLOOKUP('Données projet'!$B$9,Paramètres!$A$1:$I$89,5,0)</f>
        <v>285.73583999999983</v>
      </c>
      <c r="P142" s="13">
        <f t="shared" si="141"/>
        <v>68.177722492374656</v>
      </c>
      <c r="Q142" s="20">
        <f t="shared" si="108"/>
        <v>616.39945467421887</v>
      </c>
      <c r="R142" s="57">
        <f t="shared" si="109"/>
        <v>901.68289493041971</v>
      </c>
      <c r="S142" s="57">
        <f ca="1">AVERAGE(OFFSET($R$3,0,0,'Données projet'!$E$9+1,1))-AVERAGE(OFFSET($H$3,0,0,'Données projet'!$E$9+1,1))</f>
        <v>539.63700256763173</v>
      </c>
      <c r="T142" s="57">
        <f t="shared" si="142"/>
        <v>297.32483725004136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3.7</v>
      </c>
      <c r="AI142" s="13">
        <f>IF('Données projet'!$A$62&gt;35,AI141+AH142-AQ141,IF(A142&lt;'Données projet'!$A$62,$AF$205^A142,IF(A142='Données projet'!$A$62,'Données projet'!$B$62,AI141+AH142-AQ141)))</f>
        <v>315.79999999999978</v>
      </c>
      <c r="AJ142" s="13">
        <f>AI142*VLOOKUP('Données projet'!$B$10,Paramètres!$A$1:$I$89,3,0)*VLOOKUP('Données projet'!$B$10,Paramètres!$A$1:$I$89,5,0)</f>
        <v>266.02991999999983</v>
      </c>
      <c r="AK142" s="13">
        <f t="shared" si="143"/>
        <v>64.005993105006922</v>
      </c>
      <c r="AL142" s="20">
        <f t="shared" si="112"/>
        <v>574.81254865788685</v>
      </c>
      <c r="AM142" s="57">
        <f t="shared" si="113"/>
        <v>860.09598891408768</v>
      </c>
      <c r="AN142" s="57">
        <f ca="1">AVERAGE(OFFSET($AM$3,0,0,'Données projet'!$E$10+1,1))-AVERAGE(OFFSET($H$3,0,0,'Données projet'!$E$10+1,1))</f>
        <v>508.21188526136734</v>
      </c>
      <c r="AO142" s="57">
        <f t="shared" si="144"/>
        <v>281.06176764290592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-1.064108801074326E-13</v>
      </c>
      <c r="BF142" s="13" t="e">
        <f t="shared" si="145"/>
        <v>#NUM!</v>
      </c>
      <c r="BG142" s="20" t="e">
        <f t="shared" si="115"/>
        <v>#NUM!</v>
      </c>
      <c r="BH142" s="57" t="e">
        <f t="shared" si="116"/>
        <v>#NUM!</v>
      </c>
      <c r="BI142" s="57">
        <f ca="1">AVERAGE(OFFSET($BH$3,0,0,'Données projet'!$E$11+1,1))-AVERAGE(OFFSET($H$3,0,0,'Données projet'!$E$11+1,1))</f>
        <v>449.50723280509311</v>
      </c>
      <c r="BJ142" s="57">
        <f t="shared" si="146"/>
        <v>281.26353650058275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107.65765922416919</v>
      </c>
      <c r="BQ142" s="21">
        <f>EXP(-LN(2)/25)*BQ141+(1-EXP(-LN(2)/25))/(LN(2)/25)*Calculateur!BL142*Calculateur!BN142*VLOOKUP('Données projet'!$B$11,Paramètres!$A$1:$I$89,3,0)*0.475*44/12</f>
        <v>17.848155849460642</v>
      </c>
      <c r="BR142" s="21">
        <f>EXP(-LN(2)/2)*BR141+(1-EXP(-LN(2)/2))/(LN(2)/2)*BL142*BO142*VLOOKUP('Données projet'!$B$11,Paramètres!$A$1:$I$89,3,0)*0.475*44/12</f>
        <v>5.7082942472749562E-5</v>
      </c>
      <c r="BS142" s="22">
        <f t="shared" si="117"/>
        <v>125.50587215657231</v>
      </c>
      <c r="BT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2.7</v>
      </c>
      <c r="BY142" s="12">
        <f>IF('Données projet'!$A$114&gt;35,BY141+BX142-CG141,IF(A142&lt;'Données projet'!$A$114,$BV$205^A142,IF(A142='Données projet'!$A$114,'Données projet'!$B$114,BY141+BX142-CG141)))</f>
        <v>293.29999999999905</v>
      </c>
      <c r="BZ142" s="13">
        <f>BY142*VLOOKUP('Données projet'!$B$12,Paramètres!$A$1:$I$89,3,0)*VLOOKUP('Données projet'!$B$12,Paramètres!$A$1:$I$89,5,0)</f>
        <v>279.10427999999911</v>
      </c>
      <c r="CA142" s="13">
        <f t="shared" si="147"/>
        <v>66.777682211568745</v>
      </c>
      <c r="CB142" s="20">
        <f t="shared" si="118"/>
        <v>602.41108418514727</v>
      </c>
      <c r="CC142" s="57">
        <f t="shared" si="119"/>
        <v>887.69452444134822</v>
      </c>
      <c r="CD142" s="57">
        <f ca="1">AVERAGE(OFFSET($CC$3,0,0,'Données projet'!$E$12+1,1))-AVERAGE(OFFSET($H$3,0,0,'Données projet'!$E$12+1,1))</f>
        <v>479.4551766174892</v>
      </c>
      <c r="CE142" s="57">
        <f t="shared" si="148"/>
        <v>260.29028006191834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-2.2737367544323206E-13</v>
      </c>
      <c r="CU142" s="17">
        <f>CT142*VLOOKUP('Données projet'!$B$13,Paramètres!$A$1:$I$89,3,0)*VLOOKUP('Données projet'!$B$13,Paramètres!$A$1:$I$89,5,0)</f>
        <v>-1.2710188457276673E-13</v>
      </c>
      <c r="CV142" s="13" t="e">
        <f t="shared" si="149"/>
        <v>#NUM!</v>
      </c>
      <c r="CW142" s="20" t="e">
        <f t="shared" si="121"/>
        <v>#NUM!</v>
      </c>
      <c r="CX142" s="57" t="e">
        <f t="shared" si="122"/>
        <v>#NUM!</v>
      </c>
      <c r="CY142" s="57">
        <f ca="1">AVERAGE(OFFSET($CX$3,0,0,'Données projet'!$E$13+1,1))-AVERAGE(OFFSET($H$3,0,0,'Données projet'!$E$13+1,1))</f>
        <v>459.83870442974046</v>
      </c>
      <c r="CZ142" s="57">
        <f t="shared" si="150"/>
        <v>565.68976940602215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54.133849699595721</v>
      </c>
      <c r="DG142" s="21">
        <f>EXP(-LN(2)/25)*DG141+(1-EXP(-LN(2)/25))/(LN(2)/25)*Calculateur!DB142*Calculateur!DD142*VLOOKUP('Données projet'!$B$13,Paramètres!$A$1:$I$89,3,0)*0.475*44/12</f>
        <v>7.2076801010609923</v>
      </c>
      <c r="DH142" s="21">
        <f>EXP(-LN(2)/2)*DH141+(1-EXP(-LN(2)/2))/(LN(2)/2)*DB142*DE142*VLOOKUP('Données projet'!$B$13,Paramètres!$A$1:$I$89,3,0)*0.475*44/12</f>
        <v>7.2440989673334563E-11</v>
      </c>
      <c r="DI142" s="22">
        <f t="shared" si="123"/>
        <v>61.341529800729155</v>
      </c>
      <c r="DJ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7" t="e">
        <f t="shared" si="125"/>
        <v>#NUM!</v>
      </c>
      <c r="DT142" s="57">
        <f ca="1">AVERAGE(OFFSET($DS$3,0,0,'Données projet'!$E$14+1,1))-AVERAGE(OFFSET($H$3,0,0,'Données projet'!$E$14+1,1))</f>
        <v>315.23504986325418</v>
      </c>
      <c r="DU142" s="57">
        <f t="shared" si="152"/>
        <v>350.52837099886688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29.417112525129152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29.417112525129152</v>
      </c>
      <c r="EE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3.8933333333333318</v>
      </c>
      <c r="EJ142" s="12">
        <f>IF('Données projet'!$A$192&gt;35,EJ141+EI142-ER141,IF(A142&lt;'Données projet'!$A$192,$EG$205^A142,IF(A142='Données projet'!$A$192,'Données projet'!$B$192,EJ141+EI142-ER141)))</f>
        <v>182.29333333333329</v>
      </c>
      <c r="EK142" s="17">
        <f>EJ142*VLOOKUP('Données projet'!$B$15,Paramètres!$A$1:$I$89,3,0)*VLOOKUP('Données projet'!$B$15,Paramètres!$A$1:$I$89,5,0)</f>
        <v>176.31411199999997</v>
      </c>
      <c r="EL142" s="13">
        <f t="shared" si="153"/>
        <v>44.501159163990444</v>
      </c>
      <c r="EM142" s="20">
        <f t="shared" si="127"/>
        <v>384.58659727728332</v>
      </c>
      <c r="EN142" s="57">
        <f t="shared" si="128"/>
        <v>669.87003753348426</v>
      </c>
      <c r="EO142" s="57">
        <f ca="1">AVERAGE(OFFSET($EN$3,0,0,'Données projet'!$E$15+1,1))-AVERAGE(OFFSET($H$3,0,0,'Données projet'!$E$15+1,1))</f>
        <v>328.31200866623891</v>
      </c>
      <c r="EP142" s="57">
        <f t="shared" si="154"/>
        <v>195.52650232917446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46.402059450667885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46.402059450667885</v>
      </c>
      <c r="EZ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7" t="e">
        <f t="shared" si="131"/>
        <v>#NUM!</v>
      </c>
      <c r="FJ142" s="57">
        <f ca="1">AVERAGE(OFFSET($FI$3,0,0,'Données projet'!$E$16+1,1))-AVERAGE(OFFSET($H$3,0,0,'Données projet'!$E$16+1,1))</f>
        <v>142.88219003619457</v>
      </c>
      <c r="FK142" s="57">
        <f t="shared" si="156"/>
        <v>288.69704547625088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5.6695212452017296</v>
      </c>
      <c r="FR142" s="21">
        <f>EXP(-LN(2)/25)*FR141+(1-EXP(-LN(2)/25))/(LN(2)/25)*Calculateur!FM142*Calculateur!FO142*VLOOKUP('Données projet'!$B$16,Paramètres!$A$1:$I$89,3,0)*0.475*44/12</f>
        <v>0.60478518939686998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6.2743064345985999</v>
      </c>
      <c r="FU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7" t="e">
        <f t="shared" si="134"/>
        <v>#N/A</v>
      </c>
      <c r="GE142" s="57" t="e">
        <f ca="1">AVERAGE(OFFSET($GD$3,0,0,'Données projet'!$E$17+1,1))-AVERAGE(OFFSET($H$3,0,0,'Données projet'!$E$17+1,1))</f>
        <v>#N/A</v>
      </c>
      <c r="GF142" s="57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7" t="e">
        <f t="shared" si="137"/>
        <v>#N/A</v>
      </c>
      <c r="GZ142" s="57" t="e">
        <f ca="1">AVERAGE(OFFSET($GY$3,0,0,'Données projet'!$E$18+1,1))-AVERAGE(OFFSET($H$3,0,0,'Données projet'!$E$18+1,1))</f>
        <v>#N/A</v>
      </c>
      <c r="HA142" s="57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1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5">
        <f t="shared" si="110"/>
        <v>183.33333333333334</v>
      </c>
      <c r="I143" s="6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3.7</v>
      </c>
      <c r="N143" s="13">
        <f>IF('Données projet'!$A$36&gt;35,N142+M143-V142,IF(A143&lt;'Données projet'!$A$36,$K$205^A143,IF(A143='Données projet'!$A$36,'Données projet'!$B$36,N142+M143-V142)))</f>
        <v>319.49999999999977</v>
      </c>
      <c r="O143" s="13">
        <f>N143*VLOOKUP('Données projet'!$B$9,Paramètres!$A$1:$I$89,3,0)*VLOOKUP('Données projet'!$B$9,Paramètres!$A$1:$I$89,5,0)</f>
        <v>289.08359999999982</v>
      </c>
      <c r="P143" s="13">
        <f t="shared" si="141"/>
        <v>68.883053275068107</v>
      </c>
      <c r="Q143" s="20">
        <f t="shared" si="108"/>
        <v>623.4585877874099</v>
      </c>
      <c r="R143" s="57">
        <f t="shared" si="109"/>
        <v>908.8816756916342</v>
      </c>
      <c r="S143" s="57">
        <f ca="1">AVERAGE(OFFSET($R$3,0,0,'Données projet'!$E$9+1,1))-AVERAGE(OFFSET($H$3,0,0,'Données projet'!$E$9+1,1))</f>
        <v>539.63700256763173</v>
      </c>
      <c r="T143" s="57">
        <f t="shared" si="142"/>
        <v>297.32483725004136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3.7</v>
      </c>
      <c r="AI143" s="13">
        <f>IF('Données projet'!$A$62&gt;35,AI142+AH143-AQ142,IF(A143&lt;'Données projet'!$A$62,$AF$205^A143,IF(A143='Données projet'!$A$62,'Données projet'!$B$62,AI142+AH143-AQ142)))</f>
        <v>319.49999999999977</v>
      </c>
      <c r="AJ143" s="13">
        <f>AI143*VLOOKUP('Données projet'!$B$10,Paramètres!$A$1:$I$89,3,0)*VLOOKUP('Données projet'!$B$10,Paramètres!$A$1:$I$89,5,0)</f>
        <v>269.14679999999981</v>
      </c>
      <c r="AK143" s="13">
        <f t="shared" si="143"/>
        <v>64.668165374238654</v>
      </c>
      <c r="AL143" s="20">
        <f t="shared" si="112"/>
        <v>581.39439802679851</v>
      </c>
      <c r="AM143" s="57">
        <f t="shared" si="113"/>
        <v>866.81748593102293</v>
      </c>
      <c r="AN143" s="57">
        <f ca="1">AVERAGE(OFFSET($AM$3,0,0,'Données projet'!$E$10+1,1))-AVERAGE(OFFSET($H$3,0,0,'Données projet'!$E$10+1,1))</f>
        <v>508.21188526136734</v>
      </c>
      <c r="AO143" s="57">
        <f t="shared" si="144"/>
        <v>281.06176764290592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-1.064108801074326E-13</v>
      </c>
      <c r="BF143" s="13" t="e">
        <f t="shared" si="145"/>
        <v>#NUM!</v>
      </c>
      <c r="BG143" s="20" t="e">
        <f t="shared" si="115"/>
        <v>#NUM!</v>
      </c>
      <c r="BH143" s="57" t="e">
        <f t="shared" si="116"/>
        <v>#NUM!</v>
      </c>
      <c r="BI143" s="57">
        <f ca="1">AVERAGE(OFFSET($BH$3,0,0,'Données projet'!$E$11+1,1))-AVERAGE(OFFSET($H$3,0,0,'Données projet'!$E$11+1,1))</f>
        <v>449.50723280509311</v>
      </c>
      <c r="BJ143" s="57">
        <f t="shared" si="146"/>
        <v>281.26353650058275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105.54655819147152</v>
      </c>
      <c r="BQ143" s="21">
        <f>EXP(-LN(2)/25)*BQ142+(1-EXP(-LN(2)/25))/(LN(2)/25)*Calculateur!BL143*Calculateur!BN143*VLOOKUP('Données projet'!$B$11,Paramètres!$A$1:$I$89,3,0)*0.475*44/12</f>
        <v>17.360097089163418</v>
      </c>
      <c r="BR143" s="21">
        <f>EXP(-LN(2)/2)*BR142+(1-EXP(-LN(2)/2))/(LN(2)/2)*BL143*BO143*VLOOKUP('Données projet'!$B$11,Paramètres!$A$1:$I$89,3,0)*0.475*44/12</f>
        <v>4.0363735712562805E-5</v>
      </c>
      <c r="BS143" s="22">
        <f t="shared" si="117"/>
        <v>122.90669564437064</v>
      </c>
      <c r="BT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>
        <f>VLOOKUP(A143,'Données projet'!$A$113:$I$133,2,0)</f>
        <v>296</v>
      </c>
      <c r="BW143" s="12">
        <f>VLOOKUP(A143,'Données projet'!$A$113:$I$133,9,0)</f>
        <v>2.7</v>
      </c>
      <c r="BX143" s="12">
        <f t="array" ref="BX143">INDEX(BW:BW,MIN(IF(ISNUMBER(BW143:BW339),ROW(BW143:BW339),"")))</f>
        <v>2.7</v>
      </c>
      <c r="BY143" s="12">
        <f>IF('Données projet'!$A$114&gt;35,BY142+BX143-CG142,IF(A143&lt;'Données projet'!$A$114,$BV$205^A143,IF(A143='Données projet'!$A$114,'Données projet'!$B$114,BY142+BX143-CG142)))</f>
        <v>295.99999999999903</v>
      </c>
      <c r="BZ143" s="13">
        <f>BY143*VLOOKUP('Données projet'!$B$12,Paramètres!$A$1:$I$89,3,0)*VLOOKUP('Données projet'!$B$12,Paramètres!$A$1:$I$89,5,0)</f>
        <v>281.67359999999906</v>
      </c>
      <c r="CA143" s="13">
        <f t="shared" si="147"/>
        <v>67.320565909728657</v>
      </c>
      <c r="CB143" s="20">
        <f t="shared" si="118"/>
        <v>607.83150562610911</v>
      </c>
      <c r="CC143" s="57">
        <f t="shared" si="119"/>
        <v>893.25459353033352</v>
      </c>
      <c r="CD143" s="57">
        <f ca="1">AVERAGE(OFFSET($CC$3,0,0,'Données projet'!$E$12+1,1))-AVERAGE(OFFSET($H$3,0,0,'Données projet'!$E$12+1,1))</f>
        <v>479.4551766174892</v>
      </c>
      <c r="CE143" s="57">
        <f t="shared" si="148"/>
        <v>260.29028006191834</v>
      </c>
      <c r="CF143" s="15">
        <f>IF(ISNA(VLOOKUP(A143,'Données projet'!$A$113:$I$133,3,0)),0,VLOOKUP(A143,'Données projet'!$A$113:$I$133,3,0))</f>
        <v>19</v>
      </c>
      <c r="CG143" s="15">
        <f>IF(ISNA(VLOOKUP(A143,'Données projet'!$A$113:$I$133,4,0)),0,VLOOKUP(A143,'Données projet'!$A$113:$I$133,4,0))</f>
        <v>27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-2.2737367544323206E-13</v>
      </c>
      <c r="CU143" s="17">
        <f>CT143*VLOOKUP('Données projet'!$B$13,Paramètres!$A$1:$I$89,3,0)*VLOOKUP('Données projet'!$B$13,Paramètres!$A$1:$I$89,5,0)</f>
        <v>-1.2710188457276673E-13</v>
      </c>
      <c r="CV143" s="13" t="e">
        <f t="shared" si="149"/>
        <v>#NUM!</v>
      </c>
      <c r="CW143" s="20" t="e">
        <f t="shared" si="121"/>
        <v>#NUM!</v>
      </c>
      <c r="CX143" s="57" t="e">
        <f t="shared" si="122"/>
        <v>#NUM!</v>
      </c>
      <c r="CY143" s="57">
        <f ca="1">AVERAGE(OFFSET($CX$3,0,0,'Données projet'!$E$13+1,1))-AVERAGE(OFFSET($H$3,0,0,'Données projet'!$E$13+1,1))</f>
        <v>459.83870442974046</v>
      </c>
      <c r="CZ143" s="57">
        <f t="shared" si="150"/>
        <v>565.68976940602215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53.072317925374669</v>
      </c>
      <c r="DG143" s="21">
        <f>EXP(-LN(2)/25)*DG142+(1-EXP(-LN(2)/25))/(LN(2)/25)*Calculateur!DB143*Calculateur!DD143*VLOOKUP('Données projet'!$B$13,Paramètres!$A$1:$I$89,3,0)*0.475*44/12</f>
        <v>7.0105857096620561</v>
      </c>
      <c r="DH143" s="21">
        <f>EXP(-LN(2)/2)*DH142+(1-EXP(-LN(2)/2))/(LN(2)/2)*DB143*DE143*VLOOKUP('Données projet'!$B$13,Paramètres!$A$1:$I$89,3,0)*0.475*44/12</f>
        <v>5.1223515033879533E-11</v>
      </c>
      <c r="DI143" s="22">
        <f t="shared" si="123"/>
        <v>60.082903635087952</v>
      </c>
      <c r="DJ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7" t="e">
        <f t="shared" si="125"/>
        <v>#NUM!</v>
      </c>
      <c r="DT143" s="57">
        <f ca="1">AVERAGE(OFFSET($DS$3,0,0,'Données projet'!$E$14+1,1))-AVERAGE(OFFSET($H$3,0,0,'Données projet'!$E$14+1,1))</f>
        <v>315.23504986325418</v>
      </c>
      <c r="DU143" s="57">
        <f t="shared" si="152"/>
        <v>350.52837099886688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28.840260891178318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28.840260891178318</v>
      </c>
      <c r="EE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3.8933333333333318</v>
      </c>
      <c r="EJ143" s="12">
        <f>IF('Données projet'!$A$192&gt;35,EJ142+EI143-ER142,IF(A143&lt;'Données projet'!$A$192,$EG$205^A143,IF(A143='Données projet'!$A$192,'Données projet'!$B$192,EJ142+EI143-ER142)))</f>
        <v>186.18666666666664</v>
      </c>
      <c r="EK143" s="17">
        <f>EJ143*VLOOKUP('Données projet'!$B$15,Paramètres!$A$1:$I$89,3,0)*VLOOKUP('Données projet'!$B$15,Paramètres!$A$1:$I$89,5,0)</f>
        <v>180.07974399999998</v>
      </c>
      <c r="EL143" s="13">
        <f t="shared" si="153"/>
        <v>45.339927279996608</v>
      </c>
      <c r="EM143" s="20">
        <f t="shared" si="127"/>
        <v>392.60592747932736</v>
      </c>
      <c r="EN143" s="57">
        <f t="shared" si="128"/>
        <v>678.02901538355172</v>
      </c>
      <c r="EO143" s="57">
        <f ca="1">AVERAGE(OFFSET($EN$3,0,0,'Données projet'!$E$15+1,1))-AVERAGE(OFFSET($H$3,0,0,'Données projet'!$E$15+1,1))</f>
        <v>328.31200866623891</v>
      </c>
      <c r="EP143" s="57">
        <f t="shared" si="154"/>
        <v>195.52650232917446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45.492143367301914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45.492143367301914</v>
      </c>
      <c r="EZ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7" t="e">
        <f t="shared" si="131"/>
        <v>#NUM!</v>
      </c>
      <c r="FJ143" s="57">
        <f ca="1">AVERAGE(OFFSET($FI$3,0,0,'Données projet'!$E$16+1,1))-AVERAGE(OFFSET($H$3,0,0,'Données projet'!$E$16+1,1))</f>
        <v>142.88219003619457</v>
      </c>
      <c r="FK143" s="57">
        <f t="shared" si="156"/>
        <v>288.69704547625088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5.5583453916498273</v>
      </c>
      <c r="FR143" s="21">
        <f>EXP(-LN(2)/25)*FR142+(1-EXP(-LN(2)/25))/(LN(2)/25)*Calculateur!FM143*Calculateur!FO143*VLOOKUP('Données projet'!$B$16,Paramètres!$A$1:$I$89,3,0)*0.475*44/12</f>
        <v>0.58824730658854174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6.1465926982383694</v>
      </c>
      <c r="FU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7" t="e">
        <f t="shared" si="134"/>
        <v>#N/A</v>
      </c>
      <c r="GE143" s="57" t="e">
        <f ca="1">AVERAGE(OFFSET($GD$3,0,0,'Données projet'!$E$17+1,1))-AVERAGE(OFFSET($H$3,0,0,'Données projet'!$E$17+1,1))</f>
        <v>#N/A</v>
      </c>
      <c r="GF143" s="57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7" t="e">
        <f t="shared" si="137"/>
        <v>#N/A</v>
      </c>
      <c r="GZ143" s="57" t="e">
        <f ca="1">AVERAGE(OFFSET($GY$3,0,0,'Données projet'!$E$18+1,1))-AVERAGE(OFFSET($H$3,0,0,'Données projet'!$E$18+1,1))</f>
        <v>#N/A</v>
      </c>
      <c r="HA143" s="57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1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5">
        <f t="shared" si="110"/>
        <v>183.33333333333334</v>
      </c>
      <c r="I144" s="6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3.7</v>
      </c>
      <c r="N144" s="13">
        <f>IF('Données projet'!$A$36&gt;35,N143+M144-V143,IF(A144&lt;'Données projet'!$A$36,$K$205^A144,IF(A144='Données projet'!$A$36,'Données projet'!$B$36,N143+M144-V143)))</f>
        <v>323.19999999999976</v>
      </c>
      <c r="O144" s="13">
        <f>N144*VLOOKUP('Données projet'!$B$9,Paramètres!$A$1:$I$89,3,0)*VLOOKUP('Données projet'!$B$9,Paramètres!$A$1:$I$89,5,0)</f>
        <v>292.43135999999976</v>
      </c>
      <c r="P144" s="13">
        <f t="shared" si="141"/>
        <v>69.58743390317693</v>
      </c>
      <c r="Q144" s="20">
        <f t="shared" si="108"/>
        <v>630.51606604803271</v>
      </c>
      <c r="R144" s="57">
        <f t="shared" si="109"/>
        <v>916.07637902579268</v>
      </c>
      <c r="S144" s="57">
        <f ca="1">AVERAGE(OFFSET($R$3,0,0,'Données projet'!$E$9+1,1))-AVERAGE(OFFSET($H$3,0,0,'Données projet'!$E$9+1,1))</f>
        <v>539.63700256763173</v>
      </c>
      <c r="T144" s="57">
        <f t="shared" si="142"/>
        <v>297.32483725004136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3.7</v>
      </c>
      <c r="AI144" s="13">
        <f>IF('Données projet'!$A$62&gt;35,AI143+AH144-AQ143,IF(A144&lt;'Données projet'!$A$62,$AF$205^A144,IF(A144='Données projet'!$A$62,'Données projet'!$B$62,AI143+AH144-AQ143)))</f>
        <v>323.19999999999976</v>
      </c>
      <c r="AJ144" s="13">
        <f>AI144*VLOOKUP('Données projet'!$B$10,Paramètres!$A$1:$I$89,3,0)*VLOOKUP('Données projet'!$B$10,Paramètres!$A$1:$I$89,5,0)</f>
        <v>272.26367999999979</v>
      </c>
      <c r="AK144" s="13">
        <f t="shared" si="143"/>
        <v>65.329445627932614</v>
      </c>
      <c r="AL144" s="20">
        <f t="shared" si="112"/>
        <v>587.9746938019822</v>
      </c>
      <c r="AM144" s="57">
        <f t="shared" si="113"/>
        <v>873.53500677974216</v>
      </c>
      <c r="AN144" s="57">
        <f ca="1">AVERAGE(OFFSET($AM$3,0,0,'Données projet'!$E$10+1,1))-AVERAGE(OFFSET($H$3,0,0,'Données projet'!$E$10+1,1))</f>
        <v>508.21188526136734</v>
      </c>
      <c r="AO144" s="57">
        <f t="shared" si="144"/>
        <v>281.06176764290592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-1.064108801074326E-13</v>
      </c>
      <c r="BF144" s="13" t="e">
        <f t="shared" si="145"/>
        <v>#NUM!</v>
      </c>
      <c r="BG144" s="20" t="e">
        <f t="shared" si="115"/>
        <v>#NUM!</v>
      </c>
      <c r="BH144" s="57" t="e">
        <f t="shared" si="116"/>
        <v>#NUM!</v>
      </c>
      <c r="BI144" s="57">
        <f ca="1">AVERAGE(OFFSET($BH$3,0,0,'Données projet'!$E$11+1,1))-AVERAGE(OFFSET($H$3,0,0,'Données projet'!$E$11+1,1))</f>
        <v>449.50723280509311</v>
      </c>
      <c r="BJ144" s="57">
        <f t="shared" si="146"/>
        <v>281.26353650058275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103.47685456238055</v>
      </c>
      <c r="BQ144" s="21">
        <f>EXP(-LN(2)/25)*BQ143+(1-EXP(-LN(2)/25))/(LN(2)/25)*Calculateur!BL144*Calculateur!BN144*VLOOKUP('Données projet'!$B$11,Paramètres!$A$1:$I$89,3,0)*0.475*44/12</f>
        <v>16.885384321332417</v>
      </c>
      <c r="BR144" s="21">
        <f>EXP(-LN(2)/2)*BR143+(1-EXP(-LN(2)/2))/(LN(2)/2)*BL144*BO144*VLOOKUP('Données projet'!$B$11,Paramètres!$A$1:$I$89,3,0)*0.475*44/12</f>
        <v>2.8541471236374781E-5</v>
      </c>
      <c r="BS144" s="22">
        <f t="shared" si="117"/>
        <v>120.3622674251842</v>
      </c>
      <c r="BT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2.4</v>
      </c>
      <c r="BY144" s="12">
        <f>IF('Données projet'!$A$114&gt;35,BY143+BX144-CG143,IF(A144&lt;'Données projet'!$A$114,$BV$205^A144,IF(A144='Données projet'!$A$114,'Données projet'!$B$114,BY143+BX144-CG143)))</f>
        <v>271.39999999999901</v>
      </c>
      <c r="BZ144" s="13">
        <f>BY144*VLOOKUP('Données projet'!$B$12,Paramètres!$A$1:$I$89,3,0)*VLOOKUP('Données projet'!$B$12,Paramètres!$A$1:$I$89,5,0)</f>
        <v>258.26423999999906</v>
      </c>
      <c r="CA144" s="13">
        <f t="shared" si="147"/>
        <v>62.352239950787933</v>
      </c>
      <c r="CB144" s="20">
        <f t="shared" si="118"/>
        <v>558.40703591428735</v>
      </c>
      <c r="CC144" s="57">
        <f t="shared" si="119"/>
        <v>843.96734889204731</v>
      </c>
      <c r="CD144" s="57">
        <f ca="1">AVERAGE(OFFSET($CC$3,0,0,'Données projet'!$E$12+1,1))-AVERAGE(OFFSET($H$3,0,0,'Données projet'!$E$12+1,1))</f>
        <v>479.4551766174892</v>
      </c>
      <c r="CE144" s="57">
        <f t="shared" si="148"/>
        <v>260.29028006191834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-2.2737367544323206E-13</v>
      </c>
      <c r="CU144" s="17">
        <f>CT144*VLOOKUP('Données projet'!$B$13,Paramètres!$A$1:$I$89,3,0)*VLOOKUP('Données projet'!$B$13,Paramètres!$A$1:$I$89,5,0)</f>
        <v>-1.2710188457276673E-13</v>
      </c>
      <c r="CV144" s="13" t="e">
        <f t="shared" si="149"/>
        <v>#NUM!</v>
      </c>
      <c r="CW144" s="20" t="e">
        <f t="shared" si="121"/>
        <v>#NUM!</v>
      </c>
      <c r="CX144" s="57" t="e">
        <f t="shared" si="122"/>
        <v>#NUM!</v>
      </c>
      <c r="CY144" s="57">
        <f ca="1">AVERAGE(OFFSET($CX$3,0,0,'Données projet'!$E$13+1,1))-AVERAGE(OFFSET($H$3,0,0,'Données projet'!$E$13+1,1))</f>
        <v>459.83870442974046</v>
      </c>
      <c r="CZ144" s="57">
        <f t="shared" si="150"/>
        <v>565.68976940602215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52.031602141775643</v>
      </c>
      <c r="DG144" s="21">
        <f>EXP(-LN(2)/25)*DG143+(1-EXP(-LN(2)/25))/(LN(2)/25)*Calculateur!DB144*Calculateur!DD144*VLOOKUP('Données projet'!$B$13,Paramètres!$A$1:$I$89,3,0)*0.475*44/12</f>
        <v>6.8188808747606675</v>
      </c>
      <c r="DH144" s="21">
        <f>EXP(-LN(2)/2)*DH143+(1-EXP(-LN(2)/2))/(LN(2)/2)*DB144*DE144*VLOOKUP('Données projet'!$B$13,Paramètres!$A$1:$I$89,3,0)*0.475*44/12</f>
        <v>3.6220494836667282E-11</v>
      </c>
      <c r="DI144" s="22">
        <f t="shared" si="123"/>
        <v>58.850483016572532</v>
      </c>
      <c r="DJ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7" t="e">
        <f t="shared" si="125"/>
        <v>#NUM!</v>
      </c>
      <c r="DT144" s="57">
        <f ca="1">AVERAGE(OFFSET($DS$3,0,0,'Données projet'!$E$14+1,1))-AVERAGE(OFFSET($H$3,0,0,'Données projet'!$E$14+1,1))</f>
        <v>315.23504986325418</v>
      </c>
      <c r="DU144" s="57">
        <f t="shared" si="152"/>
        <v>350.52837099886688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28.274720965924505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28.274720965924505</v>
      </c>
      <c r="EE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3.8933333333333318</v>
      </c>
      <c r="EJ144" s="12">
        <f>IF('Données projet'!$A$192&gt;35,EJ143+EI144-ER143,IF(A144&lt;'Données projet'!$A$192,$EG$205^A144,IF(A144='Données projet'!$A$192,'Données projet'!$B$192,EJ143+EI144-ER143)))</f>
        <v>190.07999999999998</v>
      </c>
      <c r="EK144" s="17">
        <f>EJ144*VLOOKUP('Données projet'!$B$15,Paramètres!$A$1:$I$89,3,0)*VLOOKUP('Données projet'!$B$15,Paramètres!$A$1:$I$89,5,0)</f>
        <v>183.84537599999999</v>
      </c>
      <c r="EL144" s="13">
        <f t="shared" si="153"/>
        <v>46.176656134476438</v>
      </c>
      <c r="EM144" s="20">
        <f t="shared" si="127"/>
        <v>400.6217059675464</v>
      </c>
      <c r="EN144" s="57">
        <f t="shared" si="128"/>
        <v>686.18201894530648</v>
      </c>
      <c r="EO144" s="57">
        <f ca="1">AVERAGE(OFFSET($EN$3,0,0,'Données projet'!$E$15+1,1))-AVERAGE(OFFSET($H$3,0,0,'Données projet'!$E$15+1,1))</f>
        <v>328.31200866623891</v>
      </c>
      <c r="EP144" s="57">
        <f t="shared" si="154"/>
        <v>195.52650232917446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44.60007018333674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44.60007018333674</v>
      </c>
      <c r="EZ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7" t="e">
        <f t="shared" si="131"/>
        <v>#NUM!</v>
      </c>
      <c r="FJ144" s="57">
        <f ca="1">AVERAGE(OFFSET($FI$3,0,0,'Données projet'!$E$16+1,1))-AVERAGE(OFFSET($H$3,0,0,'Données projet'!$E$16+1,1))</f>
        <v>142.88219003619457</v>
      </c>
      <c r="FK144" s="57">
        <f t="shared" si="156"/>
        <v>288.69704547625088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5.4493496287755034</v>
      </c>
      <c r="FR144" s="21">
        <f>EXP(-LN(2)/25)*FR143+(1-EXP(-LN(2)/25))/(LN(2)/25)*Calculateur!FM144*Calculateur!FO144*VLOOKUP('Données projet'!$B$16,Paramètres!$A$1:$I$89,3,0)*0.475*44/12</f>
        <v>0.57216165305529665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6.0215112818307999</v>
      </c>
      <c r="FU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7" t="e">
        <f t="shared" si="134"/>
        <v>#N/A</v>
      </c>
      <c r="GE144" s="57" t="e">
        <f ca="1">AVERAGE(OFFSET($GD$3,0,0,'Données projet'!$E$17+1,1))-AVERAGE(OFFSET($H$3,0,0,'Données projet'!$E$17+1,1))</f>
        <v>#N/A</v>
      </c>
      <c r="GF144" s="57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7" t="e">
        <f t="shared" si="137"/>
        <v>#N/A</v>
      </c>
      <c r="GZ144" s="57" t="e">
        <f ca="1">AVERAGE(OFFSET($GY$3,0,0,'Données projet'!$E$18+1,1))-AVERAGE(OFFSET($H$3,0,0,'Données projet'!$E$18+1,1))</f>
        <v>#N/A</v>
      </c>
      <c r="HA144" s="57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1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5">
        <f t="shared" si="110"/>
        <v>183.33333333333334</v>
      </c>
      <c r="I145" s="6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3.7</v>
      </c>
      <c r="N145" s="13">
        <f>IF('Données projet'!$A$36&gt;35,N144+M145-V144,IF(A145&lt;'Données projet'!$A$36,$K$205^A145,IF(A145='Données projet'!$A$36,'Données projet'!$B$36,N144+M145-V144)))</f>
        <v>326.89999999999975</v>
      </c>
      <c r="O145" s="13">
        <f>N145*VLOOKUP('Données projet'!$B$9,Paramètres!$A$1:$I$89,3,0)*VLOOKUP('Données projet'!$B$9,Paramètres!$A$1:$I$89,5,0)</f>
        <v>295.77911999999975</v>
      </c>
      <c r="P145" s="13">
        <f t="shared" si="141"/>
        <v>70.290876512663189</v>
      </c>
      <c r="Q145" s="20">
        <f t="shared" si="108"/>
        <v>637.571910592888</v>
      </c>
      <c r="R145" s="57">
        <f t="shared" si="109"/>
        <v>923.26706809594702</v>
      </c>
      <c r="S145" s="57">
        <f ca="1">AVERAGE(OFFSET($R$3,0,0,'Données projet'!$E$9+1,1))-AVERAGE(OFFSET($H$3,0,0,'Données projet'!$E$9+1,1))</f>
        <v>539.63700256763173</v>
      </c>
      <c r="T145" s="57">
        <f t="shared" si="142"/>
        <v>297.32483725004136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3.7</v>
      </c>
      <c r="AI145" s="13">
        <f>IF('Données projet'!$A$62&gt;35,AI144+AH145-AQ144,IF(A145&lt;'Données projet'!$A$62,$AF$205^A145,IF(A145='Données projet'!$A$62,'Données projet'!$B$62,AI144+AH145-AQ144)))</f>
        <v>326.89999999999975</v>
      </c>
      <c r="AJ145" s="13">
        <f>AI145*VLOOKUP('Données projet'!$B$10,Paramètres!$A$1:$I$89,3,0)*VLOOKUP('Données projet'!$B$10,Paramètres!$A$1:$I$89,5,0)</f>
        <v>275.38055999999983</v>
      </c>
      <c r="AK145" s="13">
        <f t="shared" si="143"/>
        <v>65.989845259463067</v>
      </c>
      <c r="AL145" s="20">
        <f t="shared" si="112"/>
        <v>594.5534558268979</v>
      </c>
      <c r="AM145" s="57">
        <f t="shared" si="113"/>
        <v>880.24861332995692</v>
      </c>
      <c r="AN145" s="57">
        <f ca="1">AVERAGE(OFFSET($AM$3,0,0,'Données projet'!$E$10+1,1))-AVERAGE(OFFSET($H$3,0,0,'Données projet'!$E$10+1,1))</f>
        <v>508.21188526136734</v>
      </c>
      <c r="AO145" s="57">
        <f t="shared" si="144"/>
        <v>281.06176764290592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-1.064108801074326E-13</v>
      </c>
      <c r="BF145" s="13" t="e">
        <f t="shared" si="145"/>
        <v>#NUM!</v>
      </c>
      <c r="BG145" s="20" t="e">
        <f t="shared" si="115"/>
        <v>#NUM!</v>
      </c>
      <c r="BH145" s="57" t="e">
        <f t="shared" si="116"/>
        <v>#NUM!</v>
      </c>
      <c r="BI145" s="57">
        <f ca="1">AVERAGE(OFFSET($BH$3,0,0,'Données projet'!$E$11+1,1))-AVERAGE(OFFSET($H$3,0,0,'Données projet'!$E$11+1,1))</f>
        <v>449.50723280509311</v>
      </c>
      <c r="BJ145" s="57">
        <f t="shared" si="146"/>
        <v>281.26353650058275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101.4477365590615</v>
      </c>
      <c r="BQ145" s="21">
        <f>EXP(-LN(2)/25)*BQ144+(1-EXP(-LN(2)/25))/(LN(2)/25)*Calculateur!BL145*Calculateur!BN145*VLOOKUP('Données projet'!$B$11,Paramètres!$A$1:$I$89,3,0)*0.475*44/12</f>
        <v>16.423652599101814</v>
      </c>
      <c r="BR145" s="21">
        <f>EXP(-LN(2)/2)*BR144+(1-EXP(-LN(2)/2))/(LN(2)/2)*BL145*BO145*VLOOKUP('Données projet'!$B$11,Paramètres!$A$1:$I$89,3,0)*0.475*44/12</f>
        <v>2.0181867856281402E-5</v>
      </c>
      <c r="BS145" s="22">
        <f t="shared" si="117"/>
        <v>117.87140934003116</v>
      </c>
      <c r="BT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2.4</v>
      </c>
      <c r="BY145" s="12">
        <f>IF('Données projet'!$A$114&gt;35,BY144+BX145-CG144,IF(A145&lt;'Données projet'!$A$114,$BV$205^A145,IF(A145='Données projet'!$A$114,'Données projet'!$B$114,BY144+BX145-CG144)))</f>
        <v>273.79999999999899</v>
      </c>
      <c r="BZ145" s="13">
        <f>BY145*VLOOKUP('Données projet'!$B$12,Paramètres!$A$1:$I$89,3,0)*VLOOKUP('Données projet'!$B$12,Paramètres!$A$1:$I$89,5,0)</f>
        <v>260.54807999999906</v>
      </c>
      <c r="CA145" s="13">
        <f t="shared" si="147"/>
        <v>62.8391921418038</v>
      </c>
      <c r="CB145" s="20">
        <f t="shared" si="118"/>
        <v>563.23283231363996</v>
      </c>
      <c r="CC145" s="57">
        <f t="shared" si="119"/>
        <v>848.92798981669898</v>
      </c>
      <c r="CD145" s="57">
        <f ca="1">AVERAGE(OFFSET($CC$3,0,0,'Données projet'!$E$12+1,1))-AVERAGE(OFFSET($H$3,0,0,'Données projet'!$E$12+1,1))</f>
        <v>479.4551766174892</v>
      </c>
      <c r="CE145" s="57">
        <f t="shared" si="148"/>
        <v>260.29028006191834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-2.2737367544323206E-13</v>
      </c>
      <c r="CU145" s="17">
        <f>CT145*VLOOKUP('Données projet'!$B$13,Paramètres!$A$1:$I$89,3,0)*VLOOKUP('Données projet'!$B$13,Paramètres!$A$1:$I$89,5,0)</f>
        <v>-1.2710188457276673E-13</v>
      </c>
      <c r="CV145" s="13" t="e">
        <f t="shared" si="149"/>
        <v>#NUM!</v>
      </c>
      <c r="CW145" s="20" t="e">
        <f t="shared" si="121"/>
        <v>#NUM!</v>
      </c>
      <c r="CX145" s="57" t="e">
        <f t="shared" si="122"/>
        <v>#NUM!</v>
      </c>
      <c r="CY145" s="57">
        <f ca="1">AVERAGE(OFFSET($CX$3,0,0,'Données projet'!$E$13+1,1))-AVERAGE(OFFSET($H$3,0,0,'Données projet'!$E$13+1,1))</f>
        <v>459.83870442974046</v>
      </c>
      <c r="CZ145" s="57">
        <f t="shared" si="150"/>
        <v>565.68976940602215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51.011294159919046</v>
      </c>
      <c r="DG145" s="21">
        <f>EXP(-LN(2)/25)*DG144+(1-EXP(-LN(2)/25))/(LN(2)/25)*Calculateur!DB145*Calculateur!DD145*VLOOKUP('Données projet'!$B$13,Paramètres!$A$1:$I$89,3,0)*0.475*44/12</f>
        <v>6.6324182186509768</v>
      </c>
      <c r="DH145" s="21">
        <f>EXP(-LN(2)/2)*DH144+(1-EXP(-LN(2)/2))/(LN(2)/2)*DB145*DE145*VLOOKUP('Données projet'!$B$13,Paramètres!$A$1:$I$89,3,0)*0.475*44/12</f>
        <v>2.5611757516939766E-11</v>
      </c>
      <c r="DI145" s="22">
        <f t="shared" si="123"/>
        <v>57.643712378595637</v>
      </c>
      <c r="DJ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7" t="e">
        <f t="shared" si="125"/>
        <v>#NUM!</v>
      </c>
      <c r="DT145" s="57">
        <f ca="1">AVERAGE(OFFSET($DS$3,0,0,'Données projet'!$E$14+1,1))-AVERAGE(OFFSET($H$3,0,0,'Données projet'!$E$14+1,1))</f>
        <v>315.23504986325418</v>
      </c>
      <c r="DU145" s="57">
        <f t="shared" si="152"/>
        <v>350.52837099886688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27.720270933659627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27.720270933659627</v>
      </c>
      <c r="EE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3.8933333333333318</v>
      </c>
      <c r="EJ145" s="12">
        <f>IF('Données projet'!$A$192&gt;35,EJ144+EI145-ER144,IF(A145&lt;'Données projet'!$A$192,$EG$205^A145,IF(A145='Données projet'!$A$192,'Données projet'!$B$192,EJ144+EI145-ER144)))</f>
        <v>193.97333333333333</v>
      </c>
      <c r="EK145" s="17">
        <f>EJ145*VLOOKUP('Données projet'!$B$15,Paramètres!$A$1:$I$89,3,0)*VLOOKUP('Données projet'!$B$15,Paramètres!$A$1:$I$89,5,0)</f>
        <v>187.611008</v>
      </c>
      <c r="EL145" s="13">
        <f t="shared" si="153"/>
        <v>47.011392309803206</v>
      </c>
      <c r="EM145" s="20">
        <f t="shared" si="127"/>
        <v>408.63401387290719</v>
      </c>
      <c r="EN145" s="57">
        <f t="shared" si="128"/>
        <v>694.32917137596633</v>
      </c>
      <c r="EO145" s="57">
        <f ca="1">AVERAGE(OFFSET($EN$3,0,0,'Données projet'!$E$15+1,1))-AVERAGE(OFFSET($H$3,0,0,'Données projet'!$E$15+1,1))</f>
        <v>328.31200866623891</v>
      </c>
      <c r="EP145" s="57">
        <f t="shared" si="154"/>
        <v>195.52650232917446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43.725490010398211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43.725490010398211</v>
      </c>
      <c r="EZ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7" t="e">
        <f t="shared" si="131"/>
        <v>#NUM!</v>
      </c>
      <c r="FJ145" s="57">
        <f ca="1">AVERAGE(OFFSET($FI$3,0,0,'Données projet'!$E$16+1,1))-AVERAGE(OFFSET($H$3,0,0,'Données projet'!$E$16+1,1))</f>
        <v>142.88219003619457</v>
      </c>
      <c r="FK145" s="57">
        <f t="shared" si="156"/>
        <v>288.69704547625088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5.3424912063302941</v>
      </c>
      <c r="FR145" s="21">
        <f>EXP(-LN(2)/25)*FR144+(1-EXP(-LN(2)/25))/(LN(2)/25)*Calculateur!FM145*Calculateur!FO145*VLOOKUP('Données projet'!$B$16,Paramètres!$A$1:$I$89,3,0)*0.475*44/12</f>
        <v>0.5565158625638259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5.8990070688941199</v>
      </c>
      <c r="FU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7" t="e">
        <f t="shared" si="134"/>
        <v>#N/A</v>
      </c>
      <c r="GE145" s="57" t="e">
        <f ca="1">AVERAGE(OFFSET($GD$3,0,0,'Données projet'!$E$17+1,1))-AVERAGE(OFFSET($H$3,0,0,'Données projet'!$E$17+1,1))</f>
        <v>#N/A</v>
      </c>
      <c r="GF145" s="57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7" t="e">
        <f t="shared" si="137"/>
        <v>#N/A</v>
      </c>
      <c r="GZ145" s="57" t="e">
        <f ca="1">AVERAGE(OFFSET($GY$3,0,0,'Données projet'!$E$18+1,1))-AVERAGE(OFFSET($H$3,0,0,'Données projet'!$E$18+1,1))</f>
        <v>#N/A</v>
      </c>
      <c r="HA145" s="57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1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5">
        <f t="shared" si="110"/>
        <v>183.33333333333334</v>
      </c>
      <c r="I146" s="6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3.7</v>
      </c>
      <c r="N146" s="13">
        <f>IF('Données projet'!$A$36&gt;35,N145+M146-V145,IF(A146&lt;'Données projet'!$A$36,$K$205^A146,IF(A146='Données projet'!$A$36,'Données projet'!$B$36,N145+M146-V145)))</f>
        <v>330.59999999999974</v>
      </c>
      <c r="O146" s="13">
        <f>N146*VLOOKUP('Données projet'!$B$9,Paramètres!$A$1:$I$89,3,0)*VLOOKUP('Données projet'!$B$9,Paramètres!$A$1:$I$89,5,0)</f>
        <v>299.1268799999998</v>
      </c>
      <c r="P146" s="13">
        <f t="shared" si="141"/>
        <v>70.993392948952888</v>
      </c>
      <c r="Q146" s="20">
        <f t="shared" si="108"/>
        <v>644.62614205275918</v>
      </c>
      <c r="R146" s="57">
        <f t="shared" si="109"/>
        <v>930.45380483007057</v>
      </c>
      <c r="S146" s="57">
        <f ca="1">AVERAGE(OFFSET($R$3,0,0,'Données projet'!$E$9+1,1))-AVERAGE(OFFSET($H$3,0,0,'Données projet'!$E$9+1,1))</f>
        <v>539.63700256763173</v>
      </c>
      <c r="T146" s="57">
        <f t="shared" si="142"/>
        <v>297.32483725004136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3.7</v>
      </c>
      <c r="AI146" s="13">
        <f>IF('Données projet'!$A$62&gt;35,AI145+AH146-AQ145,IF(A146&lt;'Données projet'!$A$62,$AF$205^A146,IF(A146='Données projet'!$A$62,'Données projet'!$B$62,AI145+AH146-AQ145)))</f>
        <v>330.59999999999974</v>
      </c>
      <c r="AJ146" s="13">
        <f>AI146*VLOOKUP('Données projet'!$B$10,Paramètres!$A$1:$I$89,3,0)*VLOOKUP('Données projet'!$B$10,Paramètres!$A$1:$I$89,5,0)</f>
        <v>278.49743999999981</v>
      </c>
      <c r="AK146" s="13">
        <f t="shared" si="143"/>
        <v>66.649375389445595</v>
      </c>
      <c r="AL146" s="20">
        <f t="shared" si="112"/>
        <v>601.13070346995062</v>
      </c>
      <c r="AM146" s="57">
        <f t="shared" si="113"/>
        <v>886.95836624726212</v>
      </c>
      <c r="AN146" s="57">
        <f ca="1">AVERAGE(OFFSET($AM$3,0,0,'Données projet'!$E$10+1,1))-AVERAGE(OFFSET($H$3,0,0,'Données projet'!$E$10+1,1))</f>
        <v>508.21188526136734</v>
      </c>
      <c r="AO146" s="57">
        <f t="shared" si="144"/>
        <v>281.06176764290592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-1.064108801074326E-13</v>
      </c>
      <c r="BF146" s="13" t="e">
        <f t="shared" si="145"/>
        <v>#NUM!</v>
      </c>
      <c r="BG146" s="20" t="e">
        <f t="shared" si="115"/>
        <v>#NUM!</v>
      </c>
      <c r="BH146" s="57" t="e">
        <f t="shared" si="116"/>
        <v>#NUM!</v>
      </c>
      <c r="BI146" s="57">
        <f ca="1">AVERAGE(OFFSET($BH$3,0,0,'Données projet'!$E$11+1,1))-AVERAGE(OFFSET($H$3,0,0,'Données projet'!$E$11+1,1))</f>
        <v>449.50723280509311</v>
      </c>
      <c r="BJ146" s="57">
        <f t="shared" si="146"/>
        <v>281.26353650058275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99.458408322147761</v>
      </c>
      <c r="BQ146" s="21">
        <f>EXP(-LN(2)/25)*BQ145+(1-EXP(-LN(2)/25))/(LN(2)/25)*Calculateur!BL146*Calculateur!BN146*VLOOKUP('Données projet'!$B$11,Paramètres!$A$1:$I$89,3,0)*0.475*44/12</f>
        <v>15.974546955097022</v>
      </c>
      <c r="BR146" s="21">
        <f>EXP(-LN(2)/2)*BR145+(1-EXP(-LN(2)/2))/(LN(2)/2)*BL146*BO146*VLOOKUP('Données projet'!$B$11,Paramètres!$A$1:$I$89,3,0)*0.475*44/12</f>
        <v>1.4270735618187391E-5</v>
      </c>
      <c r="BS146" s="22">
        <f t="shared" si="117"/>
        <v>115.43296954798041</v>
      </c>
      <c r="BT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2.4</v>
      </c>
      <c r="BY146" s="12">
        <f>IF('Données projet'!$A$114&gt;35,BY145+BX146-CG145,IF(A146&lt;'Données projet'!$A$114,$BV$205^A146,IF(A146='Données projet'!$A$114,'Données projet'!$B$114,BY145+BX146-CG145)))</f>
        <v>276.19999999999897</v>
      </c>
      <c r="BZ146" s="13">
        <f>BY146*VLOOKUP('Données projet'!$B$12,Paramètres!$A$1:$I$89,3,0)*VLOOKUP('Données projet'!$B$12,Paramètres!$A$1:$I$89,5,0)</f>
        <v>262.83191999999906</v>
      </c>
      <c r="CA146" s="13">
        <f t="shared" si="147"/>
        <v>63.325647738843898</v>
      </c>
      <c r="CB146" s="20">
        <f t="shared" si="118"/>
        <v>568.05776381181806</v>
      </c>
      <c r="CC146" s="57">
        <f t="shared" si="119"/>
        <v>853.88542658912957</v>
      </c>
      <c r="CD146" s="57">
        <f ca="1">AVERAGE(OFFSET($CC$3,0,0,'Données projet'!$E$12+1,1))-AVERAGE(OFFSET($H$3,0,0,'Données projet'!$E$12+1,1))</f>
        <v>479.4551766174892</v>
      </c>
      <c r="CE146" s="57">
        <f t="shared" si="148"/>
        <v>260.29028006191834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-2.2737367544323206E-13</v>
      </c>
      <c r="CU146" s="17">
        <f>CT146*VLOOKUP('Données projet'!$B$13,Paramètres!$A$1:$I$89,3,0)*VLOOKUP('Données projet'!$B$13,Paramètres!$A$1:$I$89,5,0)</f>
        <v>-1.2710188457276673E-13</v>
      </c>
      <c r="CV146" s="13" t="e">
        <f t="shared" si="149"/>
        <v>#NUM!</v>
      </c>
      <c r="CW146" s="20" t="e">
        <f t="shared" si="121"/>
        <v>#NUM!</v>
      </c>
      <c r="CX146" s="57" t="e">
        <f t="shared" si="122"/>
        <v>#NUM!</v>
      </c>
      <c r="CY146" s="57">
        <f ca="1">AVERAGE(OFFSET($CX$3,0,0,'Données projet'!$E$13+1,1))-AVERAGE(OFFSET($H$3,0,0,'Données projet'!$E$13+1,1))</f>
        <v>459.83870442974046</v>
      </c>
      <c r="CZ146" s="57">
        <f t="shared" si="150"/>
        <v>565.68976940602215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50.010993795260234</v>
      </c>
      <c r="DG146" s="21">
        <f>EXP(-LN(2)/25)*DG145+(1-EXP(-LN(2)/25))/(LN(2)/25)*Calculateur!DB146*Calculateur!DD146*VLOOKUP('Données projet'!$B$13,Paramètres!$A$1:$I$89,3,0)*0.475*44/12</f>
        <v>6.4510543936782501</v>
      </c>
      <c r="DH146" s="21">
        <f>EXP(-LN(2)/2)*DH145+(1-EXP(-LN(2)/2))/(LN(2)/2)*DB146*DE146*VLOOKUP('Données projet'!$B$13,Paramètres!$A$1:$I$89,3,0)*0.475*44/12</f>
        <v>1.8110247418333641E-11</v>
      </c>
      <c r="DI146" s="22">
        <f t="shared" si="123"/>
        <v>56.462048188956594</v>
      </c>
      <c r="DJ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7" t="e">
        <f t="shared" si="125"/>
        <v>#NUM!</v>
      </c>
      <c r="DT146" s="57">
        <f ca="1">AVERAGE(OFFSET($DS$3,0,0,'Données projet'!$E$14+1,1))-AVERAGE(OFFSET($H$3,0,0,'Données projet'!$E$14+1,1))</f>
        <v>315.23504986325418</v>
      </c>
      <c r="DU146" s="57">
        <f t="shared" si="152"/>
        <v>350.52837099886688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27.176693328346335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27.176693328346335</v>
      </c>
      <c r="EE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3.8933333333333318</v>
      </c>
      <c r="EJ146" s="12">
        <f>IF('Données projet'!$A$192&gt;35,EJ145+EI146-ER145,IF(A146&lt;'Données projet'!$A$192,$EG$205^A146,IF(A146='Données projet'!$A$192,'Données projet'!$B$192,EJ145+EI146-ER145)))</f>
        <v>197.86666666666667</v>
      </c>
      <c r="EK146" s="17">
        <f>EJ146*VLOOKUP('Données projet'!$B$15,Paramètres!$A$1:$I$89,3,0)*VLOOKUP('Données projet'!$B$15,Paramètres!$A$1:$I$89,5,0)</f>
        <v>191.37664000000001</v>
      </c>
      <c r="EL146" s="13">
        <f t="shared" si="153"/>
        <v>47.844180411475214</v>
      </c>
      <c r="EM146" s="20">
        <f t="shared" si="127"/>
        <v>416.64292888331937</v>
      </c>
      <c r="EN146" s="57">
        <f t="shared" si="128"/>
        <v>702.47059166063082</v>
      </c>
      <c r="EO146" s="57">
        <f ca="1">AVERAGE(OFFSET($EN$3,0,0,'Données projet'!$E$15+1,1))-AVERAGE(OFFSET($H$3,0,0,'Données projet'!$E$15+1,1))</f>
        <v>328.31200866623891</v>
      </c>
      <c r="EP146" s="57">
        <f t="shared" si="154"/>
        <v>195.52650232917446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42.868059821209776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42.868059821209776</v>
      </c>
      <c r="EZ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7" t="e">
        <f t="shared" si="131"/>
        <v>#NUM!</v>
      </c>
      <c r="FJ146" s="57">
        <f ca="1">AVERAGE(OFFSET($FI$3,0,0,'Données projet'!$E$16+1,1))-AVERAGE(OFFSET($H$3,0,0,'Données projet'!$E$16+1,1))</f>
        <v>142.88219003619457</v>
      </c>
      <c r="FK146" s="57">
        <f t="shared" si="156"/>
        <v>288.69704547625088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5.2377282123720335</v>
      </c>
      <c r="FR146" s="21">
        <f>EXP(-LN(2)/25)*FR145+(1-EXP(-LN(2)/25))/(LN(2)/25)*Calculateur!FM146*Calculateur!FO146*VLOOKUP('Données projet'!$B$16,Paramètres!$A$1:$I$89,3,0)*0.475*44/12</f>
        <v>0.5412979070361208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5.7790261194081545</v>
      </c>
      <c r="FU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7" t="e">
        <f t="shared" si="134"/>
        <v>#N/A</v>
      </c>
      <c r="GE146" s="57" t="e">
        <f ca="1">AVERAGE(OFFSET($GD$3,0,0,'Données projet'!$E$17+1,1))-AVERAGE(OFFSET($H$3,0,0,'Données projet'!$E$17+1,1))</f>
        <v>#N/A</v>
      </c>
      <c r="GF146" s="57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7" t="e">
        <f t="shared" si="137"/>
        <v>#N/A</v>
      </c>
      <c r="GZ146" s="57" t="e">
        <f ca="1">AVERAGE(OFFSET($GY$3,0,0,'Données projet'!$E$18+1,1))-AVERAGE(OFFSET($H$3,0,0,'Données projet'!$E$18+1,1))</f>
        <v>#N/A</v>
      </c>
      <c r="HA146" s="57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1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5">
        <f t="shared" si="110"/>
        <v>183.33333333333334</v>
      </c>
      <c r="I147" s="6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3.7</v>
      </c>
      <c r="N147" s="13">
        <f>IF('Données projet'!$A$36&gt;35,N146+M147-V146,IF(A147&lt;'Données projet'!$A$36,$K$205^A147,IF(A147='Données projet'!$A$36,'Données projet'!$B$36,N146+M147-V146)))</f>
        <v>334.29999999999973</v>
      </c>
      <c r="O147" s="13">
        <f>N147*VLOOKUP('Données projet'!$B$9,Paramètres!$A$1:$I$89,3,0)*VLOOKUP('Données projet'!$B$9,Paramètres!$A$1:$I$89,5,0)</f>
        <v>302.47463999999974</v>
      </c>
      <c r="P147" s="13">
        <f t="shared" si="141"/>
        <v>71.694994777063087</v>
      </c>
      <c r="Q147" s="20">
        <f t="shared" si="108"/>
        <v>651.678780570051</v>
      </c>
      <c r="R147" s="57">
        <f t="shared" si="109"/>
        <v>937.63664995134388</v>
      </c>
      <c r="S147" s="57">
        <f ca="1">AVERAGE(OFFSET($R$3,0,0,'Données projet'!$E$9+1,1))-AVERAGE(OFFSET($H$3,0,0,'Données projet'!$E$9+1,1))</f>
        <v>539.63700256763173</v>
      </c>
      <c r="T147" s="57">
        <f t="shared" si="142"/>
        <v>297.32483725004136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3.7</v>
      </c>
      <c r="AI147" s="13">
        <f>IF('Données projet'!$A$62&gt;35,AI146+AH147-AQ146,IF(A147&lt;'Données projet'!$A$62,$AF$205^A147,IF(A147='Données projet'!$A$62,'Données projet'!$B$62,AI146+AH147-AQ146)))</f>
        <v>334.29999999999973</v>
      </c>
      <c r="AJ147" s="13">
        <f>AI147*VLOOKUP('Données projet'!$B$10,Paramètres!$A$1:$I$89,3,0)*VLOOKUP('Données projet'!$B$10,Paramètres!$A$1:$I$89,5,0)</f>
        <v>281.61431999999979</v>
      </c>
      <c r="AK147" s="13">
        <f t="shared" si="143"/>
        <v>67.308046875245211</v>
      </c>
      <c r="AL147" s="20">
        <f t="shared" si="112"/>
        <v>607.70645564105166</v>
      </c>
      <c r="AM147" s="57">
        <f t="shared" si="113"/>
        <v>893.66432502234454</v>
      </c>
      <c r="AN147" s="57">
        <f ca="1">AVERAGE(OFFSET($AM$3,0,0,'Données projet'!$E$10+1,1))-AVERAGE(OFFSET($H$3,0,0,'Données projet'!$E$10+1,1))</f>
        <v>508.21188526136734</v>
      </c>
      <c r="AO147" s="57">
        <f t="shared" si="144"/>
        <v>281.06176764290592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-1.064108801074326E-13</v>
      </c>
      <c r="BF147" s="13" t="e">
        <f t="shared" si="145"/>
        <v>#NUM!</v>
      </c>
      <c r="BG147" s="20" t="e">
        <f t="shared" si="115"/>
        <v>#NUM!</v>
      </c>
      <c r="BH147" s="57" t="e">
        <f t="shared" si="116"/>
        <v>#NUM!</v>
      </c>
      <c r="BI147" s="57">
        <f ca="1">AVERAGE(OFFSET($BH$3,0,0,'Données projet'!$E$11+1,1))-AVERAGE(OFFSET($H$3,0,0,'Données projet'!$E$11+1,1))</f>
        <v>449.50723280509311</v>
      </c>
      <c r="BJ147" s="57">
        <f t="shared" si="146"/>
        <v>281.26353650058275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97.508089598589478</v>
      </c>
      <c r="BQ147" s="21">
        <f>EXP(-LN(2)/25)*BQ146+(1-EXP(-LN(2)/25))/(LN(2)/25)*Calculateur!BL147*Calculateur!BN147*VLOOKUP('Données projet'!$B$11,Paramètres!$A$1:$I$89,3,0)*0.475*44/12</f>
        <v>15.53772212854498</v>
      </c>
      <c r="BR147" s="21">
        <f>EXP(-LN(2)/2)*BR146+(1-EXP(-LN(2)/2))/(LN(2)/2)*BL147*BO147*VLOOKUP('Données projet'!$B$11,Paramètres!$A$1:$I$89,3,0)*0.475*44/12</f>
        <v>1.0090933928140701E-5</v>
      </c>
      <c r="BS147" s="22">
        <f t="shared" si="117"/>
        <v>113.04582181806839</v>
      </c>
      <c r="BT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2.4</v>
      </c>
      <c r="BY147" s="12">
        <f>IF('Données projet'!$A$114&gt;35,BY146+BX147-CG146,IF(A147&lt;'Données projet'!$A$114,$BV$205^A147,IF(A147='Données projet'!$A$114,'Données projet'!$B$114,BY146+BX147-CG146)))</f>
        <v>278.59999999999894</v>
      </c>
      <c r="BZ147" s="13">
        <f>BY147*VLOOKUP('Données projet'!$B$12,Paramètres!$A$1:$I$89,3,0)*VLOOKUP('Données projet'!$B$12,Paramètres!$A$1:$I$89,5,0)</f>
        <v>265.115759999999</v>
      </c>
      <c r="CA147" s="13">
        <f t="shared" si="147"/>
        <v>63.811611556951576</v>
      </c>
      <c r="CB147" s="20">
        <f t="shared" si="118"/>
        <v>572.88183879502219</v>
      </c>
      <c r="CC147" s="57">
        <f t="shared" si="119"/>
        <v>858.83970817631507</v>
      </c>
      <c r="CD147" s="57">
        <f ca="1">AVERAGE(OFFSET($CC$3,0,0,'Données projet'!$E$12+1,1))-AVERAGE(OFFSET($H$3,0,0,'Données projet'!$E$12+1,1))</f>
        <v>479.4551766174892</v>
      </c>
      <c r="CE147" s="57">
        <f t="shared" si="148"/>
        <v>260.29028006191834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-2.2737367544323206E-13</v>
      </c>
      <c r="CU147" s="17">
        <f>CT147*VLOOKUP('Données projet'!$B$13,Paramètres!$A$1:$I$89,3,0)*VLOOKUP('Données projet'!$B$13,Paramètres!$A$1:$I$89,5,0)</f>
        <v>-1.2710188457276673E-13</v>
      </c>
      <c r="CV147" s="13" t="e">
        <f t="shared" si="149"/>
        <v>#NUM!</v>
      </c>
      <c r="CW147" s="20" t="e">
        <f t="shared" si="121"/>
        <v>#NUM!</v>
      </c>
      <c r="CX147" s="57" t="e">
        <f t="shared" si="122"/>
        <v>#NUM!</v>
      </c>
      <c r="CY147" s="57">
        <f ca="1">AVERAGE(OFFSET($CX$3,0,0,'Données projet'!$E$13+1,1))-AVERAGE(OFFSET($H$3,0,0,'Données projet'!$E$13+1,1))</f>
        <v>459.83870442974046</v>
      </c>
      <c r="CZ147" s="57">
        <f t="shared" si="150"/>
        <v>565.68976940602215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49.030308710629406</v>
      </c>
      <c r="DG147" s="21">
        <f>EXP(-LN(2)/25)*DG146+(1-EXP(-LN(2)/25))/(LN(2)/25)*Calculateur!DB147*Calculateur!DD147*VLOOKUP('Données projet'!$B$13,Paramètres!$A$1:$I$89,3,0)*0.475*44/12</f>
        <v>6.2746499720369115</v>
      </c>
      <c r="DH147" s="21">
        <f>EXP(-LN(2)/2)*DH146+(1-EXP(-LN(2)/2))/(LN(2)/2)*DB147*DE147*VLOOKUP('Données projet'!$B$13,Paramètres!$A$1:$I$89,3,0)*0.475*44/12</f>
        <v>1.2805878758469883E-11</v>
      </c>
      <c r="DI147" s="22">
        <f t="shared" si="123"/>
        <v>55.304958682679121</v>
      </c>
      <c r="DJ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7" t="e">
        <f t="shared" si="125"/>
        <v>#NUM!</v>
      </c>
      <c r="DT147" s="57">
        <f ca="1">AVERAGE(OFFSET($DS$3,0,0,'Données projet'!$E$14+1,1))-AVERAGE(OFFSET($H$3,0,0,'Données projet'!$E$14+1,1))</f>
        <v>315.23504986325418</v>
      </c>
      <c r="DU147" s="57">
        <f t="shared" si="152"/>
        <v>350.52837099886688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26.643774948323635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26.643774948323635</v>
      </c>
      <c r="EE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3.8933333333333318</v>
      </c>
      <c r="EJ147" s="12">
        <f>IF('Données projet'!$A$192&gt;35,EJ146+EI147-ER146,IF(A147&lt;'Données projet'!$A$192,$EG$205^A147,IF(A147='Données projet'!$A$192,'Données projet'!$B$192,EJ146+EI147-ER146)))</f>
        <v>201.76000000000002</v>
      </c>
      <c r="EK147" s="17">
        <f>EJ147*VLOOKUP('Données projet'!$B$15,Paramètres!$A$1:$I$89,3,0)*VLOOKUP('Données projet'!$B$15,Paramètres!$A$1:$I$89,5,0)</f>
        <v>195.14227200000002</v>
      </c>
      <c r="EL147" s="13">
        <f t="shared" si="153"/>
        <v>48.675063189230556</v>
      </c>
      <c r="EM147" s="20">
        <f t="shared" si="127"/>
        <v>424.6485254545766</v>
      </c>
      <c r="EN147" s="57">
        <f t="shared" si="128"/>
        <v>710.60639483586942</v>
      </c>
      <c r="EO147" s="57">
        <f ca="1">AVERAGE(OFFSET($EN$3,0,0,'Données projet'!$E$15+1,1))-AVERAGE(OFFSET($H$3,0,0,'Données projet'!$E$15+1,1))</f>
        <v>328.31200866623891</v>
      </c>
      <c r="EP147" s="57">
        <f t="shared" si="154"/>
        <v>195.52650232917446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42.027443315050547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42.027443315050547</v>
      </c>
      <c r="EZ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7" t="e">
        <f t="shared" si="131"/>
        <v>#NUM!</v>
      </c>
      <c r="FJ147" s="57">
        <f ca="1">AVERAGE(OFFSET($FI$3,0,0,'Données projet'!$E$16+1,1))-AVERAGE(OFFSET($H$3,0,0,'Données projet'!$E$16+1,1))</f>
        <v>142.88219003619457</v>
      </c>
      <c r="FK147" s="57">
        <f t="shared" si="156"/>
        <v>288.69704547625088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5.1350195568261769</v>
      </c>
      <c r="FR147" s="21">
        <f>EXP(-LN(2)/25)*FR146+(1-EXP(-LN(2)/25))/(LN(2)/25)*Calculateur!FM147*Calculateur!FO147*VLOOKUP('Données projet'!$B$16,Paramètres!$A$1:$I$89,3,0)*0.475*44/12</f>
        <v>0.52649608730259834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5.6615156441287748</v>
      </c>
      <c r="FU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7" t="e">
        <f t="shared" si="134"/>
        <v>#N/A</v>
      </c>
      <c r="GE147" s="57" t="e">
        <f ca="1">AVERAGE(OFFSET($GD$3,0,0,'Données projet'!$E$17+1,1))-AVERAGE(OFFSET($H$3,0,0,'Données projet'!$E$17+1,1))</f>
        <v>#N/A</v>
      </c>
      <c r="GF147" s="57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7" t="e">
        <f t="shared" si="137"/>
        <v>#N/A</v>
      </c>
      <c r="GZ147" s="57" t="e">
        <f ca="1">AVERAGE(OFFSET($GY$3,0,0,'Données projet'!$E$18+1,1))-AVERAGE(OFFSET($H$3,0,0,'Données projet'!$E$18+1,1))</f>
        <v>#N/A</v>
      </c>
      <c r="HA147" s="57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1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5">
        <f t="shared" si="110"/>
        <v>183.33333333333334</v>
      </c>
      <c r="I148" s="6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>
        <f>VLOOKUP(A148,'Données projet'!$A$35:$I$55,2,0)</f>
        <v>338</v>
      </c>
      <c r="L148" s="12">
        <f>VLOOKUP(A148,'Données projet'!$A$35:$I$55,9,0)</f>
        <v>3.7</v>
      </c>
      <c r="M148" s="12">
        <f t="array" ref="M148">INDEX(L:L,MIN(IF(ISNUMBER(L148:L344),ROW(L148:L344),"")))</f>
        <v>3.7</v>
      </c>
      <c r="N148" s="13">
        <f>IF('Données projet'!$A$36&gt;35,N147+M148-V147,IF(A148&lt;'Données projet'!$A$36,$K$205^A148,IF(A148='Données projet'!$A$36,'Données projet'!$B$36,N147+M148-V147)))</f>
        <v>337.99999999999972</v>
      </c>
      <c r="O148" s="13">
        <f>N148*VLOOKUP('Données projet'!$B$9,Paramètres!$A$1:$I$89,3,0)*VLOOKUP('Données projet'!$B$9,Paramètres!$A$1:$I$89,5,0)</f>
        <v>305.82239999999973</v>
      </c>
      <c r="P148" s="13">
        <f t="shared" si="141"/>
        <v>72.39569329126887</v>
      </c>
      <c r="Q148" s="20">
        <f t="shared" si="108"/>
        <v>658.72984581562616</v>
      </c>
      <c r="R148" s="57">
        <f t="shared" si="109"/>
        <v>944.81566300741974</v>
      </c>
      <c r="S148" s="57">
        <f ca="1">AVERAGE(OFFSET($R$3,0,0,'Données projet'!$E$9+1,1))-AVERAGE(OFFSET($H$3,0,0,'Données projet'!$E$9+1,1))</f>
        <v>539.63700256763173</v>
      </c>
      <c r="T148" s="57">
        <f t="shared" si="142"/>
        <v>297.32483725004136</v>
      </c>
      <c r="U148" s="15">
        <f>IF(ISNA(VLOOKUP(A148,'Données projet'!$A$35:$I$55,3,0)),0,VLOOKUP(A148,'Données projet'!$A$35:$I$55,3,0))</f>
        <v>19</v>
      </c>
      <c r="V148" s="15">
        <f>IF(ISNA(VLOOKUP(A148,'Données projet'!$A$35:$I$55,4,0)),0,VLOOKUP(A148,'Données projet'!$A$35:$I$55,4,0))</f>
        <v>39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>
        <f>VLOOKUP(A148,'Données projet'!$A$61:$I$81,2,0)</f>
        <v>338</v>
      </c>
      <c r="AG148" s="12">
        <f>VLOOKUP(A148,'Données projet'!$A$61:$I$81,9,0)</f>
        <v>3.7</v>
      </c>
      <c r="AH148" s="12">
        <f t="array" ref="AH148">INDEX(AG:AG,MIN(IF(ISNUMBER(AG148:AG344),ROW(AG148:AG344),"")))</f>
        <v>3.7</v>
      </c>
      <c r="AI148" s="13">
        <f>IF('Données projet'!$A$62&gt;35,AI147+AH148-AQ147,IF(A148&lt;'Données projet'!$A$62,$AF$205^A148,IF(A148='Données projet'!$A$62,'Données projet'!$B$62,AI147+AH148-AQ147)))</f>
        <v>337.99999999999972</v>
      </c>
      <c r="AJ148" s="13">
        <f>AI148*VLOOKUP('Données projet'!$B$10,Paramètres!$A$1:$I$89,3,0)*VLOOKUP('Données projet'!$B$10,Paramètres!$A$1:$I$89,5,0)</f>
        <v>284.73119999999983</v>
      </c>
      <c r="AK148" s="13">
        <f t="shared" si="143"/>
        <v>67.965870320050954</v>
      </c>
      <c r="AL148" s="20">
        <f t="shared" si="112"/>
        <v>614.28073080742172</v>
      </c>
      <c r="AM148" s="57">
        <f t="shared" si="113"/>
        <v>900.3665479992153</v>
      </c>
      <c r="AN148" s="57">
        <f ca="1">AVERAGE(OFFSET($AM$3,0,0,'Données projet'!$E$10+1,1))-AVERAGE(OFFSET($H$3,0,0,'Données projet'!$E$10+1,1))</f>
        <v>508.21188526136734</v>
      </c>
      <c r="AO148" s="57">
        <f t="shared" si="144"/>
        <v>281.06176764290592</v>
      </c>
      <c r="AP148" s="15">
        <f>IF(ISNA(VLOOKUP(A148,'Données projet'!$A$61:$I$81,3,0)),0,VLOOKUP(A148,'Données projet'!$A$61:$I$81,3,0))</f>
        <v>19</v>
      </c>
      <c r="AQ148" s="15">
        <f>IF(ISNA(VLOOKUP(A148,'Données projet'!$A$61:$I$81,4,0)),0,VLOOKUP(A148,'Données projet'!$A$61:$I$81,4,0))</f>
        <v>39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-1.064108801074326E-13</v>
      </c>
      <c r="BF148" s="13" t="e">
        <f t="shared" si="145"/>
        <v>#NUM!</v>
      </c>
      <c r="BG148" s="20" t="e">
        <f t="shared" si="115"/>
        <v>#NUM!</v>
      </c>
      <c r="BH148" s="57" t="e">
        <f t="shared" si="116"/>
        <v>#NUM!</v>
      </c>
      <c r="BI148" s="57">
        <f ca="1">AVERAGE(OFFSET($BH$3,0,0,'Données projet'!$E$11+1,1))-AVERAGE(OFFSET($H$3,0,0,'Données projet'!$E$11+1,1))</f>
        <v>449.50723280509311</v>
      </c>
      <c r="BJ148" s="57">
        <f t="shared" si="146"/>
        <v>281.26353650058275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95.596015435623215</v>
      </c>
      <c r="BQ148" s="21">
        <f>EXP(-LN(2)/25)*BQ147+(1-EXP(-LN(2)/25))/(LN(2)/25)*Calculateur!BL148*Calculateur!BN148*VLOOKUP('Données projet'!$B$11,Paramètres!$A$1:$I$89,3,0)*0.475*44/12</f>
        <v>15.112842299846623</v>
      </c>
      <c r="BR148" s="21">
        <f>EXP(-LN(2)/2)*BR147+(1-EXP(-LN(2)/2))/(LN(2)/2)*BL148*BO148*VLOOKUP('Données projet'!$B$11,Paramètres!$A$1:$I$89,3,0)*0.475*44/12</f>
        <v>7.1353678090936953E-6</v>
      </c>
      <c r="BS148" s="22">
        <f t="shared" si="117"/>
        <v>110.70886487083764</v>
      </c>
      <c r="BT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2.4</v>
      </c>
      <c r="BY148" s="12">
        <f>IF('Données projet'!$A$114&gt;35,BY147+BX148-CG147,IF(A148&lt;'Données projet'!$A$114,$BV$205^A148,IF(A148='Données projet'!$A$114,'Données projet'!$B$114,BY147+BX148-CG147)))</f>
        <v>280.99999999999892</v>
      </c>
      <c r="BZ148" s="13">
        <f>BY148*VLOOKUP('Données projet'!$B$12,Paramètres!$A$1:$I$89,3,0)*VLOOKUP('Données projet'!$B$12,Paramètres!$A$1:$I$89,5,0)</f>
        <v>267.399599999999</v>
      </c>
      <c r="CA148" s="13">
        <f t="shared" si="147"/>
        <v>64.297088323424362</v>
      </c>
      <c r="CB148" s="20">
        <f t="shared" si="118"/>
        <v>577.705065496629</v>
      </c>
      <c r="CC148" s="57">
        <f t="shared" si="119"/>
        <v>863.79088268842258</v>
      </c>
      <c r="CD148" s="57">
        <f ca="1">AVERAGE(OFFSET($CC$3,0,0,'Données projet'!$E$12+1,1))-AVERAGE(OFFSET($H$3,0,0,'Données projet'!$E$12+1,1))</f>
        <v>479.4551766174892</v>
      </c>
      <c r="CE148" s="57">
        <f t="shared" si="148"/>
        <v>260.29028006191834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-2.2737367544323206E-13</v>
      </c>
      <c r="CU148" s="17">
        <f>CT148*VLOOKUP('Données projet'!$B$13,Paramètres!$A$1:$I$89,3,0)*VLOOKUP('Données projet'!$B$13,Paramètres!$A$1:$I$89,5,0)</f>
        <v>-1.2710188457276673E-13</v>
      </c>
      <c r="CV148" s="13" t="e">
        <f t="shared" si="149"/>
        <v>#NUM!</v>
      </c>
      <c r="CW148" s="20" t="e">
        <f t="shared" si="121"/>
        <v>#NUM!</v>
      </c>
      <c r="CX148" s="57" t="e">
        <f t="shared" si="122"/>
        <v>#NUM!</v>
      </c>
      <c r="CY148" s="57">
        <f ca="1">AVERAGE(OFFSET($CX$3,0,0,'Données projet'!$E$13+1,1))-AVERAGE(OFFSET($H$3,0,0,'Données projet'!$E$13+1,1))</f>
        <v>459.83870442974046</v>
      </c>
      <c r="CZ148" s="57">
        <f t="shared" si="150"/>
        <v>565.68976940602215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48.068854262349348</v>
      </c>
      <c r="DG148" s="21">
        <f>EXP(-LN(2)/25)*DG147+(1-EXP(-LN(2)/25))/(LN(2)/25)*Calculateur!DB148*Calculateur!DD148*VLOOKUP('Données projet'!$B$13,Paramètres!$A$1:$I$89,3,0)*0.475*44/12</f>
        <v>6.1030693385820607</v>
      </c>
      <c r="DH148" s="21">
        <f>EXP(-LN(2)/2)*DH147+(1-EXP(-LN(2)/2))/(LN(2)/2)*DB148*DE148*VLOOKUP('Données projet'!$B$13,Paramètres!$A$1:$I$89,3,0)*0.475*44/12</f>
        <v>9.0551237091668204E-12</v>
      </c>
      <c r="DI148" s="22">
        <f t="shared" si="123"/>
        <v>54.17192360094046</v>
      </c>
      <c r="DJ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7" t="e">
        <f t="shared" si="125"/>
        <v>#NUM!</v>
      </c>
      <c r="DT148" s="57">
        <f ca="1">AVERAGE(OFFSET($DS$3,0,0,'Données projet'!$E$14+1,1))-AVERAGE(OFFSET($H$3,0,0,'Données projet'!$E$14+1,1))</f>
        <v>315.23504986325418</v>
      </c>
      <c r="DU148" s="57">
        <f t="shared" si="152"/>
        <v>350.52837099886688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26.121306772685063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26.121306772685063</v>
      </c>
      <c r="EE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3.8933333333333318</v>
      </c>
      <c r="EJ148" s="12">
        <f>IF('Données projet'!$A$192&gt;35,EJ147+EI148-ER147,IF(A148&lt;'Données projet'!$A$192,$EG$205^A148,IF(A148='Données projet'!$A$192,'Données projet'!$B$192,EJ147+EI148-ER147)))</f>
        <v>205.65333333333336</v>
      </c>
      <c r="EK148" s="17">
        <f>EJ148*VLOOKUP('Données projet'!$B$15,Paramètres!$A$1:$I$89,3,0)*VLOOKUP('Données projet'!$B$15,Paramètres!$A$1:$I$89,5,0)</f>
        <v>198.90790400000003</v>
      </c>
      <c r="EL148" s="13">
        <f t="shared" si="153"/>
        <v>49.504081648548556</v>
      </c>
      <c r="EM148" s="20">
        <f t="shared" si="127"/>
        <v>432.65087500455542</v>
      </c>
      <c r="EN148" s="57">
        <f t="shared" si="128"/>
        <v>718.73669219634894</v>
      </c>
      <c r="EO148" s="57">
        <f ca="1">AVERAGE(OFFSET($EN$3,0,0,'Données projet'!$E$15+1,1))-AVERAGE(OFFSET($H$3,0,0,'Données projet'!$E$15+1,1))</f>
        <v>328.31200866623891</v>
      </c>
      <c r="EP148" s="57">
        <f t="shared" si="154"/>
        <v>195.52650232917446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41.203310785851663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41.203310785851663</v>
      </c>
      <c r="EZ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7" t="e">
        <f t="shared" si="131"/>
        <v>#NUM!</v>
      </c>
      <c r="FJ148" s="57">
        <f ca="1">AVERAGE(OFFSET($FI$3,0,0,'Données projet'!$E$16+1,1))-AVERAGE(OFFSET($H$3,0,0,'Données projet'!$E$16+1,1))</f>
        <v>142.88219003619457</v>
      </c>
      <c r="FK148" s="57">
        <f t="shared" si="156"/>
        <v>288.69704547625088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5.0343249553694811</v>
      </c>
      <c r="FR148" s="21">
        <f>EXP(-LN(2)/25)*FR147+(1-EXP(-LN(2)/25))/(LN(2)/25)*Calculateur!FM148*Calculateur!FO148*VLOOKUP('Données projet'!$B$16,Paramètres!$A$1:$I$89,3,0)*0.475*44/12</f>
        <v>0.51209902410808283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5.5464239794775638</v>
      </c>
      <c r="FU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7" t="e">
        <f t="shared" si="134"/>
        <v>#N/A</v>
      </c>
      <c r="GE148" s="57" t="e">
        <f ca="1">AVERAGE(OFFSET($GD$3,0,0,'Données projet'!$E$17+1,1))-AVERAGE(OFFSET($H$3,0,0,'Données projet'!$E$17+1,1))</f>
        <v>#N/A</v>
      </c>
      <c r="GF148" s="57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7" t="e">
        <f t="shared" si="137"/>
        <v>#N/A</v>
      </c>
      <c r="GZ148" s="57" t="e">
        <f ca="1">AVERAGE(OFFSET($GY$3,0,0,'Données projet'!$E$18+1,1))-AVERAGE(OFFSET($H$3,0,0,'Données projet'!$E$18+1,1))</f>
        <v>#N/A</v>
      </c>
      <c r="HA148" s="57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1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5">
        <f t="shared" si="110"/>
        <v>183.33333333333334</v>
      </c>
      <c r="I149" s="6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3.4</v>
      </c>
      <c r="N149" s="13">
        <f>IF('Données projet'!$A$36&gt;35,N148+M149-V148,IF(A149&lt;'Données projet'!$A$36,$K$205^A149,IF(A149='Données projet'!$A$36,'Données projet'!$B$36,N148+M149-V148)))</f>
        <v>302.39999999999969</v>
      </c>
      <c r="O149" s="13">
        <f>N149*VLOOKUP('Données projet'!$B$9,Paramètres!$A$1:$I$89,3,0)*VLOOKUP('Données projet'!$B$9,Paramètres!$A$1:$I$89,5,0)</f>
        <v>273.6115199999997</v>
      </c>
      <c r="P149" s="13">
        <f t="shared" si="141"/>
        <v>65.615131256792836</v>
      </c>
      <c r="Q149" s="20">
        <f t="shared" si="108"/>
        <v>590.81975093891367</v>
      </c>
      <c r="R149" s="57">
        <f t="shared" si="109"/>
        <v>877.03129633274432</v>
      </c>
      <c r="S149" s="57">
        <f ca="1">AVERAGE(OFFSET($R$3,0,0,'Données projet'!$E$9+1,1))-AVERAGE(OFFSET($H$3,0,0,'Données projet'!$E$9+1,1))</f>
        <v>539.63700256763173</v>
      </c>
      <c r="T149" s="57">
        <f t="shared" si="142"/>
        <v>297.32483725004136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3.4</v>
      </c>
      <c r="AI149" s="13">
        <f>IF('Données projet'!$A$62&gt;35,AI148+AH149-AQ148,IF(A149&lt;'Données projet'!$A$62,$AF$205^A149,IF(A149='Données projet'!$A$62,'Données projet'!$B$62,AI148+AH149-AQ148)))</f>
        <v>302.39999999999969</v>
      </c>
      <c r="AJ149" s="13">
        <f>AI149*VLOOKUP('Données projet'!$B$10,Paramètres!$A$1:$I$89,3,0)*VLOOKUP('Données projet'!$B$10,Paramètres!$A$1:$I$89,5,0)</f>
        <v>254.74175999999977</v>
      </c>
      <c r="AK149" s="13">
        <f t="shared" si="143"/>
        <v>61.600204366992905</v>
      </c>
      <c r="AL149" s="20">
        <f t="shared" si="112"/>
        <v>550.96225460584549</v>
      </c>
      <c r="AM149" s="57">
        <f t="shared" si="113"/>
        <v>837.17379999967613</v>
      </c>
      <c r="AN149" s="57">
        <f ca="1">AVERAGE(OFFSET($AM$3,0,0,'Données projet'!$E$10+1,1))-AVERAGE(OFFSET($H$3,0,0,'Données projet'!$E$10+1,1))</f>
        <v>508.21188526136734</v>
      </c>
      <c r="AO149" s="57">
        <f t="shared" si="144"/>
        <v>281.06176764290592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-1.064108801074326E-13</v>
      </c>
      <c r="BF149" s="13" t="e">
        <f t="shared" si="145"/>
        <v>#NUM!</v>
      </c>
      <c r="BG149" s="20" t="e">
        <f t="shared" si="115"/>
        <v>#NUM!</v>
      </c>
      <c r="BH149" s="57" t="e">
        <f t="shared" si="116"/>
        <v>#NUM!</v>
      </c>
      <c r="BI149" s="57">
        <f ca="1">AVERAGE(OFFSET($BH$3,0,0,'Données projet'!$E$11+1,1))-AVERAGE(OFFSET($H$3,0,0,'Données projet'!$E$11+1,1))</f>
        <v>449.50723280509311</v>
      </c>
      <c r="BJ149" s="57">
        <f t="shared" si="146"/>
        <v>281.26353650058275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93.721435880742646</v>
      </c>
      <c r="BQ149" s="21">
        <f>EXP(-LN(2)/25)*BQ148+(1-EXP(-LN(2)/25))/(LN(2)/25)*Calculateur!BL149*Calculateur!BN149*VLOOKUP('Données projet'!$B$11,Paramètres!$A$1:$I$89,3,0)*0.475*44/12</f>
        <v>14.699580832407481</v>
      </c>
      <c r="BR149" s="21">
        <f>EXP(-LN(2)/2)*BR148+(1-EXP(-LN(2)/2))/(LN(2)/2)*BL149*BO149*VLOOKUP('Données projet'!$B$11,Paramètres!$A$1:$I$89,3,0)*0.475*44/12</f>
        <v>5.0454669640703506E-6</v>
      </c>
      <c r="BS149" s="22">
        <f t="shared" si="117"/>
        <v>108.42102175861709</v>
      </c>
      <c r="BT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2.4</v>
      </c>
      <c r="BY149" s="12">
        <f>IF('Données projet'!$A$114&gt;35,BY148+BX149-CG148,IF(A149&lt;'Données projet'!$A$114,$BV$205^A149,IF(A149='Données projet'!$A$114,'Données projet'!$B$114,BY148+BX149-CG148)))</f>
        <v>283.3999999999989</v>
      </c>
      <c r="BZ149" s="13">
        <f>BY149*VLOOKUP('Données projet'!$B$12,Paramètres!$A$1:$I$89,3,0)*VLOOKUP('Données projet'!$B$12,Paramètres!$A$1:$I$89,5,0)</f>
        <v>269.68343999999894</v>
      </c>
      <c r="CA149" s="13">
        <f t="shared" si="147"/>
        <v>64.782082680148491</v>
      </c>
      <c r="CB149" s="20">
        <f t="shared" si="118"/>
        <v>582.52745200125673</v>
      </c>
      <c r="CC149" s="57">
        <f t="shared" si="119"/>
        <v>868.73899739508738</v>
      </c>
      <c r="CD149" s="57">
        <f ca="1">AVERAGE(OFFSET($CC$3,0,0,'Données projet'!$E$12+1,1))-AVERAGE(OFFSET($H$3,0,0,'Données projet'!$E$12+1,1))</f>
        <v>479.4551766174892</v>
      </c>
      <c r="CE149" s="57">
        <f t="shared" si="148"/>
        <v>260.29028006191834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-2.2737367544323206E-13</v>
      </c>
      <c r="CU149" s="17">
        <f>CT149*VLOOKUP('Données projet'!$B$13,Paramètres!$A$1:$I$89,3,0)*VLOOKUP('Données projet'!$B$13,Paramètres!$A$1:$I$89,5,0)</f>
        <v>-1.2710188457276673E-13</v>
      </c>
      <c r="CV149" s="13" t="e">
        <f t="shared" si="149"/>
        <v>#NUM!</v>
      </c>
      <c r="CW149" s="20" t="e">
        <f t="shared" si="121"/>
        <v>#NUM!</v>
      </c>
      <c r="CX149" s="57" t="e">
        <f t="shared" si="122"/>
        <v>#NUM!</v>
      </c>
      <c r="CY149" s="57">
        <f ca="1">AVERAGE(OFFSET($CX$3,0,0,'Données projet'!$E$13+1,1))-AVERAGE(OFFSET($H$3,0,0,'Données projet'!$E$13+1,1))</f>
        <v>459.83870442974046</v>
      </c>
      <c r="CZ149" s="57">
        <f t="shared" si="150"/>
        <v>565.68976940602215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47.126253349370756</v>
      </c>
      <c r="DG149" s="21">
        <f>EXP(-LN(2)/25)*DG148+(1-EXP(-LN(2)/25))/(LN(2)/25)*Calculateur!DB149*Calculateur!DD149*VLOOKUP('Données projet'!$B$13,Paramètres!$A$1:$I$89,3,0)*0.475*44/12</f>
        <v>5.9361805865720667</v>
      </c>
      <c r="DH149" s="21">
        <f>EXP(-LN(2)/2)*DH148+(1-EXP(-LN(2)/2))/(LN(2)/2)*DB149*DE149*VLOOKUP('Données projet'!$B$13,Paramètres!$A$1:$I$89,3,0)*0.475*44/12</f>
        <v>6.4029393792349416E-12</v>
      </c>
      <c r="DI149" s="22">
        <f t="shared" si="123"/>
        <v>53.062433935949223</v>
      </c>
      <c r="DJ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7" t="e">
        <f t="shared" si="125"/>
        <v>#NUM!</v>
      </c>
      <c r="DT149" s="57">
        <f ca="1">AVERAGE(OFFSET($DS$3,0,0,'Données projet'!$E$14+1,1))-AVERAGE(OFFSET($H$3,0,0,'Données projet'!$E$14+1,1))</f>
        <v>315.23504986325418</v>
      </c>
      <c r="DU149" s="57">
        <f t="shared" si="152"/>
        <v>350.52837099886688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25.609083879296644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25.609083879296644</v>
      </c>
      <c r="EE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3.8933333333333318</v>
      </c>
      <c r="EJ149" s="12">
        <f>IF('Données projet'!$A$192&gt;35,EJ148+EI149-ER148,IF(A149&lt;'Données projet'!$A$192,$EG$205^A149,IF(A149='Données projet'!$A$192,'Données projet'!$B$192,EJ148+EI149-ER148)))</f>
        <v>209.54666666666671</v>
      </c>
      <c r="EK149" s="17">
        <f>EJ149*VLOOKUP('Données projet'!$B$15,Paramètres!$A$1:$I$89,3,0)*VLOOKUP('Données projet'!$B$15,Paramètres!$A$1:$I$89,5,0)</f>
        <v>202.67353600000007</v>
      </c>
      <c r="EL149" s="13">
        <f t="shared" si="153"/>
        <v>50.331275153469598</v>
      </c>
      <c r="EM149" s="20">
        <f t="shared" si="127"/>
        <v>440.650046092293</v>
      </c>
      <c r="EN149" s="57">
        <f t="shared" si="128"/>
        <v>726.86159148612364</v>
      </c>
      <c r="EO149" s="57">
        <f ca="1">AVERAGE(OFFSET($EN$3,0,0,'Données projet'!$E$15+1,1))-AVERAGE(OFFSET($H$3,0,0,'Données projet'!$E$15+1,1))</f>
        <v>328.31200866623891</v>
      </c>
      <c r="EP149" s="57">
        <f t="shared" si="154"/>
        <v>195.52650232917446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40.395338992879161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40.395338992879161</v>
      </c>
      <c r="EZ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7" t="e">
        <f t="shared" si="131"/>
        <v>#NUM!</v>
      </c>
      <c r="FJ149" s="57">
        <f ca="1">AVERAGE(OFFSET($FI$3,0,0,'Données projet'!$E$16+1,1))-AVERAGE(OFFSET($H$3,0,0,'Données projet'!$E$16+1,1))</f>
        <v>142.88219003619457</v>
      </c>
      <c r="FK149" s="57">
        <f t="shared" si="156"/>
        <v>288.69704547625088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4.9356049136297084</v>
      </c>
      <c r="FR149" s="21">
        <f>EXP(-LN(2)/25)*FR148+(1-EXP(-LN(2)/25))/(LN(2)/25)*Calculateur!FM149*Calculateur!FO149*VLOOKUP('Données projet'!$B$16,Paramètres!$A$1:$I$89,3,0)*0.475*44/12</f>
        <v>0.49809564936373008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5.4337005629934385</v>
      </c>
      <c r="FU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7" t="e">
        <f t="shared" si="134"/>
        <v>#N/A</v>
      </c>
      <c r="GE149" s="57" t="e">
        <f ca="1">AVERAGE(OFFSET($GD$3,0,0,'Données projet'!$E$17+1,1))-AVERAGE(OFFSET($H$3,0,0,'Données projet'!$E$17+1,1))</f>
        <v>#N/A</v>
      </c>
      <c r="GF149" s="57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7" t="e">
        <f t="shared" si="137"/>
        <v>#N/A</v>
      </c>
      <c r="GZ149" s="57" t="e">
        <f ca="1">AVERAGE(OFFSET($GY$3,0,0,'Données projet'!$E$18+1,1))-AVERAGE(OFFSET($H$3,0,0,'Données projet'!$E$18+1,1))</f>
        <v>#N/A</v>
      </c>
      <c r="HA149" s="57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1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5">
        <f t="shared" si="110"/>
        <v>183.33333333333334</v>
      </c>
      <c r="I150" s="6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3.4</v>
      </c>
      <c r="N150" s="13">
        <f>IF('Données projet'!$A$36&gt;35,N149+M150-V149,IF(A150&lt;'Données projet'!$A$36,$K$205^A150,IF(A150='Données projet'!$A$36,'Données projet'!$B$36,N149+M150-V149)))</f>
        <v>305.79999999999967</v>
      </c>
      <c r="O150" s="13">
        <f>N150*VLOOKUP('Données projet'!$B$9,Paramètres!$A$1:$I$89,3,0)*VLOOKUP('Données projet'!$B$9,Paramètres!$A$1:$I$89,5,0)</f>
        <v>276.68783999999971</v>
      </c>
      <c r="P150" s="13">
        <f t="shared" si="141"/>
        <v>66.266570237082874</v>
      </c>
      <c r="Q150" s="20">
        <f t="shared" si="108"/>
        <v>597.31226449625217</v>
      </c>
      <c r="R150" s="57">
        <f t="shared" si="109"/>
        <v>883.64735698890058</v>
      </c>
      <c r="S150" s="57">
        <f ca="1">AVERAGE(OFFSET($R$3,0,0,'Données projet'!$E$9+1,1))-AVERAGE(OFFSET($H$3,0,0,'Données projet'!$E$9+1,1))</f>
        <v>539.63700256763173</v>
      </c>
      <c r="T150" s="57">
        <f t="shared" si="142"/>
        <v>297.32483725004136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3.4</v>
      </c>
      <c r="AI150" s="13">
        <f>IF('Données projet'!$A$62&gt;35,AI149+AH150-AQ149,IF(A150&lt;'Données projet'!$A$62,$AF$205^A150,IF(A150='Données projet'!$A$62,'Données projet'!$B$62,AI149+AH150-AQ149)))</f>
        <v>305.79999999999967</v>
      </c>
      <c r="AJ150" s="13">
        <f>AI150*VLOOKUP('Données projet'!$B$10,Paramètres!$A$1:$I$89,3,0)*VLOOKUP('Données projet'!$B$10,Paramètres!$A$1:$I$89,5,0)</f>
        <v>257.60591999999974</v>
      </c>
      <c r="AK150" s="13">
        <f t="shared" si="143"/>
        <v>62.211782421473153</v>
      </c>
      <c r="AL150" s="20">
        <f t="shared" si="112"/>
        <v>557.01583171739867</v>
      </c>
      <c r="AM150" s="57">
        <f t="shared" si="113"/>
        <v>843.35092421004708</v>
      </c>
      <c r="AN150" s="57">
        <f ca="1">AVERAGE(OFFSET($AM$3,0,0,'Données projet'!$E$10+1,1))-AVERAGE(OFFSET($H$3,0,0,'Données projet'!$E$10+1,1))</f>
        <v>508.21188526136734</v>
      </c>
      <c r="AO150" s="57">
        <f t="shared" si="144"/>
        <v>281.06176764290592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-1.064108801074326E-13</v>
      </c>
      <c r="BF150" s="13" t="e">
        <f t="shared" si="145"/>
        <v>#NUM!</v>
      </c>
      <c r="BG150" s="20" t="e">
        <f t="shared" si="115"/>
        <v>#NUM!</v>
      </c>
      <c r="BH150" s="57" t="e">
        <f t="shared" si="116"/>
        <v>#NUM!</v>
      </c>
      <c r="BI150" s="57">
        <f ca="1">AVERAGE(OFFSET($BH$3,0,0,'Données projet'!$E$11+1,1))-AVERAGE(OFFSET($H$3,0,0,'Données projet'!$E$11+1,1))</f>
        <v>449.50723280509311</v>
      </c>
      <c r="BJ150" s="57">
        <f t="shared" si="146"/>
        <v>281.26353650058275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91.883615687552648</v>
      </c>
      <c r="BQ150" s="21">
        <f>EXP(-LN(2)/25)*BQ149+(1-EXP(-LN(2)/25))/(LN(2)/25)*Calculateur!BL150*Calculateur!BN150*VLOOKUP('Données projet'!$B$11,Paramètres!$A$1:$I$89,3,0)*0.475*44/12</f>
        <v>14.297620021527939</v>
      </c>
      <c r="BR150" s="21">
        <f>EXP(-LN(2)/2)*BR149+(1-EXP(-LN(2)/2))/(LN(2)/2)*BL150*BO150*VLOOKUP('Données projet'!$B$11,Paramètres!$A$1:$I$89,3,0)*0.475*44/12</f>
        <v>3.5676839045468477E-6</v>
      </c>
      <c r="BS150" s="22">
        <f t="shared" si="117"/>
        <v>106.18123927676449</v>
      </c>
      <c r="BT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2.4</v>
      </c>
      <c r="BY150" s="12">
        <f>IF('Données projet'!$A$114&gt;35,BY149+BX150-CG149,IF(A150&lt;'Données projet'!$A$114,$BV$205^A150,IF(A150='Données projet'!$A$114,'Données projet'!$B$114,BY149+BX150-CG149)))</f>
        <v>285.79999999999887</v>
      </c>
      <c r="BZ150" s="13">
        <f>BY150*VLOOKUP('Données projet'!$B$12,Paramètres!$A$1:$I$89,3,0)*VLOOKUP('Données projet'!$B$12,Paramètres!$A$1:$I$89,5,0)</f>
        <v>271.96727999999894</v>
      </c>
      <c r="CA150" s="13">
        <f t="shared" si="147"/>
        <v>65.266599185852129</v>
      </c>
      <c r="CB150" s="20">
        <f t="shared" si="118"/>
        <v>587.34900624869056</v>
      </c>
      <c r="CC150" s="57">
        <f t="shared" si="119"/>
        <v>873.68409874133897</v>
      </c>
      <c r="CD150" s="57">
        <f ca="1">AVERAGE(OFFSET($CC$3,0,0,'Données projet'!$E$12+1,1))-AVERAGE(OFFSET($H$3,0,0,'Données projet'!$E$12+1,1))</f>
        <v>479.4551766174892</v>
      </c>
      <c r="CE150" s="57">
        <f t="shared" si="148"/>
        <v>260.29028006191834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-2.2737367544323206E-13</v>
      </c>
      <c r="CU150" s="17">
        <f>CT150*VLOOKUP('Données projet'!$B$13,Paramètres!$A$1:$I$89,3,0)*VLOOKUP('Données projet'!$B$13,Paramètres!$A$1:$I$89,5,0)</f>
        <v>-1.2710188457276673E-13</v>
      </c>
      <c r="CV150" s="13" t="e">
        <f t="shared" si="149"/>
        <v>#NUM!</v>
      </c>
      <c r="CW150" s="20" t="e">
        <f t="shared" si="121"/>
        <v>#NUM!</v>
      </c>
      <c r="CX150" s="57" t="e">
        <f t="shared" si="122"/>
        <v>#NUM!</v>
      </c>
      <c r="CY150" s="57">
        <f ca="1">AVERAGE(OFFSET($CX$3,0,0,'Données projet'!$E$13+1,1))-AVERAGE(OFFSET($H$3,0,0,'Données projet'!$E$13+1,1))</f>
        <v>459.83870442974046</v>
      </c>
      <c r="CZ150" s="57">
        <f t="shared" si="150"/>
        <v>565.68976940602215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46.202136265365887</v>
      </c>
      <c r="DG150" s="21">
        <f>EXP(-LN(2)/25)*DG149+(1-EXP(-LN(2)/25))/(LN(2)/25)*Calculateur!DB150*Calculateur!DD150*VLOOKUP('Données projet'!$B$13,Paramètres!$A$1:$I$89,3,0)*0.475*44/12</f>
        <v>5.7738554162620837</v>
      </c>
      <c r="DH150" s="21">
        <f>EXP(-LN(2)/2)*DH149+(1-EXP(-LN(2)/2))/(LN(2)/2)*DB150*DE150*VLOOKUP('Données projet'!$B$13,Paramètres!$A$1:$I$89,3,0)*0.475*44/12</f>
        <v>4.5275618545834102E-12</v>
      </c>
      <c r="DI150" s="22">
        <f t="shared" si="123"/>
        <v>51.9759916816325</v>
      </c>
      <c r="DJ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7" t="e">
        <f t="shared" si="125"/>
        <v>#NUM!</v>
      </c>
      <c r="DT150" s="57">
        <f ca="1">AVERAGE(OFFSET($DS$3,0,0,'Données projet'!$E$14+1,1))-AVERAGE(OFFSET($H$3,0,0,'Données projet'!$E$14+1,1))</f>
        <v>315.23504986325418</v>
      </c>
      <c r="DU150" s="57">
        <f t="shared" si="152"/>
        <v>350.52837099886688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25.106905364422456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25.106905364422456</v>
      </c>
      <c r="EE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3.8933333333333318</v>
      </c>
      <c r="EJ150" s="12">
        <f>IF('Données projet'!$A$192&gt;35,EJ149+EI150-ER149,IF(A150&lt;'Données projet'!$A$192,$EG$205^A150,IF(A150='Données projet'!$A$192,'Données projet'!$B$192,EJ149+EI150-ER149)))</f>
        <v>213.44000000000005</v>
      </c>
      <c r="EK150" s="17">
        <f>EJ150*VLOOKUP('Données projet'!$B$15,Paramètres!$A$1:$I$89,3,0)*VLOOKUP('Données projet'!$B$15,Paramètres!$A$1:$I$89,5,0)</f>
        <v>206.43916800000005</v>
      </c>
      <c r="EL150" s="13">
        <f t="shared" si="153"/>
        <v>51.156681521556564</v>
      </c>
      <c r="EM150" s="20">
        <f t="shared" si="127"/>
        <v>448.64610458337773</v>
      </c>
      <c r="EN150" s="57">
        <f t="shared" si="128"/>
        <v>734.98119707602609</v>
      </c>
      <c r="EO150" s="57">
        <f ca="1">AVERAGE(OFFSET($EN$3,0,0,'Données projet'!$E$15+1,1))-AVERAGE(OFFSET($H$3,0,0,'Données projet'!$E$15+1,1))</f>
        <v>328.31200866623891</v>
      </c>
      <c r="EP150" s="57">
        <f t="shared" si="154"/>
        <v>195.52650232917446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39.603211033952711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39.603211033952711</v>
      </c>
      <c r="EZ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7" t="e">
        <f t="shared" si="131"/>
        <v>#NUM!</v>
      </c>
      <c r="FJ150" s="57">
        <f ca="1">AVERAGE(OFFSET($FI$3,0,0,'Données projet'!$E$16+1,1))-AVERAGE(OFFSET($H$3,0,0,'Données projet'!$E$16+1,1))</f>
        <v>142.88219003619457</v>
      </c>
      <c r="FK150" s="57">
        <f t="shared" si="156"/>
        <v>288.69704547625088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4.8388207116951731</v>
      </c>
      <c r="FR150" s="21">
        <f>EXP(-LN(2)/25)*FR149+(1-EXP(-LN(2)/25))/(LN(2)/25)*Calculateur!FM150*Calculateur!FO150*VLOOKUP('Données projet'!$B$16,Paramètres!$A$1:$I$89,3,0)*0.475*44/12</f>
        <v>0.4844751976381671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5.3232959093333401</v>
      </c>
      <c r="FU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7" t="e">
        <f t="shared" si="134"/>
        <v>#N/A</v>
      </c>
      <c r="GE150" s="57" t="e">
        <f ca="1">AVERAGE(OFFSET($GD$3,0,0,'Données projet'!$E$17+1,1))-AVERAGE(OFFSET($H$3,0,0,'Données projet'!$E$17+1,1))</f>
        <v>#N/A</v>
      </c>
      <c r="GF150" s="57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7" t="e">
        <f t="shared" si="137"/>
        <v>#N/A</v>
      </c>
      <c r="GZ150" s="57" t="e">
        <f ca="1">AVERAGE(OFFSET($GY$3,0,0,'Données projet'!$E$18+1,1))-AVERAGE(OFFSET($H$3,0,0,'Données projet'!$E$18+1,1))</f>
        <v>#N/A</v>
      </c>
      <c r="HA150" s="57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1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5">
        <f t="shared" si="110"/>
        <v>183.33333333333334</v>
      </c>
      <c r="I151" s="6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3.4</v>
      </c>
      <c r="N151" s="13">
        <f>IF('Données projet'!$A$36&gt;35,N150+M151-V150,IF(A151&lt;'Données projet'!$A$36,$K$205^A151,IF(A151='Données projet'!$A$36,'Données projet'!$B$36,N150+M151-V150)))</f>
        <v>309.19999999999965</v>
      </c>
      <c r="O151" s="13">
        <f>N151*VLOOKUP('Données projet'!$B$9,Paramètres!$A$1:$I$89,3,0)*VLOOKUP('Données projet'!$B$9,Paramètres!$A$1:$I$89,5,0)</f>
        <v>279.76415999999966</v>
      </c>
      <c r="P151" s="13">
        <f t="shared" si="141"/>
        <v>66.917166665547271</v>
      </c>
      <c r="Q151" s="20">
        <f t="shared" si="108"/>
        <v>603.8033106091608</v>
      </c>
      <c r="R151" s="57">
        <f t="shared" si="109"/>
        <v>890.2598069346725</v>
      </c>
      <c r="S151" s="57">
        <f ca="1">AVERAGE(OFFSET($R$3,0,0,'Données projet'!$E$9+1,1))-AVERAGE(OFFSET($H$3,0,0,'Données projet'!$E$9+1,1))</f>
        <v>539.63700256763173</v>
      </c>
      <c r="T151" s="57">
        <f t="shared" si="142"/>
        <v>297.32483725004136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3.4</v>
      </c>
      <c r="AI151" s="13">
        <f>IF('Données projet'!$A$62&gt;35,AI150+AH151-AQ150,IF(A151&lt;'Données projet'!$A$62,$AF$205^A151,IF(A151='Données projet'!$A$62,'Données projet'!$B$62,AI150+AH151-AQ150)))</f>
        <v>309.19999999999965</v>
      </c>
      <c r="AJ151" s="13">
        <f>AI151*VLOOKUP('Données projet'!$B$10,Paramètres!$A$1:$I$89,3,0)*VLOOKUP('Données projet'!$B$10,Paramètres!$A$1:$I$89,5,0)</f>
        <v>260.47007999999971</v>
      </c>
      <c r="AK151" s="13">
        <f t="shared" si="143"/>
        <v>62.822569479065045</v>
      </c>
      <c r="AL151" s="20">
        <f t="shared" si="112"/>
        <v>563.06803117603783</v>
      </c>
      <c r="AM151" s="57">
        <f t="shared" si="113"/>
        <v>849.52452750154953</v>
      </c>
      <c r="AN151" s="57">
        <f ca="1">AVERAGE(OFFSET($AM$3,0,0,'Données projet'!$E$10+1,1))-AVERAGE(OFFSET($H$3,0,0,'Données projet'!$E$10+1,1))</f>
        <v>508.21188526136734</v>
      </c>
      <c r="AO151" s="57">
        <f t="shared" si="144"/>
        <v>281.06176764290592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-1.064108801074326E-13</v>
      </c>
      <c r="BF151" s="13" t="e">
        <f t="shared" si="145"/>
        <v>#NUM!</v>
      </c>
      <c r="BG151" s="20" t="e">
        <f t="shared" si="115"/>
        <v>#NUM!</v>
      </c>
      <c r="BH151" s="57" t="e">
        <f t="shared" si="116"/>
        <v>#NUM!</v>
      </c>
      <c r="BI151" s="57">
        <f ca="1">AVERAGE(OFFSET($BH$3,0,0,'Données projet'!$E$11+1,1))-AVERAGE(OFFSET($H$3,0,0,'Données projet'!$E$11+1,1))</f>
        <v>449.50723280509311</v>
      </c>
      <c r="BJ151" s="57">
        <f t="shared" si="146"/>
        <v>281.26353650058275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90.08183402739148</v>
      </c>
      <c r="BQ151" s="21">
        <f>EXP(-LN(2)/25)*BQ150+(1-EXP(-LN(2)/25))/(LN(2)/25)*Calculateur!BL151*Calculateur!BN151*VLOOKUP('Données projet'!$B$11,Paramètres!$A$1:$I$89,3,0)*0.475*44/12</f>
        <v>13.906650850160098</v>
      </c>
      <c r="BR151" s="21">
        <f>EXP(-LN(2)/2)*BR150+(1-EXP(-LN(2)/2))/(LN(2)/2)*BL151*BO151*VLOOKUP('Données projet'!$B$11,Paramètres!$A$1:$I$89,3,0)*0.475*44/12</f>
        <v>2.5227334820351753E-6</v>
      </c>
      <c r="BS151" s="22">
        <f t="shared" si="117"/>
        <v>103.98848740028505</v>
      </c>
      <c r="BT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2.4</v>
      </c>
      <c r="BY151" s="12">
        <f>IF('Données projet'!$A$114&gt;35,BY150+BX151-CG150,IF(A151&lt;'Données projet'!$A$114,$BV$205^A151,IF(A151='Données projet'!$A$114,'Données projet'!$B$114,BY150+BX151-CG150)))</f>
        <v>288.19999999999885</v>
      </c>
      <c r="BZ151" s="13">
        <f>BY151*VLOOKUP('Données projet'!$B$12,Paramètres!$A$1:$I$89,3,0)*VLOOKUP('Données projet'!$B$12,Paramètres!$A$1:$I$89,5,0)</f>
        <v>274.25111999999888</v>
      </c>
      <c r="CA151" s="13">
        <f t="shared" si="147"/>
        <v>65.750642318280327</v>
      </c>
      <c r="CB151" s="20">
        <f t="shared" si="118"/>
        <v>592.16973603766962</v>
      </c>
      <c r="CC151" s="57">
        <f t="shared" si="119"/>
        <v>878.62623236318132</v>
      </c>
      <c r="CD151" s="57">
        <f ca="1">AVERAGE(OFFSET($CC$3,0,0,'Données projet'!$E$12+1,1))-AVERAGE(OFFSET($H$3,0,0,'Données projet'!$E$12+1,1))</f>
        <v>479.4551766174892</v>
      </c>
      <c r="CE151" s="57">
        <f t="shared" si="148"/>
        <v>260.29028006191834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-2.2737367544323206E-13</v>
      </c>
      <c r="CU151" s="17">
        <f>CT151*VLOOKUP('Données projet'!$B$13,Paramètres!$A$1:$I$89,3,0)*VLOOKUP('Données projet'!$B$13,Paramètres!$A$1:$I$89,5,0)</f>
        <v>-1.2710188457276673E-13</v>
      </c>
      <c r="CV151" s="13" t="e">
        <f t="shared" si="149"/>
        <v>#NUM!</v>
      </c>
      <c r="CW151" s="20" t="e">
        <f t="shared" si="121"/>
        <v>#NUM!</v>
      </c>
      <c r="CX151" s="57" t="e">
        <f t="shared" si="122"/>
        <v>#NUM!</v>
      </c>
      <c r="CY151" s="57">
        <f ca="1">AVERAGE(OFFSET($CX$3,0,0,'Données projet'!$E$13+1,1))-AVERAGE(OFFSET($H$3,0,0,'Données projet'!$E$13+1,1))</f>
        <v>459.83870442974046</v>
      </c>
      <c r="CZ151" s="57">
        <f t="shared" si="150"/>
        <v>565.68976940602215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45.296140553722587</v>
      </c>
      <c r="DG151" s="21">
        <f>EXP(-LN(2)/25)*DG150+(1-EXP(-LN(2)/25))/(LN(2)/25)*Calculateur!DB151*Calculateur!DD151*VLOOKUP('Données projet'!$B$13,Paramètres!$A$1:$I$89,3,0)*0.475*44/12</f>
        <v>5.6159690362705366</v>
      </c>
      <c r="DH151" s="21">
        <f>EXP(-LN(2)/2)*DH150+(1-EXP(-LN(2)/2))/(LN(2)/2)*DB151*DE151*VLOOKUP('Données projet'!$B$13,Paramètres!$A$1:$I$89,3,0)*0.475*44/12</f>
        <v>3.2014696896174708E-12</v>
      </c>
      <c r="DI151" s="22">
        <f t="shared" si="123"/>
        <v>50.912109589996327</v>
      </c>
      <c r="DJ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7" t="e">
        <f t="shared" si="125"/>
        <v>#NUM!</v>
      </c>
      <c r="DT151" s="57">
        <f ca="1">AVERAGE(OFFSET($DS$3,0,0,'Données projet'!$E$14+1,1))-AVERAGE(OFFSET($H$3,0,0,'Données projet'!$E$14+1,1))</f>
        <v>315.23504986325418</v>
      </c>
      <c r="DU151" s="57">
        <f t="shared" si="152"/>
        <v>350.52837099886688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24.614574263926301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24.614574263926301</v>
      </c>
      <c r="EE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3.8933333333333318</v>
      </c>
      <c r="EJ151" s="12">
        <f>IF('Données projet'!$A$192&gt;35,EJ150+EI151-ER150,IF(A151&lt;'Données projet'!$A$192,$EG$205^A151,IF(A151='Données projet'!$A$192,'Données projet'!$B$192,EJ150+EI151-ER150)))</f>
        <v>217.3333333333334</v>
      </c>
      <c r="EK151" s="17">
        <f>EJ151*VLOOKUP('Données projet'!$B$15,Paramètres!$A$1:$I$89,3,0)*VLOOKUP('Données projet'!$B$15,Paramètres!$A$1:$I$89,5,0)</f>
        <v>210.20480000000006</v>
      </c>
      <c r="EL151" s="13">
        <f t="shared" si="153"/>
        <v>51.980337111732062</v>
      </c>
      <c r="EM151" s="20">
        <f t="shared" si="127"/>
        <v>456.63911380293342</v>
      </c>
      <c r="EN151" s="57">
        <f t="shared" si="128"/>
        <v>743.09561012844506</v>
      </c>
      <c r="EO151" s="57">
        <f ca="1">AVERAGE(OFFSET($EN$3,0,0,'Données projet'!$E$15+1,1))-AVERAGE(OFFSET($H$3,0,0,'Données projet'!$E$15+1,1))</f>
        <v>328.31200866623891</v>
      </c>
      <c r="EP151" s="57">
        <f t="shared" si="154"/>
        <v>195.52650232917446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38.826616221150466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38.826616221150466</v>
      </c>
      <c r="EZ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7" t="e">
        <f t="shared" si="131"/>
        <v>#NUM!</v>
      </c>
      <c r="FJ151" s="57">
        <f ca="1">AVERAGE(OFFSET($FI$3,0,0,'Données projet'!$E$16+1,1))-AVERAGE(OFFSET($H$3,0,0,'Données projet'!$E$16+1,1))</f>
        <v>142.88219003619457</v>
      </c>
      <c r="FK151" s="57">
        <f t="shared" si="156"/>
        <v>288.69704547625088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4.7439343889280394</v>
      </c>
      <c r="FR151" s="21">
        <f>EXP(-LN(2)/25)*FR150+(1-EXP(-LN(2)/25))/(LN(2)/25)*Calculateur!FM151*Calculateur!FO151*VLOOKUP('Données projet'!$B$16,Paramètres!$A$1:$I$89,3,0)*0.475*44/12</f>
        <v>0.47122719788130807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5.2151615868093479</v>
      </c>
      <c r="FU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7" t="e">
        <f t="shared" si="134"/>
        <v>#N/A</v>
      </c>
      <c r="GE151" s="57" t="e">
        <f ca="1">AVERAGE(OFFSET($GD$3,0,0,'Données projet'!$E$17+1,1))-AVERAGE(OFFSET($H$3,0,0,'Données projet'!$E$17+1,1))</f>
        <v>#N/A</v>
      </c>
      <c r="GF151" s="57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7" t="e">
        <f t="shared" si="137"/>
        <v>#N/A</v>
      </c>
      <c r="GZ151" s="57" t="e">
        <f ca="1">AVERAGE(OFFSET($GY$3,0,0,'Données projet'!$E$18+1,1))-AVERAGE(OFFSET($H$3,0,0,'Données projet'!$E$18+1,1))</f>
        <v>#N/A</v>
      </c>
      <c r="HA151" s="57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1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5">
        <f t="shared" si="110"/>
        <v>183.33333333333334</v>
      </c>
      <c r="I152" s="6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3.4</v>
      </c>
      <c r="N152" s="13">
        <f>IF('Données projet'!$A$36&gt;35,N151+M152-V151,IF(A152&lt;'Données projet'!$A$36,$K$205^A152,IF(A152='Données projet'!$A$36,'Données projet'!$B$36,N151+M152-V151)))</f>
        <v>312.59999999999962</v>
      </c>
      <c r="O152" s="13">
        <f>N152*VLOOKUP('Données projet'!$B$9,Paramètres!$A$1:$I$89,3,0)*VLOOKUP('Données projet'!$B$9,Paramètres!$A$1:$I$89,5,0)</f>
        <v>282.84047999999962</v>
      </c>
      <c r="P152" s="13">
        <f t="shared" si="141"/>
        <v>67.566930879211142</v>
      </c>
      <c r="Q152" s="20">
        <f t="shared" si="108"/>
        <v>610.29290728129206</v>
      </c>
      <c r="R152" s="57">
        <f t="shared" si="109"/>
        <v>896.86870135458514</v>
      </c>
      <c r="S152" s="57">
        <f ca="1">AVERAGE(OFFSET($R$3,0,0,'Données projet'!$E$9+1,1))-AVERAGE(OFFSET($H$3,0,0,'Données projet'!$E$9+1,1))</f>
        <v>539.63700256763173</v>
      </c>
      <c r="T152" s="57">
        <f t="shared" si="142"/>
        <v>297.32483725004136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3.4</v>
      </c>
      <c r="AI152" s="13">
        <f>IF('Données projet'!$A$62&gt;35,AI151+AH152-AQ151,IF(A152&lt;'Données projet'!$A$62,$AF$205^A152,IF(A152='Données projet'!$A$62,'Données projet'!$B$62,AI151+AH152-AQ151)))</f>
        <v>312.59999999999962</v>
      </c>
      <c r="AJ152" s="13">
        <f>AI152*VLOOKUP('Données projet'!$B$10,Paramètres!$A$1:$I$89,3,0)*VLOOKUP('Données projet'!$B$10,Paramètres!$A$1:$I$89,5,0)</f>
        <v>263.33423999999968</v>
      </c>
      <c r="AK152" s="13">
        <f t="shared" si="143"/>
        <v>63.432575244281125</v>
      </c>
      <c r="AL152" s="20">
        <f t="shared" si="112"/>
        <v>569.11886988378899</v>
      </c>
      <c r="AM152" s="57">
        <f t="shared" si="113"/>
        <v>855.69466395708207</v>
      </c>
      <c r="AN152" s="57">
        <f ca="1">AVERAGE(OFFSET($AM$3,0,0,'Données projet'!$E$10+1,1))-AVERAGE(OFFSET($H$3,0,0,'Données projet'!$E$10+1,1))</f>
        <v>508.21188526136734</v>
      </c>
      <c r="AO152" s="57">
        <f t="shared" si="144"/>
        <v>281.06176764290592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-1.064108801074326E-13</v>
      </c>
      <c r="BF152" s="13" t="e">
        <f t="shared" si="145"/>
        <v>#NUM!</v>
      </c>
      <c r="BG152" s="20" t="e">
        <f t="shared" si="115"/>
        <v>#NUM!</v>
      </c>
      <c r="BH152" s="57" t="e">
        <f t="shared" si="116"/>
        <v>#NUM!</v>
      </c>
      <c r="BI152" s="57">
        <f ca="1">AVERAGE(OFFSET($BH$3,0,0,'Données projet'!$E$11+1,1))-AVERAGE(OFFSET($H$3,0,0,'Données projet'!$E$11+1,1))</f>
        <v>449.50723280509311</v>
      </c>
      <c r="BJ152" s="57">
        <f t="shared" si="146"/>
        <v>281.26353650058275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88.315384206607774</v>
      </c>
      <c r="BQ152" s="21">
        <f>EXP(-LN(2)/25)*BQ151+(1-EXP(-LN(2)/25))/(LN(2)/25)*Calculateur!BL152*Calculateur!BN152*VLOOKUP('Données projet'!$B$11,Paramètres!$A$1:$I$89,3,0)*0.475*44/12</f>
        <v>13.526372751343485</v>
      </c>
      <c r="BR152" s="21">
        <f>EXP(-LN(2)/2)*BR151+(1-EXP(-LN(2)/2))/(LN(2)/2)*BL152*BO152*VLOOKUP('Données projet'!$B$11,Paramètres!$A$1:$I$89,3,0)*0.475*44/12</f>
        <v>1.7838419522734238E-6</v>
      </c>
      <c r="BS152" s="22">
        <f t="shared" si="117"/>
        <v>101.84175874179321</v>
      </c>
      <c r="BT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2.4</v>
      </c>
      <c r="BY152" s="12">
        <f>IF('Données projet'!$A$114&gt;35,BY151+BX152-CG151,IF(A152&lt;'Données projet'!$A$114,$BV$205^A152,IF(A152='Données projet'!$A$114,'Données projet'!$B$114,BY151+BX152-CG151)))</f>
        <v>290.59999999999883</v>
      </c>
      <c r="BZ152" s="13">
        <f>BY152*VLOOKUP('Données projet'!$B$12,Paramètres!$A$1:$I$89,3,0)*VLOOKUP('Données projet'!$B$12,Paramètres!$A$1:$I$89,5,0)</f>
        <v>276.53495999999888</v>
      </c>
      <c r="CA152" s="13">
        <f t="shared" si="147"/>
        <v>66.234216476296112</v>
      </c>
      <c r="CB152" s="20">
        <f t="shared" si="118"/>
        <v>596.98964902954719</v>
      </c>
      <c r="CC152" s="57">
        <f t="shared" si="119"/>
        <v>883.56544310284028</v>
      </c>
      <c r="CD152" s="57">
        <f ca="1">AVERAGE(OFFSET($CC$3,0,0,'Données projet'!$E$12+1,1))-AVERAGE(OFFSET($H$3,0,0,'Données projet'!$E$12+1,1))</f>
        <v>479.4551766174892</v>
      </c>
      <c r="CE152" s="57">
        <f t="shared" si="148"/>
        <v>260.29028006191834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-2.2737367544323206E-13</v>
      </c>
      <c r="CU152" s="17">
        <f>CT152*VLOOKUP('Données projet'!$B$13,Paramètres!$A$1:$I$89,3,0)*VLOOKUP('Données projet'!$B$13,Paramètres!$A$1:$I$89,5,0)</f>
        <v>-1.2710188457276673E-13</v>
      </c>
      <c r="CV152" s="13" t="e">
        <f t="shared" si="149"/>
        <v>#NUM!</v>
      </c>
      <c r="CW152" s="20" t="e">
        <f t="shared" si="121"/>
        <v>#NUM!</v>
      </c>
      <c r="CX152" s="57" t="e">
        <f t="shared" si="122"/>
        <v>#NUM!</v>
      </c>
      <c r="CY152" s="57">
        <f ca="1">AVERAGE(OFFSET($CX$3,0,0,'Données projet'!$E$13+1,1))-AVERAGE(OFFSET($H$3,0,0,'Données projet'!$E$13+1,1))</f>
        <v>459.83870442974046</v>
      </c>
      <c r="CZ152" s="57">
        <f t="shared" si="150"/>
        <v>565.68976940602215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44.407910865381794</v>
      </c>
      <c r="DG152" s="21">
        <f>EXP(-LN(2)/25)*DG151+(1-EXP(-LN(2)/25))/(LN(2)/25)*Calculateur!DB152*Calculateur!DD152*VLOOKUP('Données projet'!$B$13,Paramètres!$A$1:$I$89,3,0)*0.475*44/12</f>
        <v>5.4624000676427427</v>
      </c>
      <c r="DH152" s="21">
        <f>EXP(-LN(2)/2)*DH151+(1-EXP(-LN(2)/2))/(LN(2)/2)*DB152*DE152*VLOOKUP('Données projet'!$B$13,Paramètres!$A$1:$I$89,3,0)*0.475*44/12</f>
        <v>2.2637809272917051E-12</v>
      </c>
      <c r="DI152" s="22">
        <f t="shared" si="123"/>
        <v>49.870310933026801</v>
      </c>
      <c r="DJ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7" t="e">
        <f t="shared" si="125"/>
        <v>#NUM!</v>
      </c>
      <c r="DT152" s="57">
        <f ca="1">AVERAGE(OFFSET($DS$3,0,0,'Données projet'!$E$14+1,1))-AVERAGE(OFFSET($H$3,0,0,'Données projet'!$E$14+1,1))</f>
        <v>315.23504986325418</v>
      </c>
      <c r="DU152" s="57">
        <f t="shared" si="152"/>
        <v>350.52837099886688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24.131897476018555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24.131897476018555</v>
      </c>
      <c r="EE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3.8933333333333318</v>
      </c>
      <c r="EJ152" s="12">
        <f>IF('Données projet'!$A$192&gt;35,EJ151+EI152-ER151,IF(A152&lt;'Données projet'!$A$192,$EG$205^A152,IF(A152='Données projet'!$A$192,'Données projet'!$B$192,EJ151+EI152-ER151)))</f>
        <v>221.22666666666674</v>
      </c>
      <c r="EK152" s="17">
        <f>EJ152*VLOOKUP('Données projet'!$B$15,Paramètres!$A$1:$I$89,3,0)*VLOOKUP('Données projet'!$B$15,Paramètres!$A$1:$I$89,5,0)</f>
        <v>213.97043200000007</v>
      </c>
      <c r="EL152" s="13">
        <f t="shared" si="153"/>
        <v>52.802276905643176</v>
      </c>
      <c r="EM152" s="20">
        <f t="shared" si="127"/>
        <v>464.62913467732864</v>
      </c>
      <c r="EN152" s="57">
        <f t="shared" si="128"/>
        <v>751.20492875062178</v>
      </c>
      <c r="EO152" s="57">
        <f ca="1">AVERAGE(OFFSET($EN$3,0,0,'Données projet'!$E$15+1,1))-AVERAGE(OFFSET($H$3,0,0,'Données projet'!$E$15+1,1))</f>
        <v>328.31200866623891</v>
      </c>
      <c r="EP152" s="57">
        <f t="shared" si="154"/>
        <v>195.52650232917446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38.065249958951206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38.065249958951206</v>
      </c>
      <c r="EZ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7" t="e">
        <f t="shared" si="131"/>
        <v>#NUM!</v>
      </c>
      <c r="FJ152" s="57">
        <f ca="1">AVERAGE(OFFSET($FI$3,0,0,'Données projet'!$E$16+1,1))-AVERAGE(OFFSET($H$3,0,0,'Données projet'!$E$16+1,1))</f>
        <v>142.88219003619457</v>
      </c>
      <c r="FK152" s="57">
        <f t="shared" si="156"/>
        <v>288.69704547625088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4.650908729075427</v>
      </c>
      <c r="FR152" s="21">
        <f>EXP(-LN(2)/25)*FR151+(1-EXP(-LN(2)/25))/(LN(2)/25)*Calculateur!FM152*Calculateur!FO152*VLOOKUP('Données projet'!$B$16,Paramètres!$A$1:$I$89,3,0)*0.475*44/12</f>
        <v>0.45834146537448239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5.1092501944499098</v>
      </c>
      <c r="FU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7" t="e">
        <f t="shared" si="134"/>
        <v>#N/A</v>
      </c>
      <c r="GE152" s="57" t="e">
        <f ca="1">AVERAGE(OFFSET($GD$3,0,0,'Données projet'!$E$17+1,1))-AVERAGE(OFFSET($H$3,0,0,'Données projet'!$E$17+1,1))</f>
        <v>#N/A</v>
      </c>
      <c r="GF152" s="57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7" t="e">
        <f t="shared" si="137"/>
        <v>#N/A</v>
      </c>
      <c r="GZ152" s="57" t="e">
        <f ca="1">AVERAGE(OFFSET($GY$3,0,0,'Données projet'!$E$18+1,1))-AVERAGE(OFFSET($H$3,0,0,'Données projet'!$E$18+1,1))</f>
        <v>#N/A</v>
      </c>
      <c r="HA152" s="57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1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5">
        <f t="shared" si="110"/>
        <v>183.33333333333334</v>
      </c>
      <c r="I153" s="6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316</v>
      </c>
      <c r="L153" s="12">
        <f>VLOOKUP(A153,'Données projet'!$A$35:$I$55,9,0)</f>
        <v>3.4</v>
      </c>
      <c r="M153" s="12">
        <f t="array" ref="M153">INDEX(L:L,MIN(IF(ISNUMBER(L153:L349),ROW(L153:L349),"")))</f>
        <v>3.4</v>
      </c>
      <c r="N153" s="13">
        <f>IF('Données projet'!$A$36&gt;35,N152+M153-V152,IF(A153&lt;'Données projet'!$A$36,$K$205^A153,IF(A153='Données projet'!$A$36,'Données projet'!$B$36,N152+M153-V152)))</f>
        <v>315.9999999999996</v>
      </c>
      <c r="O153" s="13">
        <f>N153*VLOOKUP('Données projet'!$B$9,Paramètres!$A$1:$I$89,3,0)*VLOOKUP('Données projet'!$B$9,Paramètres!$A$1:$I$89,5,0)</f>
        <v>285.91679999999963</v>
      </c>
      <c r="P153" s="13">
        <f t="shared" si="141"/>
        <v>68.215872977287475</v>
      </c>
      <c r="Q153" s="20">
        <f t="shared" si="108"/>
        <v>616.78107210210828</v>
      </c>
      <c r="R153" s="57">
        <f t="shared" si="109"/>
        <v>903.47409437396868</v>
      </c>
      <c r="S153" s="57">
        <f ca="1">AVERAGE(OFFSET($R$3,0,0,'Données projet'!$E$9+1,1))-AVERAGE(OFFSET($H$3,0,0,'Données projet'!$E$9+1,1))</f>
        <v>539.63700256763173</v>
      </c>
      <c r="T153" s="57">
        <f t="shared" si="142"/>
        <v>297.32483725004136</v>
      </c>
      <c r="U153" s="15" t="str">
        <f>IF(ISNA(VLOOKUP(A153,'Données projet'!$A$35:$I$55,3,0)),0,VLOOKUP(A153,'Données projet'!$A$35:$I$55,3,0))</f>
        <v>CR</v>
      </c>
      <c r="V153" s="15">
        <f>IF(ISNA(VLOOKUP(A153,'Données projet'!$A$35:$I$55,4,0)),0,VLOOKUP(A153,'Données projet'!$A$35:$I$55,4,0))</f>
        <v>316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316</v>
      </c>
      <c r="AG153" s="12">
        <f>VLOOKUP(A153,'Données projet'!$A$61:$I$81,9,0)</f>
        <v>3.4</v>
      </c>
      <c r="AH153" s="12">
        <f t="array" ref="AH153">INDEX(AG:AG,MIN(IF(ISNUMBER(AG153:AG349),ROW(AG153:AG349),"")))</f>
        <v>3.4</v>
      </c>
      <c r="AI153" s="13">
        <f>IF('Données projet'!$A$62&gt;35,AI152+AH153-AQ152,IF(A153&lt;'Données projet'!$A$62,$AF$205^A153,IF(A153='Données projet'!$A$62,'Données projet'!$B$62,AI152+AH153-AQ152)))</f>
        <v>315.9999999999996</v>
      </c>
      <c r="AJ153" s="13">
        <f>AI153*VLOOKUP('Données projet'!$B$10,Paramètres!$A$1:$I$89,3,0)*VLOOKUP('Données projet'!$B$10,Paramètres!$A$1:$I$89,5,0)</f>
        <v>266.19839999999965</v>
      </c>
      <c r="AK153" s="13">
        <f t="shared" si="143"/>
        <v>64.041809198373159</v>
      </c>
      <c r="AL153" s="20">
        <f t="shared" si="112"/>
        <v>575.16836435383254</v>
      </c>
      <c r="AM153" s="57">
        <f t="shared" si="113"/>
        <v>861.86138662569283</v>
      </c>
      <c r="AN153" s="57">
        <f ca="1">AVERAGE(OFFSET($AM$3,0,0,'Données projet'!$E$10+1,1))-AVERAGE(OFFSET($H$3,0,0,'Données projet'!$E$10+1,1))</f>
        <v>508.21188526136734</v>
      </c>
      <c r="AO153" s="57">
        <f t="shared" si="144"/>
        <v>281.06176764290592</v>
      </c>
      <c r="AP153" s="15" t="str">
        <f>IF(ISNA(VLOOKUP(A153,'Données projet'!$A$61:$I$81,3,0)),0,VLOOKUP(A153,'Données projet'!$A$61:$I$81,3,0))</f>
        <v>CR</v>
      </c>
      <c r="AQ153" s="15">
        <f>IF(ISNA(VLOOKUP(A153,'Données projet'!$A$61:$I$81,4,0)),0,VLOOKUP(A153,'Données projet'!$A$61:$I$81,4,0))</f>
        <v>316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-1.064108801074326E-13</v>
      </c>
      <c r="BF153" s="13" t="e">
        <f t="shared" si="145"/>
        <v>#NUM!</v>
      </c>
      <c r="BG153" s="20" t="e">
        <f t="shared" si="115"/>
        <v>#NUM!</v>
      </c>
      <c r="BH153" s="57" t="e">
        <f t="shared" si="116"/>
        <v>#NUM!</v>
      </c>
      <c r="BI153" s="57">
        <f ca="1">AVERAGE(OFFSET($BH$3,0,0,'Données projet'!$E$11+1,1))-AVERAGE(OFFSET($H$3,0,0,'Données projet'!$E$11+1,1))</f>
        <v>449.50723280509311</v>
      </c>
      <c r="BJ153" s="57">
        <f t="shared" si="146"/>
        <v>281.26353650058275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86.583573389381627</v>
      </c>
      <c r="BQ153" s="21">
        <f>EXP(-LN(2)/25)*BQ152+(1-EXP(-LN(2)/25))/(LN(2)/25)*Calculateur!BL153*Calculateur!BN153*VLOOKUP('Données projet'!$B$11,Paramètres!$A$1:$I$89,3,0)*0.475*44/12</f>
        <v>13.15649337713697</v>
      </c>
      <c r="BR153" s="21">
        <f>EXP(-LN(2)/2)*BR152+(1-EXP(-LN(2)/2))/(LN(2)/2)*BL153*BO153*VLOOKUP('Données projet'!$B$11,Paramètres!$A$1:$I$89,3,0)*0.475*44/12</f>
        <v>1.2613667410175876E-6</v>
      </c>
      <c r="BS153" s="22">
        <f t="shared" si="117"/>
        <v>99.740068027885343</v>
      </c>
      <c r="BT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>
        <f>VLOOKUP(A153,'Données projet'!$A$113:$I$133,2,0)</f>
        <v>293</v>
      </c>
      <c r="BW153" s="12">
        <f>VLOOKUP(A153,'Données projet'!$A$113:$I$133,9,0)</f>
        <v>2.4</v>
      </c>
      <c r="BX153" s="12">
        <f t="array" ref="BX153">INDEX(BW:BW,MIN(IF(ISNUMBER(BW153:BW349),ROW(BW153:BW349),"")))</f>
        <v>2.4</v>
      </c>
      <c r="BY153" s="12">
        <f>IF('Données projet'!$A$114&gt;35,BY152+BX153-CG152,IF(A153&lt;'Données projet'!$A$114,$BV$205^A153,IF(A153='Données projet'!$A$114,'Données projet'!$B$114,BY152+BX153-CG152)))</f>
        <v>292.99999999999881</v>
      </c>
      <c r="BZ153" s="13">
        <f>BY153*VLOOKUP('Données projet'!$B$12,Paramètres!$A$1:$I$89,3,0)*VLOOKUP('Données projet'!$B$12,Paramètres!$A$1:$I$89,5,0)</f>
        <v>278.81879999999887</v>
      </c>
      <c r="CA153" s="13">
        <f t="shared" si="147"/>
        <v>66.717325981909696</v>
      </c>
      <c r="CB153" s="20">
        <f t="shared" si="118"/>
        <v>601.80875275182416</v>
      </c>
      <c r="CC153" s="57">
        <f t="shared" si="119"/>
        <v>888.50177502368456</v>
      </c>
      <c r="CD153" s="57">
        <f ca="1">AVERAGE(OFFSET($CC$3,0,0,'Données projet'!$E$12+1,1))-AVERAGE(OFFSET($H$3,0,0,'Données projet'!$E$12+1,1))</f>
        <v>479.4551766174892</v>
      </c>
      <c r="CE153" s="57">
        <f t="shared" si="148"/>
        <v>260.29028006191834</v>
      </c>
      <c r="CF153" s="15" t="str">
        <f>IF(ISNA(VLOOKUP(A153,'Données projet'!$A$113:$I$133,3,0)),0,VLOOKUP(A153,'Données projet'!$A$113:$I$133,3,0))</f>
        <v>CR</v>
      </c>
      <c r="CG153" s="15">
        <f>IF(ISNA(VLOOKUP(A153,'Données projet'!$A$113:$I$133,4,0)),0,VLOOKUP(A153,'Données projet'!$A$113:$I$133,4,0))</f>
        <v>293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-2.2737367544323206E-13</v>
      </c>
      <c r="CU153" s="17">
        <f>CT153*VLOOKUP('Données projet'!$B$13,Paramètres!$A$1:$I$89,3,0)*VLOOKUP('Données projet'!$B$13,Paramètres!$A$1:$I$89,5,0)</f>
        <v>-1.2710188457276673E-13</v>
      </c>
      <c r="CV153" s="13" t="e">
        <f t="shared" si="149"/>
        <v>#NUM!</v>
      </c>
      <c r="CW153" s="20" t="e">
        <f t="shared" si="121"/>
        <v>#NUM!</v>
      </c>
      <c r="CX153" s="57" t="e">
        <f t="shared" si="122"/>
        <v>#NUM!</v>
      </c>
      <c r="CY153" s="57">
        <f ca="1">AVERAGE(OFFSET($CX$3,0,0,'Données projet'!$E$13+1,1))-AVERAGE(OFFSET($H$3,0,0,'Données projet'!$E$13+1,1))</f>
        <v>459.83870442974046</v>
      </c>
      <c r="CZ153" s="57">
        <f t="shared" si="150"/>
        <v>565.68976940602215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43.537098819462749</v>
      </c>
      <c r="DG153" s="21">
        <f>EXP(-LN(2)/25)*DG152+(1-EXP(-LN(2)/25))/(LN(2)/25)*Calculateur!DB153*Calculateur!DD153*VLOOKUP('Données projet'!$B$13,Paramètres!$A$1:$I$89,3,0)*0.475*44/12</f>
        <v>5.3130304505379167</v>
      </c>
      <c r="DH153" s="21">
        <f>EXP(-LN(2)/2)*DH152+(1-EXP(-LN(2)/2))/(LN(2)/2)*DB153*DE153*VLOOKUP('Données projet'!$B$13,Paramètres!$A$1:$I$89,3,0)*0.475*44/12</f>
        <v>1.6007348448087354E-12</v>
      </c>
      <c r="DI153" s="22">
        <f t="shared" si="123"/>
        <v>48.850129270002263</v>
      </c>
      <c r="DJ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7" t="e">
        <f t="shared" si="125"/>
        <v>#NUM!</v>
      </c>
      <c r="DT153" s="57">
        <f ca="1">AVERAGE(OFFSET($DS$3,0,0,'Données projet'!$E$14+1,1))-AVERAGE(OFFSET($H$3,0,0,'Données projet'!$E$14+1,1))</f>
        <v>315.23504986325418</v>
      </c>
      <c r="DU153" s="57">
        <f t="shared" si="152"/>
        <v>350.52837099886688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23.658685685517909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23.658685685517909</v>
      </c>
      <c r="EE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3.8933333333333318</v>
      </c>
      <c r="EJ153" s="12">
        <f>IF('Données projet'!$A$192&gt;35,EJ152+EI153-ER152,IF(A153&lt;'Données projet'!$A$192,$EG$205^A153,IF(A153='Données projet'!$A$192,'Données projet'!$B$192,EJ152+EI153-ER152)))</f>
        <v>225.12000000000009</v>
      </c>
      <c r="EK153" s="17">
        <f>EJ153*VLOOKUP('Données projet'!$B$15,Paramètres!$A$1:$I$89,3,0)*VLOOKUP('Données projet'!$B$15,Paramètres!$A$1:$I$89,5,0)</f>
        <v>217.73606400000008</v>
      </c>
      <c r="EL153" s="13">
        <f t="shared" si="153"/>
        <v>53.622534583136513</v>
      </c>
      <c r="EM153" s="20">
        <f t="shared" si="127"/>
        <v>472.61622586562953</v>
      </c>
      <c r="EN153" s="57">
        <f t="shared" si="128"/>
        <v>759.30924813748993</v>
      </c>
      <c r="EO153" s="57">
        <f ca="1">AVERAGE(OFFSET($EN$3,0,0,'Données projet'!$E$15+1,1))-AVERAGE(OFFSET($H$3,0,0,'Données projet'!$E$15+1,1))</f>
        <v>328.31200866623891</v>
      </c>
      <c r="EP153" s="57">
        <f t="shared" si="154"/>
        <v>195.52650232917446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37.318813624766108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37.318813624766108</v>
      </c>
      <c r="EZ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7" t="e">
        <f t="shared" si="131"/>
        <v>#NUM!</v>
      </c>
      <c r="FJ153" s="57">
        <f ca="1">AVERAGE(OFFSET($FI$3,0,0,'Données projet'!$E$16+1,1))-AVERAGE(OFFSET($H$3,0,0,'Données projet'!$E$16+1,1))</f>
        <v>142.88219003619457</v>
      </c>
      <c r="FK153" s="57">
        <f t="shared" si="156"/>
        <v>288.69704547625088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4.5597072456724748</v>
      </c>
      <c r="FR153" s="21">
        <f>EXP(-LN(2)/25)*FR152+(1-EXP(-LN(2)/25))/(LN(2)/25)*Calculateur!FM153*Calculateur!FO153*VLOOKUP('Données projet'!$B$16,Paramètres!$A$1:$I$89,3,0)*0.475*44/12</f>
        <v>0.44580809390068704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5.0055153395731615</v>
      </c>
      <c r="FU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7" t="e">
        <f t="shared" si="134"/>
        <v>#N/A</v>
      </c>
      <c r="GE153" s="57" t="e">
        <f ca="1">AVERAGE(OFFSET($GD$3,0,0,'Données projet'!$E$17+1,1))-AVERAGE(OFFSET($H$3,0,0,'Données projet'!$E$17+1,1))</f>
        <v>#N/A</v>
      </c>
      <c r="GF153" s="57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7" t="e">
        <f t="shared" si="137"/>
        <v>#N/A</v>
      </c>
      <c r="GZ153" s="57" t="e">
        <f ca="1">AVERAGE(OFFSET($GY$3,0,0,'Données projet'!$E$18+1,1))-AVERAGE(OFFSET($H$3,0,0,'Données projet'!$E$18+1,1))</f>
        <v>#N/A</v>
      </c>
      <c r="HA153" s="57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1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5">
        <f t="shared" si="110"/>
        <v>183.33333333333334</v>
      </c>
      <c r="I154" s="6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-3.979039320256561E-13</v>
      </c>
      <c r="O154" s="13">
        <f>N154*VLOOKUP('Données projet'!$B$9,Paramètres!$A$1:$I$89,3,0)*VLOOKUP('Données projet'!$B$9,Paramètres!$A$1:$I$89,5,0)</f>
        <v>-3.6002347769681362E-13</v>
      </c>
      <c r="P154" s="13" t="e">
        <f t="shared" si="141"/>
        <v>#NUM!</v>
      </c>
      <c r="Q154" s="20" t="e">
        <f t="shared" ref="Q154:Q203" si="162">(O154+P154)*0.475*44/12</f>
        <v>#NUM!</v>
      </c>
      <c r="R154" s="57" t="e">
        <f t="shared" si="109"/>
        <v>#NUM!</v>
      </c>
      <c r="S154" s="57">
        <f ca="1">AVERAGE(OFFSET($R$3,0,0,'Données projet'!$E$9+1,1))-AVERAGE(OFFSET($H$3,0,0,'Données projet'!$E$9+1,1))</f>
        <v>539.63700256763173</v>
      </c>
      <c r="T154" s="57">
        <f t="shared" si="142"/>
        <v>297.32483725004136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-3.979039320256561E-13</v>
      </c>
      <c r="AJ154" s="13">
        <f>AI154*VLOOKUP('Données projet'!$B$10,Paramètres!$A$1:$I$89,3,0)*VLOOKUP('Données projet'!$B$10,Paramètres!$A$1:$I$89,5,0)</f>
        <v>-3.3519427233841274E-13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7" t="e">
        <f t="shared" si="113"/>
        <v>#NUM!</v>
      </c>
      <c r="AN154" s="57">
        <f ca="1">AVERAGE(OFFSET($AM$3,0,0,'Données projet'!$E$10+1,1))-AVERAGE(OFFSET($H$3,0,0,'Données projet'!$E$10+1,1))</f>
        <v>508.21188526136734</v>
      </c>
      <c r="AO154" s="57">
        <f t="shared" si="144"/>
        <v>281.06176764290592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-1.064108801074326E-13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7" t="e">
        <f t="shared" si="116"/>
        <v>#NUM!</v>
      </c>
      <c r="BI154" s="57">
        <f ca="1">AVERAGE(OFFSET($BH$3,0,0,'Données projet'!$E$11+1,1))-AVERAGE(OFFSET($H$3,0,0,'Données projet'!$E$11+1,1))</f>
        <v>449.50723280509311</v>
      </c>
      <c r="BJ154" s="57">
        <f t="shared" si="146"/>
        <v>281.26353650058275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84.885722325980993</v>
      </c>
      <c r="BQ154" s="21">
        <f>EXP(-LN(2)/25)*BQ153+(1-EXP(-LN(2)/25))/(LN(2)/25)*Calculateur!BL154*Calculateur!BN154*VLOOKUP('Données projet'!$B$11,Paramètres!$A$1:$I$89,3,0)*0.475*44/12</f>
        <v>12.796728373869243</v>
      </c>
      <c r="BR154" s="21">
        <f>EXP(-LN(2)/2)*BR153+(1-EXP(-LN(2)/2))/(LN(2)/2)*BL154*BO154*VLOOKUP('Données projet'!$B$11,Paramètres!$A$1:$I$89,3,0)*0.475*44/12</f>
        <v>8.9192097613671191E-7</v>
      </c>
      <c r="BS154" s="22">
        <f t="shared" ref="BS154:BS203" si="169">SUM(BP154:BR154)</f>
        <v>97.682451591771212</v>
      </c>
      <c r="BT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-1.1937117960769683E-12</v>
      </c>
      <c r="BZ154" s="13">
        <f>BY154*VLOOKUP('Données projet'!$B$12,Paramètres!$A$1:$I$89,3,0)*VLOOKUP('Données projet'!$B$12,Paramètres!$A$1:$I$89,5,0)</f>
        <v>-1.1359361451468432E-12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7" t="e">
        <f t="shared" si="119"/>
        <v>#NUM!</v>
      </c>
      <c r="CD154" s="57">
        <f ca="1">AVERAGE(OFFSET($CC$3,0,0,'Données projet'!$E$12+1,1))-AVERAGE(OFFSET($H$3,0,0,'Données projet'!$E$12+1,1))</f>
        <v>479.4551766174892</v>
      </c>
      <c r="CE154" s="57">
        <f t="shared" si="148"/>
        <v>260.29028006191834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-2.2737367544323206E-13</v>
      </c>
      <c r="CU154" s="17">
        <f>CT154*VLOOKUP('Données projet'!$B$13,Paramètres!$A$1:$I$89,3,0)*VLOOKUP('Données projet'!$B$13,Paramètres!$A$1:$I$89,5,0)</f>
        <v>-1.2710188457276673E-13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7" t="e">
        <f t="shared" si="122"/>
        <v>#NUM!</v>
      </c>
      <c r="CY154" s="57">
        <f ca="1">AVERAGE(OFFSET($CX$3,0,0,'Données projet'!$E$13+1,1))-AVERAGE(OFFSET($H$3,0,0,'Données projet'!$E$13+1,1))</f>
        <v>459.83870442974046</v>
      </c>
      <c r="CZ154" s="57">
        <f t="shared" si="150"/>
        <v>565.68976940602215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42.683362866621273</v>
      </c>
      <c r="DG154" s="21">
        <f>EXP(-LN(2)/25)*DG153+(1-EXP(-LN(2)/25))/(LN(2)/25)*Calculateur!DB154*Calculateur!DD154*VLOOKUP('Données projet'!$B$13,Paramètres!$A$1:$I$89,3,0)*0.475*44/12</f>
        <v>5.1677453534678293</v>
      </c>
      <c r="DH154" s="21">
        <f>EXP(-LN(2)/2)*DH153+(1-EXP(-LN(2)/2))/(LN(2)/2)*DB154*DE154*VLOOKUP('Données projet'!$B$13,Paramètres!$A$1:$I$89,3,0)*0.475*44/12</f>
        <v>1.1318904636458526E-12</v>
      </c>
      <c r="DI154" s="22">
        <f t="shared" ref="DI154:DI203" si="175">SUM(DF154:DH154)</f>
        <v>47.851108220090232</v>
      </c>
      <c r="DJ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7" t="e">
        <f t="shared" si="125"/>
        <v>#NUM!</v>
      </c>
      <c r="DT154" s="57">
        <f ca="1">AVERAGE(OFFSET($DS$3,0,0,'Données projet'!$E$14+1,1))-AVERAGE(OFFSET($H$3,0,0,'Données projet'!$E$14+1,1))</f>
        <v>315.23504986325418</v>
      </c>
      <c r="DU154" s="57">
        <f t="shared" si="152"/>
        <v>350.52837099886688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23.194753289598289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23.194753289598289</v>
      </c>
      <c r="EE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3.8933333333333318</v>
      </c>
      <c r="EJ154" s="12">
        <f>IF('Données projet'!$A$192&gt;35,EJ153+EI154-ER153,IF(A154&lt;'Données projet'!$A$192,$EG$205^A154,IF(A154='Données projet'!$A$192,'Données projet'!$B$192,EJ153+EI154-ER153)))</f>
        <v>229.01333333333343</v>
      </c>
      <c r="EK154" s="17">
        <f>EJ154*VLOOKUP('Données projet'!$B$15,Paramètres!$A$1:$I$89,3,0)*VLOOKUP('Données projet'!$B$15,Paramètres!$A$1:$I$89,5,0)</f>
        <v>221.50169600000012</v>
      </c>
      <c r="EL154" s="13">
        <f t="shared" ref="EL154:EL203" si="179">EXP(-1.0587+0.8836*LN(EK154)+0.284)</f>
        <v>54.441142592363889</v>
      </c>
      <c r="EM154" s="20">
        <f t="shared" ref="EM154:EM203" si="180">(EK154+EL154)*0.475*44/12</f>
        <v>480.60044388170064</v>
      </c>
      <c r="EN154" s="57">
        <f t="shared" si="128"/>
        <v>767.408660704966</v>
      </c>
      <c r="EO154" s="57">
        <f ca="1">AVERAGE(OFFSET($EN$3,0,0,'Données projet'!$E$15+1,1))-AVERAGE(OFFSET($H$3,0,0,'Données projet'!$E$15+1,1))</f>
        <v>328.31200866623891</v>
      </c>
      <c r="EP154" s="57">
        <f t="shared" si="154"/>
        <v>195.52650232917446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36.587014451813175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36.587014451813175</v>
      </c>
      <c r="EZ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7" t="e">
        <f t="shared" si="131"/>
        <v>#NUM!</v>
      </c>
      <c r="FJ154" s="57">
        <f ca="1">AVERAGE(OFFSET($FI$3,0,0,'Données projet'!$E$16+1,1))-AVERAGE(OFFSET($H$3,0,0,'Données projet'!$E$16+1,1))</f>
        <v>142.88219003619457</v>
      </c>
      <c r="FK154" s="57">
        <f t="shared" si="156"/>
        <v>288.69704547625088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4.4702941677316419</v>
      </c>
      <c r="FR154" s="21">
        <f>EXP(-LN(2)/25)*FR153+(1-EXP(-LN(2)/25))/(LN(2)/25)*Calculateur!FM154*Calculateur!FO154*VLOOKUP('Données projet'!$B$16,Paramètres!$A$1:$I$89,3,0)*0.475*44/12</f>
        <v>0.43361744812894398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4.9039116158605855</v>
      </c>
      <c r="FU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7" t="e">
        <f t="shared" si="134"/>
        <v>#N/A</v>
      </c>
      <c r="GE154" s="57" t="e">
        <f ca="1">AVERAGE(OFFSET($GD$3,0,0,'Données projet'!$E$17+1,1))-AVERAGE(OFFSET($H$3,0,0,'Données projet'!$E$17+1,1))</f>
        <v>#N/A</v>
      </c>
      <c r="GF154" s="57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7" t="e">
        <f t="shared" si="137"/>
        <v>#N/A</v>
      </c>
      <c r="GZ154" s="57" t="e">
        <f ca="1">AVERAGE(OFFSET($GY$3,0,0,'Données projet'!$E$18+1,1))-AVERAGE(OFFSET($H$3,0,0,'Données projet'!$E$18+1,1))</f>
        <v>#N/A</v>
      </c>
      <c r="HA154" s="57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1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5">
        <f t="shared" si="110"/>
        <v>183.33333333333334</v>
      </c>
      <c r="I155" s="6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-3.979039320256561E-13</v>
      </c>
      <c r="O155" s="13">
        <f>N155*VLOOKUP('Données projet'!$B$9,Paramètres!$A$1:$I$89,3,0)*VLOOKUP('Données projet'!$B$9,Paramètres!$A$1:$I$89,5,0)</f>
        <v>-3.6002347769681362E-13</v>
      </c>
      <c r="P155" s="13" t="e">
        <f t="shared" si="141"/>
        <v>#NUM!</v>
      </c>
      <c r="Q155" s="20" t="e">
        <f t="shared" si="162"/>
        <v>#NUM!</v>
      </c>
      <c r="R155" s="57" t="e">
        <f t="shared" si="109"/>
        <v>#NUM!</v>
      </c>
      <c r="S155" s="57">
        <f ca="1">AVERAGE(OFFSET($R$3,0,0,'Données projet'!$E$9+1,1))-AVERAGE(OFFSET($H$3,0,0,'Données projet'!$E$9+1,1))</f>
        <v>539.63700256763173</v>
      </c>
      <c r="T155" s="57">
        <f t="shared" si="142"/>
        <v>297.32483725004136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-3.979039320256561E-13</v>
      </c>
      <c r="AJ155" s="13">
        <f>AI155*VLOOKUP('Données projet'!$B$10,Paramètres!$A$1:$I$89,3,0)*VLOOKUP('Données projet'!$B$10,Paramètres!$A$1:$I$89,5,0)</f>
        <v>-3.3519427233841274E-13</v>
      </c>
      <c r="AK155" s="13" t="e">
        <f t="shared" si="164"/>
        <v>#NUM!</v>
      </c>
      <c r="AL155" s="20" t="e">
        <f t="shared" si="165"/>
        <v>#NUM!</v>
      </c>
      <c r="AM155" s="57" t="e">
        <f t="shared" si="113"/>
        <v>#NUM!</v>
      </c>
      <c r="AN155" s="57">
        <f ca="1">AVERAGE(OFFSET($AM$3,0,0,'Données projet'!$E$10+1,1))-AVERAGE(OFFSET($H$3,0,0,'Données projet'!$E$10+1,1))</f>
        <v>508.21188526136734</v>
      </c>
      <c r="AO155" s="57">
        <f t="shared" si="144"/>
        <v>281.06176764290592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-1.064108801074326E-13</v>
      </c>
      <c r="BF155" s="13" t="e">
        <f t="shared" si="167"/>
        <v>#NUM!</v>
      </c>
      <c r="BG155" s="20" t="e">
        <f t="shared" si="168"/>
        <v>#NUM!</v>
      </c>
      <c r="BH155" s="57" t="e">
        <f t="shared" si="116"/>
        <v>#NUM!</v>
      </c>
      <c r="BI155" s="57">
        <f ca="1">AVERAGE(OFFSET($BH$3,0,0,'Données projet'!$E$11+1,1))-AVERAGE(OFFSET($H$3,0,0,'Données projet'!$E$11+1,1))</f>
        <v>449.50723280509311</v>
      </c>
      <c r="BJ155" s="57">
        <f t="shared" si="146"/>
        <v>281.26353650058275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83.221165086346744</v>
      </c>
      <c r="BQ155" s="21">
        <f>EXP(-LN(2)/25)*BQ154+(1-EXP(-LN(2)/25))/(LN(2)/25)*Calculateur!BL155*Calculateur!BN155*VLOOKUP('Données projet'!$B$11,Paramètres!$A$1:$I$89,3,0)*0.475*44/12</f>
        <v>12.44680116353509</v>
      </c>
      <c r="BR155" s="21">
        <f>EXP(-LN(2)/2)*BR154+(1-EXP(-LN(2)/2))/(LN(2)/2)*BL155*BO155*VLOOKUP('Données projet'!$B$11,Paramètres!$A$1:$I$89,3,0)*0.475*44/12</f>
        <v>6.3068337050879382E-7</v>
      </c>
      <c r="BS155" s="22">
        <f t="shared" si="169"/>
        <v>95.667966880565203</v>
      </c>
      <c r="BT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-1.1937117960769683E-12</v>
      </c>
      <c r="BZ155" s="13">
        <f>BY155*VLOOKUP('Données projet'!$B$12,Paramètres!$A$1:$I$89,3,0)*VLOOKUP('Données projet'!$B$12,Paramètres!$A$1:$I$89,5,0)</f>
        <v>-1.1359361451468432E-12</v>
      </c>
      <c r="CA155" s="13" t="e">
        <f t="shared" si="170"/>
        <v>#NUM!</v>
      </c>
      <c r="CB155" s="20" t="e">
        <f t="shared" si="171"/>
        <v>#NUM!</v>
      </c>
      <c r="CC155" s="57" t="e">
        <f t="shared" si="119"/>
        <v>#NUM!</v>
      </c>
      <c r="CD155" s="57">
        <f ca="1">AVERAGE(OFFSET($CC$3,0,0,'Données projet'!$E$12+1,1))-AVERAGE(OFFSET($H$3,0,0,'Données projet'!$E$12+1,1))</f>
        <v>479.4551766174892</v>
      </c>
      <c r="CE155" s="57">
        <f t="shared" si="148"/>
        <v>260.29028006191834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-2.2737367544323206E-13</v>
      </c>
      <c r="CU155" s="17">
        <f>CT155*VLOOKUP('Données projet'!$B$13,Paramètres!$A$1:$I$89,3,0)*VLOOKUP('Données projet'!$B$13,Paramètres!$A$1:$I$89,5,0)</f>
        <v>-1.2710188457276673E-13</v>
      </c>
      <c r="CV155" s="13" t="e">
        <f t="shared" si="173"/>
        <v>#NUM!</v>
      </c>
      <c r="CW155" s="20" t="e">
        <f t="shared" si="174"/>
        <v>#NUM!</v>
      </c>
      <c r="CX155" s="57" t="e">
        <f t="shared" si="122"/>
        <v>#NUM!</v>
      </c>
      <c r="CY155" s="57">
        <f ca="1">AVERAGE(OFFSET($CX$3,0,0,'Données projet'!$E$13+1,1))-AVERAGE(OFFSET($H$3,0,0,'Données projet'!$E$13+1,1))</f>
        <v>459.83870442974046</v>
      </c>
      <c r="CZ155" s="57">
        <f t="shared" si="150"/>
        <v>565.68976940602215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41.846368155087504</v>
      </c>
      <c r="DG155" s="21">
        <f>EXP(-LN(2)/25)*DG154+(1-EXP(-LN(2)/25))/(LN(2)/25)*Calculateur!DB155*Calculateur!DD155*VLOOKUP('Données projet'!$B$13,Paramètres!$A$1:$I$89,3,0)*0.475*44/12</f>
        <v>5.0264330850173344</v>
      </c>
      <c r="DH155" s="21">
        <f>EXP(-LN(2)/2)*DH154+(1-EXP(-LN(2)/2))/(LN(2)/2)*DB155*DE155*VLOOKUP('Données projet'!$B$13,Paramètres!$A$1:$I$89,3,0)*0.475*44/12</f>
        <v>8.003674224043677E-13</v>
      </c>
      <c r="DI155" s="22">
        <f t="shared" si="175"/>
        <v>46.872801240105638</v>
      </c>
      <c r="DJ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7" t="e">
        <f t="shared" si="125"/>
        <v>#NUM!</v>
      </c>
      <c r="DT155" s="57">
        <f ca="1">AVERAGE(OFFSET($DS$3,0,0,'Données projet'!$E$14+1,1))-AVERAGE(OFFSET($H$3,0,0,'Données projet'!$E$14+1,1))</f>
        <v>315.23504986325418</v>
      </c>
      <c r="DU155" s="57">
        <f t="shared" si="152"/>
        <v>350.52837099886688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22.739918324991834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22.739918324991834</v>
      </c>
      <c r="EE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3.8933333333333318</v>
      </c>
      <c r="EJ155" s="12">
        <f>IF('Données projet'!$A$192&gt;35,EJ154+EI155-ER154,IF(A155&lt;'Données projet'!$A$192,$EG$205^A155,IF(A155='Données projet'!$A$192,'Données projet'!$B$192,EJ154+EI155-ER154)))</f>
        <v>232.90666666666678</v>
      </c>
      <c r="EK155" s="17">
        <f>EJ155*VLOOKUP('Données projet'!$B$15,Paramètres!$A$1:$I$89,3,0)*VLOOKUP('Données projet'!$B$15,Paramètres!$A$1:$I$89,5,0)</f>
        <v>225.26732800000013</v>
      </c>
      <c r="EL155" s="13">
        <f t="shared" si="179"/>
        <v>55.258132214985835</v>
      </c>
      <c r="EM155" s="20">
        <f t="shared" si="180"/>
        <v>488.58184320776718</v>
      </c>
      <c r="EN155" s="57">
        <f t="shared" si="128"/>
        <v>775.50325621450702</v>
      </c>
      <c r="EO155" s="57">
        <f ca="1">AVERAGE(OFFSET($EN$3,0,0,'Données projet'!$E$15+1,1))-AVERAGE(OFFSET($H$3,0,0,'Données projet'!$E$15+1,1))</f>
        <v>328.31200866623891</v>
      </c>
      <c r="EP155" s="57">
        <f t="shared" si="154"/>
        <v>195.52650232917446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35.869565414288424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35.869565414288424</v>
      </c>
      <c r="EZ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7" t="e">
        <f t="shared" si="131"/>
        <v>#NUM!</v>
      </c>
      <c r="FJ155" s="57">
        <f ca="1">AVERAGE(OFFSET($FI$3,0,0,'Données projet'!$E$16+1,1))-AVERAGE(OFFSET($H$3,0,0,'Données projet'!$E$16+1,1))</f>
        <v>142.88219003619457</v>
      </c>
      <c r="FK155" s="57">
        <f t="shared" si="156"/>
        <v>288.69704547625088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4.3826344257126362</v>
      </c>
      <c r="FR155" s="21">
        <f>EXP(-LN(2)/25)*FR154+(1-EXP(-LN(2)/25))/(LN(2)/25)*Calculateur!FM155*Calculateur!FO155*VLOOKUP('Données projet'!$B$16,Paramètres!$A$1:$I$89,3,0)*0.475*44/12</f>
        <v>0.42176015620690743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4.8043945819195439</v>
      </c>
      <c r="FU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7" t="e">
        <f t="shared" si="134"/>
        <v>#N/A</v>
      </c>
      <c r="GE155" s="57" t="e">
        <f ca="1">AVERAGE(OFFSET($GD$3,0,0,'Données projet'!$E$17+1,1))-AVERAGE(OFFSET($H$3,0,0,'Données projet'!$E$17+1,1))</f>
        <v>#N/A</v>
      </c>
      <c r="GF155" s="57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7" t="e">
        <f t="shared" si="137"/>
        <v>#N/A</v>
      </c>
      <c r="GZ155" s="57" t="e">
        <f ca="1">AVERAGE(OFFSET($GY$3,0,0,'Données projet'!$E$18+1,1))-AVERAGE(OFFSET($H$3,0,0,'Données projet'!$E$18+1,1))</f>
        <v>#N/A</v>
      </c>
      <c r="HA155" s="57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1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5">
        <f t="shared" si="110"/>
        <v>183.33333333333334</v>
      </c>
      <c r="I156" s="6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-3.979039320256561E-13</v>
      </c>
      <c r="O156" s="13">
        <f>N156*VLOOKUP('Données projet'!$B$9,Paramètres!$A$1:$I$89,3,0)*VLOOKUP('Données projet'!$B$9,Paramètres!$A$1:$I$89,5,0)</f>
        <v>-3.6002347769681362E-13</v>
      </c>
      <c r="P156" s="13" t="e">
        <f t="shared" si="141"/>
        <v>#NUM!</v>
      </c>
      <c r="Q156" s="20" t="e">
        <f t="shared" si="162"/>
        <v>#NUM!</v>
      </c>
      <c r="R156" s="57" t="e">
        <f t="shared" si="109"/>
        <v>#NUM!</v>
      </c>
      <c r="S156" s="57">
        <f ca="1">AVERAGE(OFFSET($R$3,0,0,'Données projet'!$E$9+1,1))-AVERAGE(OFFSET($H$3,0,0,'Données projet'!$E$9+1,1))</f>
        <v>539.63700256763173</v>
      </c>
      <c r="T156" s="57">
        <f t="shared" si="142"/>
        <v>297.32483725004136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-3.979039320256561E-13</v>
      </c>
      <c r="AJ156" s="13">
        <f>AI156*VLOOKUP('Données projet'!$B$10,Paramètres!$A$1:$I$89,3,0)*VLOOKUP('Données projet'!$B$10,Paramètres!$A$1:$I$89,5,0)</f>
        <v>-3.3519427233841274E-13</v>
      </c>
      <c r="AK156" s="13" t="e">
        <f t="shared" si="164"/>
        <v>#NUM!</v>
      </c>
      <c r="AL156" s="20" t="e">
        <f t="shared" si="165"/>
        <v>#NUM!</v>
      </c>
      <c r="AM156" s="57" t="e">
        <f t="shared" si="113"/>
        <v>#NUM!</v>
      </c>
      <c r="AN156" s="57">
        <f ca="1">AVERAGE(OFFSET($AM$3,0,0,'Données projet'!$E$10+1,1))-AVERAGE(OFFSET($H$3,0,0,'Données projet'!$E$10+1,1))</f>
        <v>508.21188526136734</v>
      </c>
      <c r="AO156" s="57">
        <f t="shared" si="144"/>
        <v>281.06176764290592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-1.064108801074326E-13</v>
      </c>
      <c r="BF156" s="13" t="e">
        <f t="shared" si="167"/>
        <v>#NUM!</v>
      </c>
      <c r="BG156" s="20" t="e">
        <f t="shared" si="168"/>
        <v>#NUM!</v>
      </c>
      <c r="BH156" s="57" t="e">
        <f t="shared" si="116"/>
        <v>#NUM!</v>
      </c>
      <c r="BI156" s="57">
        <f ca="1">AVERAGE(OFFSET($BH$3,0,0,'Données projet'!$E$11+1,1))-AVERAGE(OFFSET($H$3,0,0,'Données projet'!$E$11+1,1))</f>
        <v>449.50723280509311</v>
      </c>
      <c r="BJ156" s="57">
        <f t="shared" si="146"/>
        <v>281.26353650058275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81.589248798902062</v>
      </c>
      <c r="BQ156" s="21">
        <f>EXP(-LN(2)/25)*BQ155+(1-EXP(-LN(2)/25))/(LN(2)/25)*Calculateur!BL156*Calculateur!BN156*VLOOKUP('Données projet'!$B$11,Paramètres!$A$1:$I$89,3,0)*0.475*44/12</f>
        <v>12.106442731169398</v>
      </c>
      <c r="BR156" s="21">
        <f>EXP(-LN(2)/2)*BR155+(1-EXP(-LN(2)/2))/(LN(2)/2)*BL156*BO156*VLOOKUP('Données projet'!$B$11,Paramètres!$A$1:$I$89,3,0)*0.475*44/12</f>
        <v>4.4596048806835596E-7</v>
      </c>
      <c r="BS156" s="22">
        <f t="shared" si="169"/>
        <v>93.695691976031938</v>
      </c>
      <c r="BT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-1.1937117960769683E-12</v>
      </c>
      <c r="BZ156" s="13">
        <f>BY156*VLOOKUP('Données projet'!$B$12,Paramètres!$A$1:$I$89,3,0)*VLOOKUP('Données projet'!$B$12,Paramètres!$A$1:$I$89,5,0)</f>
        <v>-1.1359361451468432E-12</v>
      </c>
      <c r="CA156" s="13" t="e">
        <f t="shared" si="170"/>
        <v>#NUM!</v>
      </c>
      <c r="CB156" s="20" t="e">
        <f t="shared" si="171"/>
        <v>#NUM!</v>
      </c>
      <c r="CC156" s="57" t="e">
        <f t="shared" si="119"/>
        <v>#NUM!</v>
      </c>
      <c r="CD156" s="57">
        <f ca="1">AVERAGE(OFFSET($CC$3,0,0,'Données projet'!$E$12+1,1))-AVERAGE(OFFSET($H$3,0,0,'Données projet'!$E$12+1,1))</f>
        <v>479.4551766174892</v>
      </c>
      <c r="CE156" s="57">
        <f t="shared" si="148"/>
        <v>260.29028006191834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-2.2737367544323206E-13</v>
      </c>
      <c r="CU156" s="17">
        <f>CT156*VLOOKUP('Données projet'!$B$13,Paramètres!$A$1:$I$89,3,0)*VLOOKUP('Données projet'!$B$13,Paramètres!$A$1:$I$89,5,0)</f>
        <v>-1.2710188457276673E-13</v>
      </c>
      <c r="CV156" s="13" t="e">
        <f t="shared" si="173"/>
        <v>#NUM!</v>
      </c>
      <c r="CW156" s="20" t="e">
        <f t="shared" si="174"/>
        <v>#NUM!</v>
      </c>
      <c r="CX156" s="57" t="e">
        <f t="shared" si="122"/>
        <v>#NUM!</v>
      </c>
      <c r="CY156" s="57">
        <f ca="1">AVERAGE(OFFSET($CX$3,0,0,'Données projet'!$E$13+1,1))-AVERAGE(OFFSET($H$3,0,0,'Données projet'!$E$13+1,1))</f>
        <v>459.83870442974046</v>
      </c>
      <c r="CZ156" s="57">
        <f t="shared" si="150"/>
        <v>565.68976940602215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41.025786399330549</v>
      </c>
      <c r="DG156" s="21">
        <f>EXP(-LN(2)/25)*DG155+(1-EXP(-LN(2)/25))/(LN(2)/25)*Calculateur!DB156*Calculateur!DD156*VLOOKUP('Données projet'!$B$13,Paramètres!$A$1:$I$89,3,0)*0.475*44/12</f>
        <v>4.8889850079789072</v>
      </c>
      <c r="DH156" s="21">
        <f>EXP(-LN(2)/2)*DH155+(1-EXP(-LN(2)/2))/(LN(2)/2)*DB156*DE156*VLOOKUP('Données projet'!$B$13,Paramètres!$A$1:$I$89,3,0)*0.475*44/12</f>
        <v>5.6594523182292628E-13</v>
      </c>
      <c r="DI156" s="22">
        <f t="shared" si="175"/>
        <v>45.914771407310027</v>
      </c>
      <c r="DJ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7" t="e">
        <f t="shared" si="125"/>
        <v>#NUM!</v>
      </c>
      <c r="DT156" s="57">
        <f ca="1">AVERAGE(OFFSET($DS$3,0,0,'Données projet'!$E$14+1,1))-AVERAGE(OFFSET($H$3,0,0,'Données projet'!$E$14+1,1))</f>
        <v>315.23504986325418</v>
      </c>
      <c r="DU156" s="57">
        <f t="shared" si="152"/>
        <v>350.52837099886688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22.294002396619376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22.294002396619376</v>
      </c>
      <c r="EE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>
        <f>VLOOKUP(A156,'Données projet'!$A$191:$I$211,2,0)</f>
        <v>236.8</v>
      </c>
      <c r="EH156" s="12">
        <f>VLOOKUP(A156,'Données projet'!$A$191:$I$211,9,0)</f>
        <v>3.8933333333333318</v>
      </c>
      <c r="EI156" s="12">
        <f t="array" ref="EI156">INDEX(EH:EH,MIN(IF(ISNUMBER(EH156:EH352),ROW(EH156:EH352),"")))</f>
        <v>3.8933333333333318</v>
      </c>
      <c r="EJ156" s="12">
        <f>IF('Données projet'!$A$192&gt;35,EJ155+EI156-ER155,IF(A156&lt;'Données projet'!$A$192,$EG$205^A156,IF(A156='Données projet'!$A$192,'Données projet'!$B$192,EJ155+EI156-ER155)))</f>
        <v>236.80000000000013</v>
      </c>
      <c r="EK156" s="17">
        <f>EJ156*VLOOKUP('Données projet'!$B$15,Paramètres!$A$1:$I$89,3,0)*VLOOKUP('Données projet'!$B$15,Paramètres!$A$1:$I$89,5,0)</f>
        <v>229.03296000000014</v>
      </c>
      <c r="EL156" s="13">
        <f t="shared" si="179"/>
        <v>56.073533626892065</v>
      </c>
      <c r="EM156" s="20">
        <f t="shared" si="180"/>
        <v>496.5604764001705</v>
      </c>
      <c r="EN156" s="57">
        <f t="shared" si="128"/>
        <v>783.59312188967056</v>
      </c>
      <c r="EO156" s="57">
        <f ca="1">AVERAGE(OFFSET($EN$3,0,0,'Données projet'!$E$15+1,1))-AVERAGE(OFFSET($H$3,0,0,'Données projet'!$E$15+1,1))</f>
        <v>328.31200866623891</v>
      </c>
      <c r="EP156" s="57">
        <f t="shared" si="154"/>
        <v>195.52650232917446</v>
      </c>
      <c r="EQ156" s="15" t="str">
        <f>IF(ISNA(VLOOKUP(A156,'Données projet'!$A$191:$I$211,3,0)),0,VLOOKUP(A156,'Données projet'!$A$191:$I$211,3,0))</f>
        <v>CR</v>
      </c>
      <c r="ER156" s="15">
        <f>IF(ISNA(VLOOKUP(A156,'Données projet'!$A$191:$I$211,4,0)),0,VLOOKUP(A156,'Données projet'!$A$191:$I$211,4,0))</f>
        <v>236.8</v>
      </c>
      <c r="ES156" s="16">
        <f>IF(ISNA(VLOOKUP(A156,'Données projet'!$A$191:$I$211,5,0)),0%,VLOOKUP(A156,'Données projet'!$A$191:$I$211,5,0)*VLOOKUP('Données projet'!$B$15,Paramètres!$A$1:$I$89,7,0))</f>
        <v>0.38700000000000001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133.15038740967302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133.15038740967302</v>
      </c>
      <c r="EZ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7" t="e">
        <f t="shared" si="131"/>
        <v>#NUM!</v>
      </c>
      <c r="FJ156" s="57">
        <f ca="1">AVERAGE(OFFSET($FI$3,0,0,'Données projet'!$E$16+1,1))-AVERAGE(OFFSET($H$3,0,0,'Données projet'!$E$16+1,1))</f>
        <v>142.88219003619457</v>
      </c>
      <c r="FK156" s="57">
        <f t="shared" si="156"/>
        <v>288.69704547625088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4.2966936377674605</v>
      </c>
      <c r="FR156" s="21">
        <f>EXP(-LN(2)/25)*FR155+(1-EXP(-LN(2)/25))/(LN(2)/25)*Calculateur!FM156*Calculateur!FO156*VLOOKUP('Données projet'!$B$16,Paramètres!$A$1:$I$89,3,0)*0.475*44/12</f>
        <v>0.4102271025560269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4.7069207403234872</v>
      </c>
      <c r="FU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7" t="e">
        <f t="shared" si="134"/>
        <v>#N/A</v>
      </c>
      <c r="GE156" s="57" t="e">
        <f ca="1">AVERAGE(OFFSET($GD$3,0,0,'Données projet'!$E$17+1,1))-AVERAGE(OFFSET($H$3,0,0,'Données projet'!$E$17+1,1))</f>
        <v>#N/A</v>
      </c>
      <c r="GF156" s="57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7" t="e">
        <f t="shared" si="137"/>
        <v>#N/A</v>
      </c>
      <c r="GZ156" s="57" t="e">
        <f ca="1">AVERAGE(OFFSET($GY$3,0,0,'Données projet'!$E$18+1,1))-AVERAGE(OFFSET($H$3,0,0,'Données projet'!$E$18+1,1))</f>
        <v>#N/A</v>
      </c>
      <c r="HA156" s="57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1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5">
        <f t="shared" si="110"/>
        <v>183.33333333333334</v>
      </c>
      <c r="I157" s="6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-3.979039320256561E-13</v>
      </c>
      <c r="O157" s="13">
        <f>N157*VLOOKUP('Données projet'!$B$9,Paramètres!$A$1:$I$89,3,0)*VLOOKUP('Données projet'!$B$9,Paramètres!$A$1:$I$89,5,0)</f>
        <v>-3.6002347769681362E-13</v>
      </c>
      <c r="P157" s="13" t="e">
        <f t="shared" si="141"/>
        <v>#NUM!</v>
      </c>
      <c r="Q157" s="20" t="e">
        <f t="shared" si="162"/>
        <v>#NUM!</v>
      </c>
      <c r="R157" s="57" t="e">
        <f t="shared" si="109"/>
        <v>#NUM!</v>
      </c>
      <c r="S157" s="57">
        <f ca="1">AVERAGE(OFFSET($R$3,0,0,'Données projet'!$E$9+1,1))-AVERAGE(OFFSET($H$3,0,0,'Données projet'!$E$9+1,1))</f>
        <v>539.63700256763173</v>
      </c>
      <c r="T157" s="57">
        <f t="shared" si="142"/>
        <v>297.32483725004136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-3.979039320256561E-13</v>
      </c>
      <c r="AJ157" s="13">
        <f>AI157*VLOOKUP('Données projet'!$B$10,Paramètres!$A$1:$I$89,3,0)*VLOOKUP('Données projet'!$B$10,Paramètres!$A$1:$I$89,5,0)</f>
        <v>-3.3519427233841274E-13</v>
      </c>
      <c r="AK157" s="13" t="e">
        <f t="shared" si="164"/>
        <v>#NUM!</v>
      </c>
      <c r="AL157" s="20" t="e">
        <f t="shared" si="165"/>
        <v>#NUM!</v>
      </c>
      <c r="AM157" s="57" t="e">
        <f t="shared" si="113"/>
        <v>#NUM!</v>
      </c>
      <c r="AN157" s="57">
        <f ca="1">AVERAGE(OFFSET($AM$3,0,0,'Données projet'!$E$10+1,1))-AVERAGE(OFFSET($H$3,0,0,'Données projet'!$E$10+1,1))</f>
        <v>508.21188526136734</v>
      </c>
      <c r="AO157" s="57">
        <f t="shared" si="144"/>
        <v>281.06176764290592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-1.064108801074326E-13</v>
      </c>
      <c r="BF157" s="13" t="e">
        <f t="shared" si="167"/>
        <v>#NUM!</v>
      </c>
      <c r="BG157" s="20" t="e">
        <f t="shared" si="168"/>
        <v>#NUM!</v>
      </c>
      <c r="BH157" s="57" t="e">
        <f t="shared" si="116"/>
        <v>#NUM!</v>
      </c>
      <c r="BI157" s="57">
        <f ca="1">AVERAGE(OFFSET($BH$3,0,0,'Données projet'!$E$11+1,1))-AVERAGE(OFFSET($H$3,0,0,'Données projet'!$E$11+1,1))</f>
        <v>449.50723280509311</v>
      </c>
      <c r="BJ157" s="57">
        <f t="shared" si="146"/>
        <v>281.26353650058275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79.989333394483523</v>
      </c>
      <c r="BQ157" s="21">
        <f>EXP(-LN(2)/25)*BQ156+(1-EXP(-LN(2)/25))/(LN(2)/25)*Calculateur!BL157*Calculateur!BN157*VLOOKUP('Données projet'!$B$11,Paramètres!$A$1:$I$89,3,0)*0.475*44/12</f>
        <v>11.775391418035417</v>
      </c>
      <c r="BR157" s="21">
        <f>EXP(-LN(2)/2)*BR156+(1-EXP(-LN(2)/2))/(LN(2)/2)*BL157*BO157*VLOOKUP('Données projet'!$B$11,Paramètres!$A$1:$I$89,3,0)*0.475*44/12</f>
        <v>3.1534168525439691E-7</v>
      </c>
      <c r="BS157" s="22">
        <f t="shared" si="169"/>
        <v>91.764725127860615</v>
      </c>
      <c r="BT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-1.1937117960769683E-12</v>
      </c>
      <c r="BZ157" s="13">
        <f>BY157*VLOOKUP('Données projet'!$B$12,Paramètres!$A$1:$I$89,3,0)*VLOOKUP('Données projet'!$B$12,Paramètres!$A$1:$I$89,5,0)</f>
        <v>-1.1359361451468432E-12</v>
      </c>
      <c r="CA157" s="13" t="e">
        <f t="shared" si="170"/>
        <v>#NUM!</v>
      </c>
      <c r="CB157" s="20" t="e">
        <f t="shared" si="171"/>
        <v>#NUM!</v>
      </c>
      <c r="CC157" s="57" t="e">
        <f t="shared" si="119"/>
        <v>#NUM!</v>
      </c>
      <c r="CD157" s="57">
        <f ca="1">AVERAGE(OFFSET($CC$3,0,0,'Données projet'!$E$12+1,1))-AVERAGE(OFFSET($H$3,0,0,'Données projet'!$E$12+1,1))</f>
        <v>479.4551766174892</v>
      </c>
      <c r="CE157" s="57">
        <f t="shared" si="148"/>
        <v>260.29028006191834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-2.2737367544323206E-13</v>
      </c>
      <c r="CU157" s="17">
        <f>CT157*VLOOKUP('Données projet'!$B$13,Paramètres!$A$1:$I$89,3,0)*VLOOKUP('Données projet'!$B$13,Paramètres!$A$1:$I$89,5,0)</f>
        <v>-1.2710188457276673E-13</v>
      </c>
      <c r="CV157" s="13" t="e">
        <f t="shared" si="173"/>
        <v>#NUM!</v>
      </c>
      <c r="CW157" s="20" t="e">
        <f t="shared" si="174"/>
        <v>#NUM!</v>
      </c>
      <c r="CX157" s="57" t="e">
        <f t="shared" si="122"/>
        <v>#NUM!</v>
      </c>
      <c r="CY157" s="57">
        <f ca="1">AVERAGE(OFFSET($CX$3,0,0,'Données projet'!$E$13+1,1))-AVERAGE(OFFSET($H$3,0,0,'Données projet'!$E$13+1,1))</f>
        <v>459.83870442974046</v>
      </c>
      <c r="CZ157" s="57">
        <f t="shared" si="150"/>
        <v>565.68976940602215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40.221295751298541</v>
      </c>
      <c r="DG157" s="21">
        <f>EXP(-LN(2)/25)*DG156+(1-EXP(-LN(2)/25))/(LN(2)/25)*Calculateur!DB157*Calculateur!DD157*VLOOKUP('Données projet'!$B$13,Paramètres!$A$1:$I$89,3,0)*0.475*44/12</f>
        <v>4.7552954558351761</v>
      </c>
      <c r="DH157" s="21">
        <f>EXP(-LN(2)/2)*DH156+(1-EXP(-LN(2)/2))/(LN(2)/2)*DB157*DE157*VLOOKUP('Données projet'!$B$13,Paramètres!$A$1:$I$89,3,0)*0.475*44/12</f>
        <v>4.0018371120218385E-13</v>
      </c>
      <c r="DI157" s="22">
        <f t="shared" si="175"/>
        <v>44.976591207134113</v>
      </c>
      <c r="DJ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7" t="e">
        <f t="shared" si="125"/>
        <v>#NUM!</v>
      </c>
      <c r="DT157" s="57">
        <f ca="1">AVERAGE(OFFSET($DS$3,0,0,'Données projet'!$E$14+1,1))-AVERAGE(OFFSET($H$3,0,0,'Données projet'!$E$14+1,1))</f>
        <v>315.23504986325418</v>
      </c>
      <c r="DU157" s="57">
        <f t="shared" si="152"/>
        <v>350.52837099886688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21.856830607620441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21.856830607620441</v>
      </c>
      <c r="EE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1.1368683772161603E-13</v>
      </c>
      <c r="EK157" s="17">
        <f>EJ157*VLOOKUP('Données projet'!$B$15,Paramètres!$A$1:$I$89,3,0)*VLOOKUP('Données projet'!$B$15,Paramètres!$A$1:$I$89,5,0)</f>
        <v>1.0995790944434703E-13</v>
      </c>
      <c r="EL157" s="13">
        <f t="shared" si="179"/>
        <v>1.6337280948049956E-12</v>
      </c>
      <c r="EM157" s="20">
        <f t="shared" si="180"/>
        <v>3.036919790734272E-12</v>
      </c>
      <c r="EN157" s="57">
        <f t="shared" si="128"/>
        <v>287.14194833736576</v>
      </c>
      <c r="EO157" s="57">
        <f ca="1">AVERAGE(OFFSET($EN$3,0,0,'Données projet'!$E$15+1,1))-AVERAGE(OFFSET($H$3,0,0,'Données projet'!$E$15+1,1))</f>
        <v>328.31200866623891</v>
      </c>
      <c r="EP157" s="57">
        <f t="shared" si="154"/>
        <v>195.52650232917446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130.53938952628647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130.53938952628647</v>
      </c>
      <c r="EZ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7" t="e">
        <f t="shared" si="131"/>
        <v>#NUM!</v>
      </c>
      <c r="FJ157" s="57">
        <f ca="1">AVERAGE(OFFSET($FI$3,0,0,'Données projet'!$E$16+1,1))-AVERAGE(OFFSET($H$3,0,0,'Données projet'!$E$16+1,1))</f>
        <v>142.88219003619457</v>
      </c>
      <c r="FK157" s="57">
        <f t="shared" si="156"/>
        <v>288.69704547625088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4.2124380962551848</v>
      </c>
      <c r="FR157" s="21">
        <f>EXP(-LN(2)/25)*FR156+(1-EXP(-LN(2)/25))/(LN(2)/25)*Calculateur!FM157*Calculateur!FO157*VLOOKUP('Données projet'!$B$16,Paramètres!$A$1:$I$89,3,0)*0.475*44/12</f>
        <v>0.39900942086372659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4.6114475171189113</v>
      </c>
      <c r="FU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7" t="e">
        <f t="shared" si="134"/>
        <v>#N/A</v>
      </c>
      <c r="GE157" s="57" t="e">
        <f ca="1">AVERAGE(OFFSET($GD$3,0,0,'Données projet'!$E$17+1,1))-AVERAGE(OFFSET($H$3,0,0,'Données projet'!$E$17+1,1))</f>
        <v>#N/A</v>
      </c>
      <c r="GF157" s="57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7" t="e">
        <f t="shared" si="137"/>
        <v>#N/A</v>
      </c>
      <c r="GZ157" s="57" t="e">
        <f ca="1">AVERAGE(OFFSET($GY$3,0,0,'Données projet'!$E$18+1,1))-AVERAGE(OFFSET($H$3,0,0,'Données projet'!$E$18+1,1))</f>
        <v>#N/A</v>
      </c>
      <c r="HA157" s="57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1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5">
        <f t="shared" si="110"/>
        <v>183.33333333333334</v>
      </c>
      <c r="I158" s="6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-3.979039320256561E-13</v>
      </c>
      <c r="O158" s="13">
        <f>N158*VLOOKUP('Données projet'!$B$9,Paramètres!$A$1:$I$89,3,0)*VLOOKUP('Données projet'!$B$9,Paramètres!$A$1:$I$89,5,0)</f>
        <v>-3.6002347769681362E-13</v>
      </c>
      <c r="P158" s="13" t="e">
        <f t="shared" si="141"/>
        <v>#NUM!</v>
      </c>
      <c r="Q158" s="20" t="e">
        <f t="shared" si="162"/>
        <v>#NUM!</v>
      </c>
      <c r="R158" s="57" t="e">
        <f t="shared" si="109"/>
        <v>#NUM!</v>
      </c>
      <c r="S158" s="57">
        <f ca="1">AVERAGE(OFFSET($R$3,0,0,'Données projet'!$E$9+1,1))-AVERAGE(OFFSET($H$3,0,0,'Données projet'!$E$9+1,1))</f>
        <v>539.63700256763173</v>
      </c>
      <c r="T158" s="57">
        <f t="shared" si="142"/>
        <v>297.32483725004136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-3.979039320256561E-13</v>
      </c>
      <c r="AJ158" s="13">
        <f>AI158*VLOOKUP('Données projet'!$B$10,Paramètres!$A$1:$I$89,3,0)*VLOOKUP('Données projet'!$B$10,Paramètres!$A$1:$I$89,5,0)</f>
        <v>-3.3519427233841274E-13</v>
      </c>
      <c r="AK158" s="13" t="e">
        <f t="shared" si="164"/>
        <v>#NUM!</v>
      </c>
      <c r="AL158" s="20" t="e">
        <f t="shared" si="165"/>
        <v>#NUM!</v>
      </c>
      <c r="AM158" s="57" t="e">
        <f t="shared" si="113"/>
        <v>#NUM!</v>
      </c>
      <c r="AN158" s="57">
        <f ca="1">AVERAGE(OFFSET($AM$3,0,0,'Données projet'!$E$10+1,1))-AVERAGE(OFFSET($H$3,0,0,'Données projet'!$E$10+1,1))</f>
        <v>508.21188526136734</v>
      </c>
      <c r="AO158" s="57">
        <f t="shared" si="144"/>
        <v>281.06176764290592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-1.064108801074326E-13</v>
      </c>
      <c r="BF158" s="13" t="e">
        <f t="shared" si="167"/>
        <v>#NUM!</v>
      </c>
      <c r="BG158" s="20" t="e">
        <f t="shared" si="168"/>
        <v>#NUM!</v>
      </c>
      <c r="BH158" s="57" t="e">
        <f t="shared" si="116"/>
        <v>#NUM!</v>
      </c>
      <c r="BI158" s="57">
        <f ca="1">AVERAGE(OFFSET($BH$3,0,0,'Données projet'!$E$11+1,1))-AVERAGE(OFFSET($H$3,0,0,'Données projet'!$E$11+1,1))</f>
        <v>449.50723280509311</v>
      </c>
      <c r="BJ158" s="57">
        <f t="shared" si="146"/>
        <v>281.26353650058275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78.420791355293588</v>
      </c>
      <c r="BQ158" s="21">
        <f>EXP(-LN(2)/25)*BQ157+(1-EXP(-LN(2)/25))/(LN(2)/25)*Calculateur!BL158*Calculateur!BN158*VLOOKUP('Données projet'!$B$11,Paramètres!$A$1:$I$89,3,0)*0.475*44/12</f>
        <v>11.453392720468317</v>
      </c>
      <c r="BR158" s="21">
        <f>EXP(-LN(2)/2)*BR157+(1-EXP(-LN(2)/2))/(LN(2)/2)*BL158*BO158*VLOOKUP('Données projet'!$B$11,Paramètres!$A$1:$I$89,3,0)*0.475*44/12</f>
        <v>2.2298024403417798E-7</v>
      </c>
      <c r="BS158" s="22">
        <f t="shared" si="169"/>
        <v>89.874184298742151</v>
      </c>
      <c r="BT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-1.1937117960769683E-12</v>
      </c>
      <c r="BZ158" s="13">
        <f>BY158*VLOOKUP('Données projet'!$B$12,Paramètres!$A$1:$I$89,3,0)*VLOOKUP('Données projet'!$B$12,Paramètres!$A$1:$I$89,5,0)</f>
        <v>-1.1359361451468432E-12</v>
      </c>
      <c r="CA158" s="13" t="e">
        <f t="shared" si="170"/>
        <v>#NUM!</v>
      </c>
      <c r="CB158" s="20" t="e">
        <f t="shared" si="171"/>
        <v>#NUM!</v>
      </c>
      <c r="CC158" s="57" t="e">
        <f t="shared" si="119"/>
        <v>#NUM!</v>
      </c>
      <c r="CD158" s="57">
        <f ca="1">AVERAGE(OFFSET($CC$3,0,0,'Données projet'!$E$12+1,1))-AVERAGE(OFFSET($H$3,0,0,'Données projet'!$E$12+1,1))</f>
        <v>479.4551766174892</v>
      </c>
      <c r="CE158" s="57">
        <f t="shared" si="148"/>
        <v>260.29028006191834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-2.2737367544323206E-13</v>
      </c>
      <c r="CU158" s="17">
        <f>CT158*VLOOKUP('Données projet'!$B$13,Paramètres!$A$1:$I$89,3,0)*VLOOKUP('Données projet'!$B$13,Paramètres!$A$1:$I$89,5,0)</f>
        <v>-1.2710188457276673E-13</v>
      </c>
      <c r="CV158" s="13" t="e">
        <f t="shared" si="173"/>
        <v>#NUM!</v>
      </c>
      <c r="CW158" s="20" t="e">
        <f t="shared" si="174"/>
        <v>#NUM!</v>
      </c>
      <c r="CX158" s="57" t="e">
        <f t="shared" si="122"/>
        <v>#NUM!</v>
      </c>
      <c r="CY158" s="57">
        <f ca="1">AVERAGE(OFFSET($CX$3,0,0,'Données projet'!$E$13+1,1))-AVERAGE(OFFSET($H$3,0,0,'Données projet'!$E$13+1,1))</f>
        <v>459.83870442974046</v>
      </c>
      <c r="CZ158" s="57">
        <f t="shared" si="150"/>
        <v>565.68976940602215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39.432580674183598</v>
      </c>
      <c r="DG158" s="21">
        <f>EXP(-LN(2)/25)*DG157+(1-EXP(-LN(2)/25))/(LN(2)/25)*Calculateur!DB158*Calculateur!DD158*VLOOKUP('Données projet'!$B$13,Paramètres!$A$1:$I$89,3,0)*0.475*44/12</f>
        <v>4.6252616515252436</v>
      </c>
      <c r="DH158" s="21">
        <f>EXP(-LN(2)/2)*DH157+(1-EXP(-LN(2)/2))/(LN(2)/2)*DB158*DE158*VLOOKUP('Données projet'!$B$13,Paramètres!$A$1:$I$89,3,0)*0.475*44/12</f>
        <v>2.8297261591146314E-13</v>
      </c>
      <c r="DI158" s="22">
        <f t="shared" si="175"/>
        <v>44.057842325709125</v>
      </c>
      <c r="DJ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7" t="e">
        <f t="shared" si="125"/>
        <v>#NUM!</v>
      </c>
      <c r="DT158" s="57">
        <f ca="1">AVERAGE(OFFSET($DS$3,0,0,'Données projet'!$E$14+1,1))-AVERAGE(OFFSET($H$3,0,0,'Données projet'!$E$14+1,1))</f>
        <v>315.23504986325418</v>
      </c>
      <c r="DU158" s="57">
        <f t="shared" si="152"/>
        <v>350.52837099886688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21.428231490755312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21.428231490755312</v>
      </c>
      <c r="EE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1.1368683772161603E-13</v>
      </c>
      <c r="EK158" s="17">
        <f>EJ158*VLOOKUP('Données projet'!$B$15,Paramètres!$A$1:$I$89,3,0)*VLOOKUP('Données projet'!$B$15,Paramètres!$A$1:$I$89,5,0)</f>
        <v>1.0995790944434703E-13</v>
      </c>
      <c r="EL158" s="13">
        <f t="shared" si="179"/>
        <v>1.6337280948049956E-12</v>
      </c>
      <c r="EM158" s="20">
        <f t="shared" si="180"/>
        <v>3.036919790734272E-12</v>
      </c>
      <c r="EN158" s="57">
        <f t="shared" si="128"/>
        <v>287.24935502518269</v>
      </c>
      <c r="EO158" s="57">
        <f ca="1">AVERAGE(OFFSET($EN$3,0,0,'Données projet'!$E$15+1,1))-AVERAGE(OFFSET($H$3,0,0,'Données projet'!$E$15+1,1))</f>
        <v>328.31200866623891</v>
      </c>
      <c r="EP158" s="57">
        <f t="shared" si="154"/>
        <v>195.52650232917446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127.97959171884166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127.97959171884166</v>
      </c>
      <c r="EZ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7" t="e">
        <f t="shared" si="131"/>
        <v>#NUM!</v>
      </c>
      <c r="FJ158" s="57">
        <f ca="1">AVERAGE(OFFSET($FI$3,0,0,'Données projet'!$E$16+1,1))-AVERAGE(OFFSET($H$3,0,0,'Données projet'!$E$16+1,1))</f>
        <v>142.88219003619457</v>
      </c>
      <c r="FK158" s="57">
        <f t="shared" si="156"/>
        <v>288.69704547625088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4.1298347545211591</v>
      </c>
      <c r="FR158" s="21">
        <f>EXP(-LN(2)/25)*FR157+(1-EXP(-LN(2)/25))/(LN(2)/25)*Calculateur!FM158*Calculateur!FO158*VLOOKUP('Données projet'!$B$16,Paramètres!$A$1:$I$89,3,0)*0.475*44/12</f>
        <v>0.38809848726721452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4.5179332417883735</v>
      </c>
      <c r="FU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7" t="e">
        <f t="shared" si="134"/>
        <v>#N/A</v>
      </c>
      <c r="GE158" s="57" t="e">
        <f ca="1">AVERAGE(OFFSET($GD$3,0,0,'Données projet'!$E$17+1,1))-AVERAGE(OFFSET($H$3,0,0,'Données projet'!$E$17+1,1))</f>
        <v>#N/A</v>
      </c>
      <c r="GF158" s="57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7" t="e">
        <f t="shared" si="137"/>
        <v>#N/A</v>
      </c>
      <c r="GZ158" s="57" t="e">
        <f ca="1">AVERAGE(OFFSET($GY$3,0,0,'Données projet'!$E$18+1,1))-AVERAGE(OFFSET($H$3,0,0,'Données projet'!$E$18+1,1))</f>
        <v>#N/A</v>
      </c>
      <c r="HA158" s="57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1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5">
        <f t="shared" si="110"/>
        <v>183.33333333333334</v>
      </c>
      <c r="I159" s="6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-3.979039320256561E-13</v>
      </c>
      <c r="O159" s="13">
        <f>N159*VLOOKUP('Données projet'!$B$9,Paramètres!$A$1:$I$89,3,0)*VLOOKUP('Données projet'!$B$9,Paramètres!$A$1:$I$89,5,0)</f>
        <v>-3.6002347769681362E-13</v>
      </c>
      <c r="P159" s="13" t="e">
        <f t="shared" si="141"/>
        <v>#NUM!</v>
      </c>
      <c r="Q159" s="20" t="e">
        <f t="shared" si="162"/>
        <v>#NUM!</v>
      </c>
      <c r="R159" s="57" t="e">
        <f t="shared" si="109"/>
        <v>#NUM!</v>
      </c>
      <c r="S159" s="57">
        <f ca="1">AVERAGE(OFFSET($R$3,0,0,'Données projet'!$E$9+1,1))-AVERAGE(OFFSET($H$3,0,0,'Données projet'!$E$9+1,1))</f>
        <v>539.63700256763173</v>
      </c>
      <c r="T159" s="57">
        <f t="shared" si="142"/>
        <v>297.32483725004136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-3.979039320256561E-13</v>
      </c>
      <c r="AJ159" s="13">
        <f>AI159*VLOOKUP('Données projet'!$B$10,Paramètres!$A$1:$I$89,3,0)*VLOOKUP('Données projet'!$B$10,Paramètres!$A$1:$I$89,5,0)</f>
        <v>-3.3519427233841274E-13</v>
      </c>
      <c r="AK159" s="13" t="e">
        <f t="shared" si="164"/>
        <v>#NUM!</v>
      </c>
      <c r="AL159" s="20" t="e">
        <f t="shared" si="165"/>
        <v>#NUM!</v>
      </c>
      <c r="AM159" s="57" t="e">
        <f t="shared" si="113"/>
        <v>#NUM!</v>
      </c>
      <c r="AN159" s="57">
        <f ca="1">AVERAGE(OFFSET($AM$3,0,0,'Données projet'!$E$10+1,1))-AVERAGE(OFFSET($H$3,0,0,'Données projet'!$E$10+1,1))</f>
        <v>508.21188526136734</v>
      </c>
      <c r="AO159" s="57">
        <f t="shared" si="144"/>
        <v>281.06176764290592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-1.064108801074326E-13</v>
      </c>
      <c r="BF159" s="13" t="e">
        <f t="shared" si="167"/>
        <v>#NUM!</v>
      </c>
      <c r="BG159" s="20" t="e">
        <f t="shared" si="168"/>
        <v>#NUM!</v>
      </c>
      <c r="BH159" s="57" t="e">
        <f t="shared" si="116"/>
        <v>#NUM!</v>
      </c>
      <c r="BI159" s="57">
        <f ca="1">AVERAGE(OFFSET($BH$3,0,0,'Données projet'!$E$11+1,1))-AVERAGE(OFFSET($H$3,0,0,'Données projet'!$E$11+1,1))</f>
        <v>449.50723280509311</v>
      </c>
      <c r="BJ159" s="57">
        <f t="shared" si="146"/>
        <v>281.26353650058275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76.883007468776</v>
      </c>
      <c r="BQ159" s="21">
        <f>EXP(-LN(2)/25)*BQ158+(1-EXP(-LN(2)/25))/(LN(2)/25)*Calculateur!BL159*Calculateur!BN159*VLOOKUP('Données projet'!$B$11,Paramètres!$A$1:$I$89,3,0)*0.475*44/12</f>
        <v>11.140199094219366</v>
      </c>
      <c r="BR159" s="21">
        <f>EXP(-LN(2)/2)*BR158+(1-EXP(-LN(2)/2))/(LN(2)/2)*BL159*BO159*VLOOKUP('Données projet'!$B$11,Paramètres!$A$1:$I$89,3,0)*0.475*44/12</f>
        <v>1.5767084262719846E-7</v>
      </c>
      <c r="BS159" s="22">
        <f t="shared" si="169"/>
        <v>88.023206720666209</v>
      </c>
      <c r="BT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-1.1937117960769683E-12</v>
      </c>
      <c r="BZ159" s="13">
        <f>BY159*VLOOKUP('Données projet'!$B$12,Paramètres!$A$1:$I$89,3,0)*VLOOKUP('Données projet'!$B$12,Paramètres!$A$1:$I$89,5,0)</f>
        <v>-1.1359361451468432E-12</v>
      </c>
      <c r="CA159" s="13" t="e">
        <f t="shared" si="170"/>
        <v>#NUM!</v>
      </c>
      <c r="CB159" s="20" t="e">
        <f t="shared" si="171"/>
        <v>#NUM!</v>
      </c>
      <c r="CC159" s="57" t="e">
        <f t="shared" si="119"/>
        <v>#NUM!</v>
      </c>
      <c r="CD159" s="57">
        <f ca="1">AVERAGE(OFFSET($CC$3,0,0,'Données projet'!$E$12+1,1))-AVERAGE(OFFSET($H$3,0,0,'Données projet'!$E$12+1,1))</f>
        <v>479.4551766174892</v>
      </c>
      <c r="CE159" s="57">
        <f t="shared" si="148"/>
        <v>260.29028006191834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-2.2737367544323206E-13</v>
      </c>
      <c r="CU159" s="17">
        <f>CT159*VLOOKUP('Données projet'!$B$13,Paramètres!$A$1:$I$89,3,0)*VLOOKUP('Données projet'!$B$13,Paramètres!$A$1:$I$89,5,0)</f>
        <v>-1.2710188457276673E-13</v>
      </c>
      <c r="CV159" s="13" t="e">
        <f t="shared" si="173"/>
        <v>#NUM!</v>
      </c>
      <c r="CW159" s="20" t="e">
        <f t="shared" si="174"/>
        <v>#NUM!</v>
      </c>
      <c r="CX159" s="57" t="e">
        <f t="shared" si="122"/>
        <v>#NUM!</v>
      </c>
      <c r="CY159" s="57">
        <f ca="1">AVERAGE(OFFSET($CX$3,0,0,'Données projet'!$E$13+1,1))-AVERAGE(OFFSET($H$3,0,0,'Données projet'!$E$13+1,1))</f>
        <v>459.83870442974046</v>
      </c>
      <c r="CZ159" s="57">
        <f t="shared" si="150"/>
        <v>565.68976940602215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38.659331818662181</v>
      </c>
      <c r="DG159" s="21">
        <f>EXP(-LN(2)/25)*DG158+(1-EXP(-LN(2)/25))/(LN(2)/25)*Calculateur!DB159*Calculateur!DD159*VLOOKUP('Données projet'!$B$13,Paramètres!$A$1:$I$89,3,0)*0.475*44/12</f>
        <v>4.4987836284323466</v>
      </c>
      <c r="DH159" s="21">
        <f>EXP(-LN(2)/2)*DH158+(1-EXP(-LN(2)/2))/(LN(2)/2)*DB159*DE159*VLOOKUP('Données projet'!$B$13,Paramètres!$A$1:$I$89,3,0)*0.475*44/12</f>
        <v>2.0009185560109193E-13</v>
      </c>
      <c r="DI159" s="22">
        <f t="shared" si="175"/>
        <v>43.15811544709473</v>
      </c>
      <c r="DJ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7" t="e">
        <f t="shared" si="125"/>
        <v>#NUM!</v>
      </c>
      <c r="DT159" s="57">
        <f ca="1">AVERAGE(OFFSET($DS$3,0,0,'Données projet'!$E$14+1,1))-AVERAGE(OFFSET($H$3,0,0,'Données projet'!$E$14+1,1))</f>
        <v>315.23504986325418</v>
      </c>
      <c r="DU159" s="57">
        <f t="shared" si="152"/>
        <v>350.52837099886688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21.008036941152263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21.008036941152263</v>
      </c>
      <c r="EE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1.1368683772161603E-13</v>
      </c>
      <c r="EK159" s="17">
        <f>EJ159*VLOOKUP('Données projet'!$B$15,Paramètres!$A$1:$I$89,3,0)*VLOOKUP('Données projet'!$B$15,Paramètres!$A$1:$I$89,5,0)</f>
        <v>1.0995790944434703E-13</v>
      </c>
      <c r="EL159" s="13">
        <f t="shared" si="179"/>
        <v>1.6337280948049956E-12</v>
      </c>
      <c r="EM159" s="20">
        <f t="shared" si="180"/>
        <v>3.036919790734272E-12</v>
      </c>
      <c r="EN159" s="57">
        <f t="shared" si="128"/>
        <v>287.35489844709133</v>
      </c>
      <c r="EO159" s="57">
        <f ca="1">AVERAGE(OFFSET($EN$3,0,0,'Données projet'!$E$15+1,1))-AVERAGE(OFFSET($H$3,0,0,'Données projet'!$E$15+1,1))</f>
        <v>328.31200866623891</v>
      </c>
      <c r="EP159" s="57">
        <f t="shared" si="154"/>
        <v>195.52650232917446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125.46998998507836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125.46998998507836</v>
      </c>
      <c r="EZ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7" t="e">
        <f t="shared" si="131"/>
        <v>#NUM!</v>
      </c>
      <c r="FJ159" s="57">
        <f ca="1">AVERAGE(OFFSET($FI$3,0,0,'Données projet'!$E$16+1,1))-AVERAGE(OFFSET($H$3,0,0,'Données projet'!$E$16+1,1))</f>
        <v>142.88219003619457</v>
      </c>
      <c r="FK159" s="57">
        <f t="shared" si="156"/>
        <v>288.69704547625088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4.0488512139354738</v>
      </c>
      <c r="FR159" s="21">
        <f>EXP(-LN(2)/25)*FR158+(1-EXP(-LN(2)/25))/(LN(2)/25)*Calculateur!FM159*Calculateur!FO159*VLOOKUP('Données projet'!$B$16,Paramètres!$A$1:$I$89,3,0)*0.475*44/12</f>
        <v>0.37748591372368012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4.4263371276591537</v>
      </c>
      <c r="FU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7" t="e">
        <f t="shared" si="134"/>
        <v>#N/A</v>
      </c>
      <c r="GE159" s="57" t="e">
        <f ca="1">AVERAGE(OFFSET($GD$3,0,0,'Données projet'!$E$17+1,1))-AVERAGE(OFFSET($H$3,0,0,'Données projet'!$E$17+1,1))</f>
        <v>#N/A</v>
      </c>
      <c r="GF159" s="57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7" t="e">
        <f t="shared" si="137"/>
        <v>#N/A</v>
      </c>
      <c r="GZ159" s="57" t="e">
        <f ca="1">AVERAGE(OFFSET($GY$3,0,0,'Données projet'!$E$18+1,1))-AVERAGE(OFFSET($H$3,0,0,'Données projet'!$E$18+1,1))</f>
        <v>#N/A</v>
      </c>
      <c r="HA159" s="57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1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5">
        <f t="shared" si="110"/>
        <v>183.33333333333334</v>
      </c>
      <c r="I160" s="6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-3.979039320256561E-13</v>
      </c>
      <c r="O160" s="13">
        <f>N160*VLOOKUP('Données projet'!$B$9,Paramètres!$A$1:$I$89,3,0)*VLOOKUP('Données projet'!$B$9,Paramètres!$A$1:$I$89,5,0)</f>
        <v>-3.6002347769681362E-13</v>
      </c>
      <c r="P160" s="13" t="e">
        <f t="shared" si="141"/>
        <v>#NUM!</v>
      </c>
      <c r="Q160" s="20" t="e">
        <f t="shared" si="162"/>
        <v>#NUM!</v>
      </c>
      <c r="R160" s="57" t="e">
        <f t="shared" si="109"/>
        <v>#NUM!</v>
      </c>
      <c r="S160" s="57">
        <f ca="1">AVERAGE(OFFSET($R$3,0,0,'Données projet'!$E$9+1,1))-AVERAGE(OFFSET($H$3,0,0,'Données projet'!$E$9+1,1))</f>
        <v>539.63700256763173</v>
      </c>
      <c r="T160" s="57">
        <f t="shared" si="142"/>
        <v>297.32483725004136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-3.979039320256561E-13</v>
      </c>
      <c r="AJ160" s="13">
        <f>AI160*VLOOKUP('Données projet'!$B$10,Paramètres!$A$1:$I$89,3,0)*VLOOKUP('Données projet'!$B$10,Paramètres!$A$1:$I$89,5,0)</f>
        <v>-3.3519427233841274E-13</v>
      </c>
      <c r="AK160" s="13" t="e">
        <f t="shared" si="164"/>
        <v>#NUM!</v>
      </c>
      <c r="AL160" s="20" t="e">
        <f t="shared" si="165"/>
        <v>#NUM!</v>
      </c>
      <c r="AM160" s="57" t="e">
        <f t="shared" si="113"/>
        <v>#NUM!</v>
      </c>
      <c r="AN160" s="57">
        <f ca="1">AVERAGE(OFFSET($AM$3,0,0,'Données projet'!$E$10+1,1))-AVERAGE(OFFSET($H$3,0,0,'Données projet'!$E$10+1,1))</f>
        <v>508.21188526136734</v>
      </c>
      <c r="AO160" s="57">
        <f t="shared" si="144"/>
        <v>281.06176764290592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-1.064108801074326E-13</v>
      </c>
      <c r="BF160" s="13" t="e">
        <f t="shared" si="167"/>
        <v>#NUM!</v>
      </c>
      <c r="BG160" s="20" t="e">
        <f t="shared" si="168"/>
        <v>#NUM!</v>
      </c>
      <c r="BH160" s="57" t="e">
        <f t="shared" si="116"/>
        <v>#NUM!</v>
      </c>
      <c r="BI160" s="57">
        <f ca="1">AVERAGE(OFFSET($BH$3,0,0,'Données projet'!$E$11+1,1))-AVERAGE(OFFSET($H$3,0,0,'Données projet'!$E$11+1,1))</f>
        <v>449.50723280509311</v>
      </c>
      <c r="BJ160" s="57">
        <f t="shared" si="146"/>
        <v>281.26353650058275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75.375378586317467</v>
      </c>
      <c r="BQ160" s="21">
        <f>EXP(-LN(2)/25)*BQ159+(1-EXP(-LN(2)/25))/(LN(2)/25)*Calculateur!BL160*Calculateur!BN160*VLOOKUP('Données projet'!$B$11,Paramètres!$A$1:$I$89,3,0)*0.475*44/12</f>
        <v>10.835569764150328</v>
      </c>
      <c r="BR160" s="21">
        <f>EXP(-LN(2)/2)*BR159+(1-EXP(-LN(2)/2))/(LN(2)/2)*BL160*BO160*VLOOKUP('Données projet'!$B$11,Paramètres!$A$1:$I$89,3,0)*0.475*44/12</f>
        <v>1.1149012201708899E-7</v>
      </c>
      <c r="BS160" s="22">
        <f t="shared" si="169"/>
        <v>86.210948461957912</v>
      </c>
      <c r="BT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-1.1937117960769683E-12</v>
      </c>
      <c r="BZ160" s="13">
        <f>BY160*VLOOKUP('Données projet'!$B$12,Paramètres!$A$1:$I$89,3,0)*VLOOKUP('Données projet'!$B$12,Paramètres!$A$1:$I$89,5,0)</f>
        <v>-1.1359361451468432E-12</v>
      </c>
      <c r="CA160" s="13" t="e">
        <f t="shared" si="170"/>
        <v>#NUM!</v>
      </c>
      <c r="CB160" s="20" t="e">
        <f t="shared" si="171"/>
        <v>#NUM!</v>
      </c>
      <c r="CC160" s="57" t="e">
        <f t="shared" si="119"/>
        <v>#NUM!</v>
      </c>
      <c r="CD160" s="57">
        <f ca="1">AVERAGE(OFFSET($CC$3,0,0,'Données projet'!$E$12+1,1))-AVERAGE(OFFSET($H$3,0,0,'Données projet'!$E$12+1,1))</f>
        <v>479.4551766174892</v>
      </c>
      <c r="CE160" s="57">
        <f t="shared" si="148"/>
        <v>260.29028006191834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-2.2737367544323206E-13</v>
      </c>
      <c r="CU160" s="17">
        <f>CT160*VLOOKUP('Données projet'!$B$13,Paramètres!$A$1:$I$89,3,0)*VLOOKUP('Données projet'!$B$13,Paramètres!$A$1:$I$89,5,0)</f>
        <v>-1.2710188457276673E-13</v>
      </c>
      <c r="CV160" s="13" t="e">
        <f t="shared" si="173"/>
        <v>#NUM!</v>
      </c>
      <c r="CW160" s="20" t="e">
        <f t="shared" si="174"/>
        <v>#NUM!</v>
      </c>
      <c r="CX160" s="57" t="e">
        <f t="shared" si="122"/>
        <v>#NUM!</v>
      </c>
      <c r="CY160" s="57">
        <f ca="1">AVERAGE(OFFSET($CX$3,0,0,'Données projet'!$E$13+1,1))-AVERAGE(OFFSET($H$3,0,0,'Données projet'!$E$13+1,1))</f>
        <v>459.83870442974046</v>
      </c>
      <c r="CZ160" s="57">
        <f t="shared" si="150"/>
        <v>565.68976940602215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37.901245901562305</v>
      </c>
      <c r="DG160" s="21">
        <f>EXP(-LN(2)/25)*DG159+(1-EXP(-LN(2)/25))/(LN(2)/25)*Calculateur!DB160*Calculateur!DD160*VLOOKUP('Données projet'!$B$13,Paramètres!$A$1:$I$89,3,0)*0.475*44/12</f>
        <v>4.3757641535321152</v>
      </c>
      <c r="DH160" s="21">
        <f>EXP(-LN(2)/2)*DH159+(1-EXP(-LN(2)/2))/(LN(2)/2)*DB160*DE160*VLOOKUP('Données projet'!$B$13,Paramètres!$A$1:$I$89,3,0)*0.475*44/12</f>
        <v>1.4148630795573157E-13</v>
      </c>
      <c r="DI160" s="22">
        <f t="shared" si="175"/>
        <v>42.277010055094564</v>
      </c>
      <c r="DJ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7" t="e">
        <f t="shared" si="125"/>
        <v>#NUM!</v>
      </c>
      <c r="DT160" s="57">
        <f ca="1">AVERAGE(OFFSET($DS$3,0,0,'Données projet'!$E$14+1,1))-AVERAGE(OFFSET($H$3,0,0,'Données projet'!$E$14+1,1))</f>
        <v>315.23504986325418</v>
      </c>
      <c r="DU160" s="57">
        <f t="shared" si="152"/>
        <v>350.52837099886688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20.596082150373558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20.596082150373558</v>
      </c>
      <c r="EE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1.1368683772161603E-13</v>
      </c>
      <c r="EK160" s="17">
        <f>EJ160*VLOOKUP('Données projet'!$B$15,Paramètres!$A$1:$I$89,3,0)*VLOOKUP('Données projet'!$B$15,Paramètres!$A$1:$I$89,5,0)</f>
        <v>1.0995790944434703E-13</v>
      </c>
      <c r="EL160" s="13">
        <f t="shared" si="179"/>
        <v>1.6337280948049956E-12</v>
      </c>
      <c r="EM160" s="20">
        <f t="shared" si="180"/>
        <v>3.036919790734272E-12</v>
      </c>
      <c r="EN160" s="57">
        <f t="shared" si="128"/>
        <v>287.45861092658959</v>
      </c>
      <c r="EO160" s="57">
        <f ca="1">AVERAGE(OFFSET($EN$3,0,0,'Données projet'!$E$15+1,1))-AVERAGE(OFFSET($H$3,0,0,'Données projet'!$E$15+1,1))</f>
        <v>328.31200866623891</v>
      </c>
      <c r="EP160" s="57">
        <f t="shared" si="154"/>
        <v>195.52650232917446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123.00960001060824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123.00960001060824</v>
      </c>
      <c r="EZ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7" t="e">
        <f t="shared" si="131"/>
        <v>#NUM!</v>
      </c>
      <c r="FJ160" s="57">
        <f ca="1">AVERAGE(OFFSET($FI$3,0,0,'Données projet'!$E$16+1,1))-AVERAGE(OFFSET($H$3,0,0,'Données projet'!$E$16+1,1))</f>
        <v>142.88219003619457</v>
      </c>
      <c r="FK160" s="57">
        <f t="shared" si="156"/>
        <v>288.69704547625088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3.9694557111855913</v>
      </c>
      <c r="FR160" s="21">
        <f>EXP(-LN(2)/25)*FR159+(1-EXP(-LN(2)/25))/(LN(2)/25)*Calculateur!FM160*Calculateur!FO160*VLOOKUP('Données projet'!$B$16,Paramètres!$A$1:$I$89,3,0)*0.475*44/12</f>
        <v>0.36716354156178466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4.3366192527473757</v>
      </c>
      <c r="FU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7" t="e">
        <f t="shared" si="134"/>
        <v>#N/A</v>
      </c>
      <c r="GE160" s="57" t="e">
        <f ca="1">AVERAGE(OFFSET($GD$3,0,0,'Données projet'!$E$17+1,1))-AVERAGE(OFFSET($H$3,0,0,'Données projet'!$E$17+1,1))</f>
        <v>#N/A</v>
      </c>
      <c r="GF160" s="57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7" t="e">
        <f t="shared" si="137"/>
        <v>#N/A</v>
      </c>
      <c r="GZ160" s="57" t="e">
        <f ca="1">AVERAGE(OFFSET($GY$3,0,0,'Données projet'!$E$18+1,1))-AVERAGE(OFFSET($H$3,0,0,'Données projet'!$E$18+1,1))</f>
        <v>#N/A</v>
      </c>
      <c r="HA160" s="57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1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5">
        <f t="shared" si="110"/>
        <v>183.33333333333334</v>
      </c>
      <c r="I161" s="6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-3.979039320256561E-13</v>
      </c>
      <c r="O161" s="13">
        <f>N161*VLOOKUP('Données projet'!$B$9,Paramètres!$A$1:$I$89,3,0)*VLOOKUP('Données projet'!$B$9,Paramètres!$A$1:$I$89,5,0)</f>
        <v>-3.6002347769681362E-13</v>
      </c>
      <c r="P161" s="13" t="e">
        <f t="shared" si="141"/>
        <v>#NUM!</v>
      </c>
      <c r="Q161" s="20" t="e">
        <f t="shared" si="162"/>
        <v>#NUM!</v>
      </c>
      <c r="R161" s="57" t="e">
        <f t="shared" si="109"/>
        <v>#NUM!</v>
      </c>
      <c r="S161" s="57">
        <f ca="1">AVERAGE(OFFSET($R$3,0,0,'Données projet'!$E$9+1,1))-AVERAGE(OFFSET($H$3,0,0,'Données projet'!$E$9+1,1))</f>
        <v>539.63700256763173</v>
      </c>
      <c r="T161" s="57">
        <f t="shared" si="142"/>
        <v>297.32483725004136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-3.979039320256561E-13</v>
      </c>
      <c r="AJ161" s="13">
        <f>AI161*VLOOKUP('Données projet'!$B$10,Paramètres!$A$1:$I$89,3,0)*VLOOKUP('Données projet'!$B$10,Paramètres!$A$1:$I$89,5,0)</f>
        <v>-3.3519427233841274E-13</v>
      </c>
      <c r="AK161" s="13" t="e">
        <f t="shared" si="164"/>
        <v>#NUM!</v>
      </c>
      <c r="AL161" s="20" t="e">
        <f t="shared" si="165"/>
        <v>#NUM!</v>
      </c>
      <c r="AM161" s="57" t="e">
        <f t="shared" si="113"/>
        <v>#NUM!</v>
      </c>
      <c r="AN161" s="57">
        <f ca="1">AVERAGE(OFFSET($AM$3,0,0,'Données projet'!$E$10+1,1))-AVERAGE(OFFSET($H$3,0,0,'Données projet'!$E$10+1,1))</f>
        <v>508.21188526136734</v>
      </c>
      <c r="AO161" s="57">
        <f t="shared" si="144"/>
        <v>281.06176764290592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-1.064108801074326E-13</v>
      </c>
      <c r="BF161" s="13" t="e">
        <f t="shared" si="167"/>
        <v>#NUM!</v>
      </c>
      <c r="BG161" s="20" t="e">
        <f t="shared" si="168"/>
        <v>#NUM!</v>
      </c>
      <c r="BH161" s="57" t="e">
        <f t="shared" si="116"/>
        <v>#NUM!</v>
      </c>
      <c r="BI161" s="57">
        <f ca="1">AVERAGE(OFFSET($BH$3,0,0,'Données projet'!$E$11+1,1))-AVERAGE(OFFSET($H$3,0,0,'Données projet'!$E$11+1,1))</f>
        <v>449.50723280509311</v>
      </c>
      <c r="BJ161" s="57">
        <f t="shared" si="146"/>
        <v>281.26353650058275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73.89731338668112</v>
      </c>
      <c r="BQ161" s="21">
        <f>EXP(-LN(2)/25)*BQ160+(1-EXP(-LN(2)/25))/(LN(2)/25)*Calculateur!BL161*Calculateur!BN161*VLOOKUP('Données projet'!$B$11,Paramètres!$A$1:$I$89,3,0)*0.475*44/12</f>
        <v>10.539270539131788</v>
      </c>
      <c r="BR161" s="21">
        <f>EXP(-LN(2)/2)*BR160+(1-EXP(-LN(2)/2))/(LN(2)/2)*BL161*BO161*VLOOKUP('Données projet'!$B$11,Paramètres!$A$1:$I$89,3,0)*0.475*44/12</f>
        <v>7.8835421313599228E-8</v>
      </c>
      <c r="BS161" s="22">
        <f t="shared" si="169"/>
        <v>84.436584004648338</v>
      </c>
      <c r="BT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-1.1937117960769683E-12</v>
      </c>
      <c r="BZ161" s="13">
        <f>BY161*VLOOKUP('Données projet'!$B$12,Paramètres!$A$1:$I$89,3,0)*VLOOKUP('Données projet'!$B$12,Paramètres!$A$1:$I$89,5,0)</f>
        <v>-1.1359361451468432E-12</v>
      </c>
      <c r="CA161" s="13" t="e">
        <f t="shared" si="170"/>
        <v>#NUM!</v>
      </c>
      <c r="CB161" s="20" t="e">
        <f t="shared" si="171"/>
        <v>#NUM!</v>
      </c>
      <c r="CC161" s="57" t="e">
        <f t="shared" si="119"/>
        <v>#NUM!</v>
      </c>
      <c r="CD161" s="57">
        <f ca="1">AVERAGE(OFFSET($CC$3,0,0,'Données projet'!$E$12+1,1))-AVERAGE(OFFSET($H$3,0,0,'Données projet'!$E$12+1,1))</f>
        <v>479.4551766174892</v>
      </c>
      <c r="CE161" s="57">
        <f t="shared" si="148"/>
        <v>260.29028006191834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-2.2737367544323206E-13</v>
      </c>
      <c r="CU161" s="17">
        <f>CT161*VLOOKUP('Données projet'!$B$13,Paramètres!$A$1:$I$89,3,0)*VLOOKUP('Données projet'!$B$13,Paramètres!$A$1:$I$89,5,0)</f>
        <v>-1.2710188457276673E-13</v>
      </c>
      <c r="CV161" s="13" t="e">
        <f t="shared" si="173"/>
        <v>#NUM!</v>
      </c>
      <c r="CW161" s="20" t="e">
        <f t="shared" si="174"/>
        <v>#NUM!</v>
      </c>
      <c r="CX161" s="57" t="e">
        <f t="shared" si="122"/>
        <v>#NUM!</v>
      </c>
      <c r="CY161" s="57">
        <f ca="1">AVERAGE(OFFSET($CX$3,0,0,'Données projet'!$E$13+1,1))-AVERAGE(OFFSET($H$3,0,0,'Données projet'!$E$13+1,1))</f>
        <v>459.83870442974046</v>
      </c>
      <c r="CZ161" s="57">
        <f t="shared" si="150"/>
        <v>565.68976940602215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37.158025586910007</v>
      </c>
      <c r="DG161" s="21">
        <f>EXP(-LN(2)/25)*DG160+(1-EXP(-LN(2)/25))/(LN(2)/25)*Calculateur!DB161*Calculateur!DD161*VLOOKUP('Données projet'!$B$13,Paramètres!$A$1:$I$89,3,0)*0.475*44/12</f>
        <v>4.2561086526423439</v>
      </c>
      <c r="DH161" s="21">
        <f>EXP(-LN(2)/2)*DH160+(1-EXP(-LN(2)/2))/(LN(2)/2)*DB161*DE161*VLOOKUP('Données projet'!$B$13,Paramètres!$A$1:$I$89,3,0)*0.475*44/12</f>
        <v>1.0004592780054596E-13</v>
      </c>
      <c r="DI161" s="22">
        <f t="shared" si="175"/>
        <v>41.414134239552453</v>
      </c>
      <c r="DJ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7" t="e">
        <f t="shared" si="125"/>
        <v>#NUM!</v>
      </c>
      <c r="DT161" s="57">
        <f ca="1">AVERAGE(OFFSET($DS$3,0,0,'Données projet'!$E$14+1,1))-AVERAGE(OFFSET($H$3,0,0,'Données projet'!$E$14+1,1))</f>
        <v>315.23504986325418</v>
      </c>
      <c r="DU161" s="57">
        <f t="shared" si="152"/>
        <v>350.52837099886688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20.192205541774413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20.192205541774413</v>
      </c>
      <c r="EE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1.1368683772161603E-13</v>
      </c>
      <c r="EK161" s="17">
        <f>EJ161*VLOOKUP('Données projet'!$B$15,Paramètres!$A$1:$I$89,3,0)*VLOOKUP('Données projet'!$B$15,Paramètres!$A$1:$I$89,5,0)</f>
        <v>1.0995790944434703E-13</v>
      </c>
      <c r="EL161" s="13">
        <f t="shared" si="179"/>
        <v>1.6337280948049956E-12</v>
      </c>
      <c r="EM161" s="20">
        <f t="shared" si="180"/>
        <v>3.036919790734272E-12</v>
      </c>
      <c r="EN161" s="57">
        <f t="shared" si="128"/>
        <v>287.56052422643501</v>
      </c>
      <c r="EO161" s="57">
        <f ca="1">AVERAGE(OFFSET($EN$3,0,0,'Données projet'!$E$15+1,1))-AVERAGE(OFFSET($H$3,0,0,'Données projet'!$E$15+1,1))</f>
        <v>328.31200866623891</v>
      </c>
      <c r="EP161" s="57">
        <f t="shared" si="154"/>
        <v>195.52650232917446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120.59745678284777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120.59745678284777</v>
      </c>
      <c r="EZ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7" t="e">
        <f t="shared" si="131"/>
        <v>#NUM!</v>
      </c>
      <c r="FJ161" s="57">
        <f ca="1">AVERAGE(OFFSET($FI$3,0,0,'Données projet'!$E$16+1,1))-AVERAGE(OFFSET($H$3,0,0,'Données projet'!$E$16+1,1))</f>
        <v>142.88219003619457</v>
      </c>
      <c r="FK161" s="57">
        <f t="shared" si="156"/>
        <v>288.69704547625088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3.8916171058181592</v>
      </c>
      <c r="FR161" s="21">
        <f>EXP(-LN(2)/25)*FR160+(1-EXP(-LN(2)/25))/(LN(2)/25)*Calculateur!FM161*Calculateur!FO161*VLOOKUP('Données projet'!$B$16,Paramètres!$A$1:$I$89,3,0)*0.475*44/12</f>
        <v>0.3571234352094862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4.2487405410276455</v>
      </c>
      <c r="FU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7" t="e">
        <f t="shared" si="134"/>
        <v>#N/A</v>
      </c>
      <c r="GE161" s="57" t="e">
        <f ca="1">AVERAGE(OFFSET($GD$3,0,0,'Données projet'!$E$17+1,1))-AVERAGE(OFFSET($H$3,0,0,'Données projet'!$E$17+1,1))</f>
        <v>#N/A</v>
      </c>
      <c r="GF161" s="57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7" t="e">
        <f t="shared" si="137"/>
        <v>#N/A</v>
      </c>
      <c r="GZ161" s="57" t="e">
        <f ca="1">AVERAGE(OFFSET($GY$3,0,0,'Données projet'!$E$18+1,1))-AVERAGE(OFFSET($H$3,0,0,'Données projet'!$E$18+1,1))</f>
        <v>#N/A</v>
      </c>
      <c r="HA161" s="57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1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5">
        <f t="shared" si="110"/>
        <v>183.33333333333334</v>
      </c>
      <c r="I162" s="6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-3.979039320256561E-13</v>
      </c>
      <c r="O162" s="13">
        <f>N162*VLOOKUP('Données projet'!$B$9,Paramètres!$A$1:$I$89,3,0)*VLOOKUP('Données projet'!$B$9,Paramètres!$A$1:$I$89,5,0)</f>
        <v>-3.6002347769681362E-13</v>
      </c>
      <c r="P162" s="13" t="e">
        <f t="shared" si="141"/>
        <v>#NUM!</v>
      </c>
      <c r="Q162" s="20" t="e">
        <f t="shared" si="162"/>
        <v>#NUM!</v>
      </c>
      <c r="R162" s="57" t="e">
        <f t="shared" si="109"/>
        <v>#NUM!</v>
      </c>
      <c r="S162" s="57">
        <f ca="1">AVERAGE(OFFSET($R$3,0,0,'Données projet'!$E$9+1,1))-AVERAGE(OFFSET($H$3,0,0,'Données projet'!$E$9+1,1))</f>
        <v>539.63700256763173</v>
      </c>
      <c r="T162" s="57">
        <f t="shared" si="142"/>
        <v>297.32483725004136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-3.979039320256561E-13</v>
      </c>
      <c r="AJ162" s="13">
        <f>AI162*VLOOKUP('Données projet'!$B$10,Paramètres!$A$1:$I$89,3,0)*VLOOKUP('Données projet'!$B$10,Paramètres!$A$1:$I$89,5,0)</f>
        <v>-3.3519427233841274E-13</v>
      </c>
      <c r="AK162" s="13" t="e">
        <f t="shared" si="164"/>
        <v>#NUM!</v>
      </c>
      <c r="AL162" s="20" t="e">
        <f t="shared" si="165"/>
        <v>#NUM!</v>
      </c>
      <c r="AM162" s="57" t="e">
        <f t="shared" si="113"/>
        <v>#NUM!</v>
      </c>
      <c r="AN162" s="57">
        <f ca="1">AVERAGE(OFFSET($AM$3,0,0,'Données projet'!$E$10+1,1))-AVERAGE(OFFSET($H$3,0,0,'Données projet'!$E$10+1,1))</f>
        <v>508.21188526136734</v>
      </c>
      <c r="AO162" s="57">
        <f t="shared" si="144"/>
        <v>281.06176764290592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-1.064108801074326E-13</v>
      </c>
      <c r="BF162" s="13" t="e">
        <f t="shared" si="167"/>
        <v>#NUM!</v>
      </c>
      <c r="BG162" s="20" t="e">
        <f t="shared" si="168"/>
        <v>#NUM!</v>
      </c>
      <c r="BH162" s="57" t="e">
        <f t="shared" si="116"/>
        <v>#NUM!</v>
      </c>
      <c r="BI162" s="57">
        <f ca="1">AVERAGE(OFFSET($BH$3,0,0,'Données projet'!$E$11+1,1))-AVERAGE(OFFSET($H$3,0,0,'Données projet'!$E$11+1,1))</f>
        <v>449.50723280509311</v>
      </c>
      <c r="BJ162" s="57">
        <f t="shared" si="146"/>
        <v>281.26353650058275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72.448232144078887</v>
      </c>
      <c r="BQ162" s="21">
        <f>EXP(-LN(2)/25)*BQ161+(1-EXP(-LN(2)/25))/(LN(2)/25)*Calculateur!BL162*Calculateur!BN162*VLOOKUP('Données projet'!$B$11,Paramètres!$A$1:$I$89,3,0)*0.475*44/12</f>
        <v>10.251073632003079</v>
      </c>
      <c r="BR162" s="21">
        <f>EXP(-LN(2)/2)*BR161+(1-EXP(-LN(2)/2))/(LN(2)/2)*BL162*BO162*VLOOKUP('Données projet'!$B$11,Paramètres!$A$1:$I$89,3,0)*0.475*44/12</f>
        <v>5.5745061008544495E-8</v>
      </c>
      <c r="BS162" s="22">
        <f t="shared" si="169"/>
        <v>82.699305831827033</v>
      </c>
      <c r="BT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-1.1937117960769683E-12</v>
      </c>
      <c r="BZ162" s="13">
        <f>BY162*VLOOKUP('Données projet'!$B$12,Paramètres!$A$1:$I$89,3,0)*VLOOKUP('Données projet'!$B$12,Paramètres!$A$1:$I$89,5,0)</f>
        <v>-1.1359361451468432E-12</v>
      </c>
      <c r="CA162" s="13" t="e">
        <f t="shared" si="170"/>
        <v>#NUM!</v>
      </c>
      <c r="CB162" s="20" t="e">
        <f t="shared" si="171"/>
        <v>#NUM!</v>
      </c>
      <c r="CC162" s="57" t="e">
        <f t="shared" si="119"/>
        <v>#NUM!</v>
      </c>
      <c r="CD162" s="57">
        <f ca="1">AVERAGE(OFFSET($CC$3,0,0,'Données projet'!$E$12+1,1))-AVERAGE(OFFSET($H$3,0,0,'Données projet'!$E$12+1,1))</f>
        <v>479.4551766174892</v>
      </c>
      <c r="CE162" s="57">
        <f t="shared" si="148"/>
        <v>260.29028006191834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-2.2737367544323206E-13</v>
      </c>
      <c r="CU162" s="17">
        <f>CT162*VLOOKUP('Données projet'!$B$13,Paramètres!$A$1:$I$89,3,0)*VLOOKUP('Données projet'!$B$13,Paramètres!$A$1:$I$89,5,0)</f>
        <v>-1.2710188457276673E-13</v>
      </c>
      <c r="CV162" s="13" t="e">
        <f t="shared" si="173"/>
        <v>#NUM!</v>
      </c>
      <c r="CW162" s="20" t="e">
        <f t="shared" si="174"/>
        <v>#NUM!</v>
      </c>
      <c r="CX162" s="57" t="e">
        <f t="shared" si="122"/>
        <v>#NUM!</v>
      </c>
      <c r="CY162" s="57">
        <f ca="1">AVERAGE(OFFSET($CX$3,0,0,'Données projet'!$E$13+1,1))-AVERAGE(OFFSET($H$3,0,0,'Données projet'!$E$13+1,1))</f>
        <v>459.83870442974046</v>
      </c>
      <c r="CZ162" s="57">
        <f t="shared" si="150"/>
        <v>565.68976940602215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36.429379369308407</v>
      </c>
      <c r="DG162" s="21">
        <f>EXP(-LN(2)/25)*DG161+(1-EXP(-LN(2)/25))/(LN(2)/25)*Calculateur!DB162*Calculateur!DD162*VLOOKUP('Données projet'!$B$13,Paramètres!$A$1:$I$89,3,0)*0.475*44/12</f>
        <v>4.1397251377168125</v>
      </c>
      <c r="DH162" s="21">
        <f>EXP(-LN(2)/2)*DH161+(1-EXP(-LN(2)/2))/(LN(2)/2)*DB162*DE162*VLOOKUP('Données projet'!$B$13,Paramètres!$A$1:$I$89,3,0)*0.475*44/12</f>
        <v>7.0743153977865784E-14</v>
      </c>
      <c r="DI162" s="22">
        <f t="shared" si="175"/>
        <v>40.569104507025287</v>
      </c>
      <c r="DJ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7" t="e">
        <f t="shared" si="125"/>
        <v>#NUM!</v>
      </c>
      <c r="DT162" s="57">
        <f ca="1">AVERAGE(OFFSET($DS$3,0,0,'Données projet'!$E$14+1,1))-AVERAGE(OFFSET($H$3,0,0,'Données projet'!$E$14+1,1))</f>
        <v>315.23504986325418</v>
      </c>
      <c r="DU162" s="57">
        <f t="shared" si="152"/>
        <v>350.52837099886688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19.796248707129489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19.796248707129489</v>
      </c>
      <c r="EE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1.1368683772161603E-13</v>
      </c>
      <c r="EK162" s="17">
        <f>EJ162*VLOOKUP('Données projet'!$B$15,Paramètres!$A$1:$I$89,3,0)*VLOOKUP('Données projet'!$B$15,Paramètres!$A$1:$I$89,5,0)</f>
        <v>1.0995790944434703E-13</v>
      </c>
      <c r="EL162" s="13">
        <f t="shared" si="179"/>
        <v>1.6337280948049956E-12</v>
      </c>
      <c r="EM162" s="20">
        <f t="shared" si="180"/>
        <v>3.036919790734272E-12</v>
      </c>
      <c r="EN162" s="57">
        <f t="shared" si="128"/>
        <v>287.66066955837198</v>
      </c>
      <c r="EO162" s="57">
        <f ca="1">AVERAGE(OFFSET($EN$3,0,0,'Données projet'!$E$15+1,1))-AVERAGE(OFFSET($H$3,0,0,'Données projet'!$E$15+1,1))</f>
        <v>328.31200866623891</v>
      </c>
      <c r="EP162" s="57">
        <f t="shared" si="154"/>
        <v>195.52650232917446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118.2326142125216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118.2326142125216</v>
      </c>
      <c r="EZ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7" t="e">
        <f t="shared" si="131"/>
        <v>#NUM!</v>
      </c>
      <c r="FJ162" s="57">
        <f ca="1">AVERAGE(OFFSET($FI$3,0,0,'Données projet'!$E$16+1,1))-AVERAGE(OFFSET($H$3,0,0,'Données projet'!$E$16+1,1))</f>
        <v>142.88219003619457</v>
      </c>
      <c r="FK162" s="57">
        <f t="shared" si="156"/>
        <v>288.69704547625088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3.8153048680251209</v>
      </c>
      <c r="FR162" s="21">
        <f>EXP(-LN(2)/25)*FR161+(1-EXP(-LN(2)/25))/(LN(2)/25)*Calculateur!FM162*Calculateur!FO162*VLOOKUP('Données projet'!$B$16,Paramètres!$A$1:$I$89,3,0)*0.475*44/12</f>
        <v>0.34735787609337754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4.1626627441184985</v>
      </c>
      <c r="FU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7" t="e">
        <f t="shared" si="134"/>
        <v>#N/A</v>
      </c>
      <c r="GE162" s="57" t="e">
        <f ca="1">AVERAGE(OFFSET($GD$3,0,0,'Données projet'!$E$17+1,1))-AVERAGE(OFFSET($H$3,0,0,'Données projet'!$E$17+1,1))</f>
        <v>#N/A</v>
      </c>
      <c r="GF162" s="57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7" t="e">
        <f t="shared" si="137"/>
        <v>#N/A</v>
      </c>
      <c r="GZ162" s="57" t="e">
        <f ca="1">AVERAGE(OFFSET($GY$3,0,0,'Données projet'!$E$18+1,1))-AVERAGE(OFFSET($H$3,0,0,'Données projet'!$E$18+1,1))</f>
        <v>#N/A</v>
      </c>
      <c r="HA162" s="57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1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5">
        <f t="shared" si="110"/>
        <v>183.33333333333334</v>
      </c>
      <c r="I163" s="6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-3.979039320256561E-13</v>
      </c>
      <c r="O163" s="13">
        <f>N163*VLOOKUP('Données projet'!$B$9,Paramètres!$A$1:$I$89,3,0)*VLOOKUP('Données projet'!$B$9,Paramètres!$A$1:$I$89,5,0)</f>
        <v>-3.6002347769681362E-13</v>
      </c>
      <c r="P163" s="13" t="e">
        <f t="shared" si="141"/>
        <v>#NUM!</v>
      </c>
      <c r="Q163" s="20" t="e">
        <f t="shared" si="162"/>
        <v>#NUM!</v>
      </c>
      <c r="R163" s="57" t="e">
        <f t="shared" si="109"/>
        <v>#NUM!</v>
      </c>
      <c r="S163" s="57">
        <f ca="1">AVERAGE(OFFSET($R$3,0,0,'Données projet'!$E$9+1,1))-AVERAGE(OFFSET($H$3,0,0,'Données projet'!$E$9+1,1))</f>
        <v>539.63700256763173</v>
      </c>
      <c r="T163" s="57">
        <f t="shared" si="142"/>
        <v>297.32483725004136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-3.979039320256561E-13</v>
      </c>
      <c r="AJ163" s="13">
        <f>AI163*VLOOKUP('Données projet'!$B$10,Paramètres!$A$1:$I$89,3,0)*VLOOKUP('Données projet'!$B$10,Paramètres!$A$1:$I$89,5,0)</f>
        <v>-3.3519427233841274E-13</v>
      </c>
      <c r="AK163" s="13" t="e">
        <f t="shared" si="164"/>
        <v>#NUM!</v>
      </c>
      <c r="AL163" s="20" t="e">
        <f t="shared" si="165"/>
        <v>#NUM!</v>
      </c>
      <c r="AM163" s="57" t="e">
        <f t="shared" si="113"/>
        <v>#NUM!</v>
      </c>
      <c r="AN163" s="57">
        <f ca="1">AVERAGE(OFFSET($AM$3,0,0,'Données projet'!$E$10+1,1))-AVERAGE(OFFSET($H$3,0,0,'Données projet'!$E$10+1,1))</f>
        <v>508.21188526136734</v>
      </c>
      <c r="AO163" s="57">
        <f t="shared" si="144"/>
        <v>281.06176764290592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-1.064108801074326E-13</v>
      </c>
      <c r="BF163" s="13" t="e">
        <f t="shared" si="167"/>
        <v>#NUM!</v>
      </c>
      <c r="BG163" s="20" t="e">
        <f t="shared" si="168"/>
        <v>#NUM!</v>
      </c>
      <c r="BH163" s="57" t="e">
        <f t="shared" si="116"/>
        <v>#NUM!</v>
      </c>
      <c r="BI163" s="57">
        <f ca="1">AVERAGE(OFFSET($BH$3,0,0,'Données projet'!$E$11+1,1))-AVERAGE(OFFSET($H$3,0,0,'Données projet'!$E$11+1,1))</f>
        <v>449.50723280509311</v>
      </c>
      <c r="BJ163" s="57">
        <f t="shared" si="146"/>
        <v>281.26353650058275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71.027566500791806</v>
      </c>
      <c r="BQ163" s="21">
        <f>EXP(-LN(2)/25)*BQ162+(1-EXP(-LN(2)/25))/(LN(2)/25)*Calculateur!BL163*Calculateur!BN163*VLOOKUP('Données projet'!$B$11,Paramètres!$A$1:$I$89,3,0)*0.475*44/12</f>
        <v>9.9707574844554223</v>
      </c>
      <c r="BR163" s="21">
        <f>EXP(-LN(2)/2)*BR162+(1-EXP(-LN(2)/2))/(LN(2)/2)*BL163*BO163*VLOOKUP('Données projet'!$B$11,Paramètres!$A$1:$I$89,3,0)*0.475*44/12</f>
        <v>3.9417710656799614E-8</v>
      </c>
      <c r="BS163" s="22">
        <f t="shared" si="169"/>
        <v>80.998324024664939</v>
      </c>
      <c r="BT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-1.1937117960769683E-12</v>
      </c>
      <c r="BZ163" s="13">
        <f>BY163*VLOOKUP('Données projet'!$B$12,Paramètres!$A$1:$I$89,3,0)*VLOOKUP('Données projet'!$B$12,Paramètres!$A$1:$I$89,5,0)</f>
        <v>-1.1359361451468432E-12</v>
      </c>
      <c r="CA163" s="13" t="e">
        <f t="shared" si="170"/>
        <v>#NUM!</v>
      </c>
      <c r="CB163" s="20" t="e">
        <f t="shared" si="171"/>
        <v>#NUM!</v>
      </c>
      <c r="CC163" s="57" t="e">
        <f t="shared" si="119"/>
        <v>#NUM!</v>
      </c>
      <c r="CD163" s="57">
        <f ca="1">AVERAGE(OFFSET($CC$3,0,0,'Données projet'!$E$12+1,1))-AVERAGE(OFFSET($H$3,0,0,'Données projet'!$E$12+1,1))</f>
        <v>479.4551766174892</v>
      </c>
      <c r="CE163" s="57">
        <f t="shared" si="148"/>
        <v>260.29028006191834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-2.2737367544323206E-13</v>
      </c>
      <c r="CU163" s="17">
        <f>CT163*VLOOKUP('Données projet'!$B$13,Paramètres!$A$1:$I$89,3,0)*VLOOKUP('Données projet'!$B$13,Paramètres!$A$1:$I$89,5,0)</f>
        <v>-1.2710188457276673E-13</v>
      </c>
      <c r="CV163" s="13" t="e">
        <f t="shared" si="173"/>
        <v>#NUM!</v>
      </c>
      <c r="CW163" s="20" t="e">
        <f t="shared" si="174"/>
        <v>#NUM!</v>
      </c>
      <c r="CX163" s="57" t="e">
        <f t="shared" si="122"/>
        <v>#NUM!</v>
      </c>
      <c r="CY163" s="57">
        <f ca="1">AVERAGE(OFFSET($CX$3,0,0,'Données projet'!$E$13+1,1))-AVERAGE(OFFSET($H$3,0,0,'Données projet'!$E$13+1,1))</f>
        <v>459.83870442974046</v>
      </c>
      <c r="CZ163" s="57">
        <f t="shared" si="150"/>
        <v>565.68976940602215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35.715021459603669</v>
      </c>
      <c r="DG163" s="21">
        <f>EXP(-LN(2)/25)*DG162+(1-EXP(-LN(2)/25))/(LN(2)/25)*Calculateur!DB163*Calculateur!DD163*VLOOKUP('Données projet'!$B$13,Paramètres!$A$1:$I$89,3,0)*0.475*44/12</f>
        <v>4.0265241361272626</v>
      </c>
      <c r="DH163" s="21">
        <f>EXP(-LN(2)/2)*DH162+(1-EXP(-LN(2)/2))/(LN(2)/2)*DB163*DE163*VLOOKUP('Données projet'!$B$13,Paramètres!$A$1:$I$89,3,0)*0.475*44/12</f>
        <v>5.0022963900272981E-14</v>
      </c>
      <c r="DI163" s="22">
        <f t="shared" si="175"/>
        <v>39.741545595730983</v>
      </c>
      <c r="DJ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7" t="e">
        <f t="shared" si="125"/>
        <v>#NUM!</v>
      </c>
      <c r="DT163" s="57">
        <f ca="1">AVERAGE(OFFSET($DS$3,0,0,'Données projet'!$E$14+1,1))-AVERAGE(OFFSET($H$3,0,0,'Données projet'!$E$14+1,1))</f>
        <v>315.23504986325418</v>
      </c>
      <c r="DU163" s="57">
        <f t="shared" si="152"/>
        <v>350.52837099886688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19.408056344502132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19.408056344502132</v>
      </c>
      <c r="EE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1.1368683772161603E-13</v>
      </c>
      <c r="EK163" s="17">
        <f>EJ163*VLOOKUP('Données projet'!$B$15,Paramètres!$A$1:$I$89,3,0)*VLOOKUP('Données projet'!$B$15,Paramètres!$A$1:$I$89,5,0)</f>
        <v>1.0995790944434703E-13</v>
      </c>
      <c r="EL163" s="13">
        <f t="shared" si="179"/>
        <v>1.6337280948049956E-12</v>
      </c>
      <c r="EM163" s="20">
        <f t="shared" si="180"/>
        <v>3.036919790734272E-12</v>
      </c>
      <c r="EN163" s="57">
        <f t="shared" si="128"/>
        <v>287.75907759269137</v>
      </c>
      <c r="EO163" s="57">
        <f ca="1">AVERAGE(OFFSET($EN$3,0,0,'Données projet'!$E$15+1,1))-AVERAGE(OFFSET($H$3,0,0,'Données projet'!$E$15+1,1))</f>
        <v>328.31200866623891</v>
      </c>
      <c r="EP163" s="57">
        <f t="shared" si="154"/>
        <v>195.52650232917446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115.91414476258798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115.91414476258798</v>
      </c>
      <c r="EZ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7" t="e">
        <f t="shared" si="131"/>
        <v>#NUM!</v>
      </c>
      <c r="FJ163" s="57">
        <f ca="1">AVERAGE(OFFSET($FI$3,0,0,'Données projet'!$E$16+1,1))-AVERAGE(OFFSET($H$3,0,0,'Données projet'!$E$16+1,1))</f>
        <v>142.88219003619457</v>
      </c>
      <c r="FK163" s="57">
        <f t="shared" si="156"/>
        <v>288.69704547625088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3.7404890666693351</v>
      </c>
      <c r="FR163" s="21">
        <f>EXP(-LN(2)/25)*FR162+(1-EXP(-LN(2)/25))/(LN(2)/25)*Calculateur!FM163*Calculateur!FO163*VLOOKUP('Données projet'!$B$16,Paramètres!$A$1:$I$89,3,0)*0.475*44/12</f>
        <v>0.33785935670484735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4.078348423374182</v>
      </c>
      <c r="FU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7" t="e">
        <f t="shared" si="134"/>
        <v>#N/A</v>
      </c>
      <c r="GE163" s="57" t="e">
        <f ca="1">AVERAGE(OFFSET($GD$3,0,0,'Données projet'!$E$17+1,1))-AVERAGE(OFFSET($H$3,0,0,'Données projet'!$E$17+1,1))</f>
        <v>#N/A</v>
      </c>
      <c r="GF163" s="57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7" t="e">
        <f t="shared" si="137"/>
        <v>#N/A</v>
      </c>
      <c r="GZ163" s="57" t="e">
        <f ca="1">AVERAGE(OFFSET($GY$3,0,0,'Données projet'!$E$18+1,1))-AVERAGE(OFFSET($H$3,0,0,'Données projet'!$E$18+1,1))</f>
        <v>#N/A</v>
      </c>
      <c r="HA163" s="57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1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5">
        <f t="shared" si="110"/>
        <v>183.33333333333334</v>
      </c>
      <c r="I164" s="6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-3.979039320256561E-13</v>
      </c>
      <c r="O164" s="13">
        <f>N164*VLOOKUP('Données projet'!$B$9,Paramètres!$A$1:$I$89,3,0)*VLOOKUP('Données projet'!$B$9,Paramètres!$A$1:$I$89,5,0)</f>
        <v>-3.6002347769681362E-13</v>
      </c>
      <c r="P164" s="13" t="e">
        <f t="shared" si="141"/>
        <v>#NUM!</v>
      </c>
      <c r="Q164" s="20" t="e">
        <f t="shared" si="162"/>
        <v>#NUM!</v>
      </c>
      <c r="R164" s="57" t="e">
        <f t="shared" si="109"/>
        <v>#NUM!</v>
      </c>
      <c r="S164" s="57">
        <f ca="1">AVERAGE(OFFSET($R$3,0,0,'Données projet'!$E$9+1,1))-AVERAGE(OFFSET($H$3,0,0,'Données projet'!$E$9+1,1))</f>
        <v>539.63700256763173</v>
      </c>
      <c r="T164" s="57">
        <f t="shared" si="142"/>
        <v>297.32483725004136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-3.979039320256561E-13</v>
      </c>
      <c r="AJ164" s="13">
        <f>AI164*VLOOKUP('Données projet'!$B$10,Paramètres!$A$1:$I$89,3,0)*VLOOKUP('Données projet'!$B$10,Paramètres!$A$1:$I$89,5,0)</f>
        <v>-3.3519427233841274E-13</v>
      </c>
      <c r="AK164" s="13" t="e">
        <f t="shared" si="164"/>
        <v>#NUM!</v>
      </c>
      <c r="AL164" s="20" t="e">
        <f t="shared" si="165"/>
        <v>#NUM!</v>
      </c>
      <c r="AM164" s="57" t="e">
        <f t="shared" si="113"/>
        <v>#NUM!</v>
      </c>
      <c r="AN164" s="57">
        <f ca="1">AVERAGE(OFFSET($AM$3,0,0,'Données projet'!$E$10+1,1))-AVERAGE(OFFSET($H$3,0,0,'Données projet'!$E$10+1,1))</f>
        <v>508.21188526136734</v>
      </c>
      <c r="AO164" s="57">
        <f t="shared" si="144"/>
        <v>281.06176764290592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-1.064108801074326E-13</v>
      </c>
      <c r="BF164" s="13" t="e">
        <f t="shared" si="167"/>
        <v>#NUM!</v>
      </c>
      <c r="BG164" s="20" t="e">
        <f t="shared" si="168"/>
        <v>#NUM!</v>
      </c>
      <c r="BH164" s="57" t="e">
        <f t="shared" si="116"/>
        <v>#NUM!</v>
      </c>
      <c r="BI164" s="57">
        <f ca="1">AVERAGE(OFFSET($BH$3,0,0,'Données projet'!$E$11+1,1))-AVERAGE(OFFSET($H$3,0,0,'Données projet'!$E$11+1,1))</f>
        <v>449.50723280509311</v>
      </c>
      <c r="BJ164" s="57">
        <f t="shared" si="146"/>
        <v>281.26353650058275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69.634759244249096</v>
      </c>
      <c r="BQ164" s="21">
        <f>EXP(-LN(2)/25)*BQ163+(1-EXP(-LN(2)/25))/(LN(2)/25)*Calculateur!BL164*Calculateur!BN164*VLOOKUP('Données projet'!$B$11,Paramètres!$A$1:$I$89,3,0)*0.475*44/12</f>
        <v>9.6981065967036404</v>
      </c>
      <c r="BR164" s="21">
        <f>EXP(-LN(2)/2)*BR163+(1-EXP(-LN(2)/2))/(LN(2)/2)*BL164*BO164*VLOOKUP('Données projet'!$B$11,Paramètres!$A$1:$I$89,3,0)*0.475*44/12</f>
        <v>2.7872530504272247E-8</v>
      </c>
      <c r="BS164" s="22">
        <f t="shared" si="169"/>
        <v>79.332865868825266</v>
      </c>
      <c r="BT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-1.1937117960769683E-12</v>
      </c>
      <c r="BZ164" s="13">
        <f>BY164*VLOOKUP('Données projet'!$B$12,Paramètres!$A$1:$I$89,3,0)*VLOOKUP('Données projet'!$B$12,Paramètres!$A$1:$I$89,5,0)</f>
        <v>-1.1359361451468432E-12</v>
      </c>
      <c r="CA164" s="13" t="e">
        <f t="shared" si="170"/>
        <v>#NUM!</v>
      </c>
      <c r="CB164" s="20" t="e">
        <f t="shared" si="171"/>
        <v>#NUM!</v>
      </c>
      <c r="CC164" s="57" t="e">
        <f t="shared" si="119"/>
        <v>#NUM!</v>
      </c>
      <c r="CD164" s="57">
        <f ca="1">AVERAGE(OFFSET($CC$3,0,0,'Données projet'!$E$12+1,1))-AVERAGE(OFFSET($H$3,0,0,'Données projet'!$E$12+1,1))</f>
        <v>479.4551766174892</v>
      </c>
      <c r="CE164" s="57">
        <f t="shared" si="148"/>
        <v>260.29028006191834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-2.2737367544323206E-13</v>
      </c>
      <c r="CU164" s="17">
        <f>CT164*VLOOKUP('Données projet'!$B$13,Paramètres!$A$1:$I$89,3,0)*VLOOKUP('Données projet'!$B$13,Paramètres!$A$1:$I$89,5,0)</f>
        <v>-1.2710188457276673E-13</v>
      </c>
      <c r="CV164" s="13" t="e">
        <f t="shared" si="173"/>
        <v>#NUM!</v>
      </c>
      <c r="CW164" s="20" t="e">
        <f t="shared" si="174"/>
        <v>#NUM!</v>
      </c>
      <c r="CX164" s="57" t="e">
        <f t="shared" si="122"/>
        <v>#NUM!</v>
      </c>
      <c r="CY164" s="57">
        <f ca="1">AVERAGE(OFFSET($CX$3,0,0,'Données projet'!$E$13+1,1))-AVERAGE(OFFSET($H$3,0,0,'Données projet'!$E$13+1,1))</f>
        <v>459.83870442974046</v>
      </c>
      <c r="CZ164" s="57">
        <f t="shared" si="150"/>
        <v>565.68976940602215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35.014671672792936</v>
      </c>
      <c r="DG164" s="21">
        <f>EXP(-LN(2)/25)*DG163+(1-EXP(-LN(2)/25))/(LN(2)/25)*Calculateur!DB164*Calculateur!DD164*VLOOKUP('Données projet'!$B$13,Paramètres!$A$1:$I$89,3,0)*0.475*44/12</f>
        <v>3.9164186218791608</v>
      </c>
      <c r="DH164" s="21">
        <f>EXP(-LN(2)/2)*DH163+(1-EXP(-LN(2)/2))/(LN(2)/2)*DB164*DE164*VLOOKUP('Données projet'!$B$13,Paramètres!$A$1:$I$89,3,0)*0.475*44/12</f>
        <v>3.5371576988932892E-14</v>
      </c>
      <c r="DI164" s="22">
        <f t="shared" si="175"/>
        <v>38.931090294672131</v>
      </c>
      <c r="DJ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7" t="e">
        <f t="shared" si="125"/>
        <v>#NUM!</v>
      </c>
      <c r="DT164" s="57">
        <f ca="1">AVERAGE(OFFSET($DS$3,0,0,'Données projet'!$E$14+1,1))-AVERAGE(OFFSET($H$3,0,0,'Données projet'!$E$14+1,1))</f>
        <v>315.23504986325418</v>
      </c>
      <c r="DU164" s="57">
        <f t="shared" si="152"/>
        <v>350.52837099886688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19.027476197331936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19.027476197331936</v>
      </c>
      <c r="EE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1.1368683772161603E-13</v>
      </c>
      <c r="EK164" s="17">
        <f>EJ164*VLOOKUP('Données projet'!$B$15,Paramètres!$A$1:$I$89,3,0)*VLOOKUP('Données projet'!$B$15,Paramètres!$A$1:$I$89,5,0)</f>
        <v>1.0995790944434703E-13</v>
      </c>
      <c r="EL164" s="13">
        <f t="shared" si="179"/>
        <v>1.6337280948049956E-12</v>
      </c>
      <c r="EM164" s="20">
        <f t="shared" si="180"/>
        <v>3.036919790734272E-12</v>
      </c>
      <c r="EN164" s="57">
        <f t="shared" si="128"/>
        <v>287.85577846762271</v>
      </c>
      <c r="EO164" s="57">
        <f ca="1">AVERAGE(OFFSET($EN$3,0,0,'Données projet'!$E$15+1,1))-AVERAGE(OFFSET($H$3,0,0,'Données projet'!$E$15+1,1))</f>
        <v>328.31200866623891</v>
      </c>
      <c r="EP164" s="57">
        <f t="shared" si="154"/>
        <v>195.52650232917446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113.64113908444082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113.64113908444082</v>
      </c>
      <c r="EZ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7" t="e">
        <f t="shared" si="131"/>
        <v>#NUM!</v>
      </c>
      <c r="FJ164" s="57">
        <f ca="1">AVERAGE(OFFSET($FI$3,0,0,'Données projet'!$E$16+1,1))-AVERAGE(OFFSET($H$3,0,0,'Données projet'!$E$16+1,1))</f>
        <v>142.88219003619457</v>
      </c>
      <c r="FK164" s="57">
        <f t="shared" si="156"/>
        <v>288.69704547625088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3.6671403575450032</v>
      </c>
      <c r="FR164" s="21">
        <f>EXP(-LN(2)/25)*FR163+(1-EXP(-LN(2)/25))/(LN(2)/25)*Calculateur!FM164*Calculateur!FO164*VLOOKUP('Données projet'!$B$16,Paramètres!$A$1:$I$89,3,0)*0.475*44/12</f>
        <v>0.32862057482850193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3.9957609323735053</v>
      </c>
      <c r="FU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7" t="e">
        <f t="shared" si="134"/>
        <v>#N/A</v>
      </c>
      <c r="GE164" s="57" t="e">
        <f ca="1">AVERAGE(OFFSET($GD$3,0,0,'Données projet'!$E$17+1,1))-AVERAGE(OFFSET($H$3,0,0,'Données projet'!$E$17+1,1))</f>
        <v>#N/A</v>
      </c>
      <c r="GF164" s="57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7" t="e">
        <f t="shared" si="137"/>
        <v>#N/A</v>
      </c>
      <c r="GZ164" s="57" t="e">
        <f ca="1">AVERAGE(OFFSET($GY$3,0,0,'Données projet'!$E$18+1,1))-AVERAGE(OFFSET($H$3,0,0,'Données projet'!$E$18+1,1))</f>
        <v>#N/A</v>
      </c>
      <c r="HA164" s="57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1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5">
        <f t="shared" si="110"/>
        <v>183.33333333333334</v>
      </c>
      <c r="I165" s="6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-3.979039320256561E-13</v>
      </c>
      <c r="O165" s="13">
        <f>N165*VLOOKUP('Données projet'!$B$9,Paramètres!$A$1:$I$89,3,0)*VLOOKUP('Données projet'!$B$9,Paramètres!$A$1:$I$89,5,0)</f>
        <v>-3.6002347769681362E-13</v>
      </c>
      <c r="P165" s="13" t="e">
        <f t="shared" si="141"/>
        <v>#NUM!</v>
      </c>
      <c r="Q165" s="20" t="e">
        <f t="shared" si="162"/>
        <v>#NUM!</v>
      </c>
      <c r="R165" s="57" t="e">
        <f t="shared" si="109"/>
        <v>#NUM!</v>
      </c>
      <c r="S165" s="57">
        <f ca="1">AVERAGE(OFFSET($R$3,0,0,'Données projet'!$E$9+1,1))-AVERAGE(OFFSET($H$3,0,0,'Données projet'!$E$9+1,1))</f>
        <v>539.63700256763173</v>
      </c>
      <c r="T165" s="57">
        <f t="shared" si="142"/>
        <v>297.32483725004136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-3.979039320256561E-13</v>
      </c>
      <c r="AJ165" s="13">
        <f>AI165*VLOOKUP('Données projet'!$B$10,Paramètres!$A$1:$I$89,3,0)*VLOOKUP('Données projet'!$B$10,Paramètres!$A$1:$I$89,5,0)</f>
        <v>-3.3519427233841274E-13</v>
      </c>
      <c r="AK165" s="13" t="e">
        <f t="shared" si="164"/>
        <v>#NUM!</v>
      </c>
      <c r="AL165" s="20" t="e">
        <f t="shared" si="165"/>
        <v>#NUM!</v>
      </c>
      <c r="AM165" s="57" t="e">
        <f t="shared" si="113"/>
        <v>#NUM!</v>
      </c>
      <c r="AN165" s="57">
        <f ca="1">AVERAGE(OFFSET($AM$3,0,0,'Données projet'!$E$10+1,1))-AVERAGE(OFFSET($H$3,0,0,'Données projet'!$E$10+1,1))</f>
        <v>508.21188526136734</v>
      </c>
      <c r="AO165" s="57">
        <f t="shared" si="144"/>
        <v>281.06176764290592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-1.064108801074326E-13</v>
      </c>
      <c r="BF165" s="13" t="e">
        <f t="shared" si="167"/>
        <v>#NUM!</v>
      </c>
      <c r="BG165" s="20" t="e">
        <f t="shared" si="168"/>
        <v>#NUM!</v>
      </c>
      <c r="BH165" s="57" t="e">
        <f t="shared" si="116"/>
        <v>#NUM!</v>
      </c>
      <c r="BI165" s="57">
        <f ca="1">AVERAGE(OFFSET($BH$3,0,0,'Données projet'!$E$11+1,1))-AVERAGE(OFFSET($H$3,0,0,'Données projet'!$E$11+1,1))</f>
        <v>449.50723280509311</v>
      </c>
      <c r="BJ165" s="57">
        <f t="shared" si="146"/>
        <v>281.26353650058275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68.26926408847865</v>
      </c>
      <c r="BQ165" s="21">
        <f>EXP(-LN(2)/25)*BQ164+(1-EXP(-LN(2)/25))/(LN(2)/25)*Calculateur!BL165*Calculateur!BN165*VLOOKUP('Données projet'!$B$11,Paramètres!$A$1:$I$89,3,0)*0.475*44/12</f>
        <v>9.4329113618155187</v>
      </c>
      <c r="BR165" s="21">
        <f>EXP(-LN(2)/2)*BR164+(1-EXP(-LN(2)/2))/(LN(2)/2)*BL165*BO165*VLOOKUP('Données projet'!$B$11,Paramètres!$A$1:$I$89,3,0)*0.475*44/12</f>
        <v>1.9708855328399807E-8</v>
      </c>
      <c r="BS165" s="22">
        <f t="shared" si="169"/>
        <v>77.702175470003013</v>
      </c>
      <c r="BT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-1.1937117960769683E-12</v>
      </c>
      <c r="BZ165" s="13">
        <f>BY165*VLOOKUP('Données projet'!$B$12,Paramètres!$A$1:$I$89,3,0)*VLOOKUP('Données projet'!$B$12,Paramètres!$A$1:$I$89,5,0)</f>
        <v>-1.1359361451468432E-12</v>
      </c>
      <c r="CA165" s="13" t="e">
        <f t="shared" si="170"/>
        <v>#NUM!</v>
      </c>
      <c r="CB165" s="20" t="e">
        <f t="shared" si="171"/>
        <v>#NUM!</v>
      </c>
      <c r="CC165" s="57" t="e">
        <f t="shared" si="119"/>
        <v>#NUM!</v>
      </c>
      <c r="CD165" s="57">
        <f ca="1">AVERAGE(OFFSET($CC$3,0,0,'Données projet'!$E$12+1,1))-AVERAGE(OFFSET($H$3,0,0,'Données projet'!$E$12+1,1))</f>
        <v>479.4551766174892</v>
      </c>
      <c r="CE165" s="57">
        <f t="shared" si="148"/>
        <v>260.29028006191834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-2.2737367544323206E-13</v>
      </c>
      <c r="CU165" s="17">
        <f>CT165*VLOOKUP('Données projet'!$B$13,Paramètres!$A$1:$I$89,3,0)*VLOOKUP('Données projet'!$B$13,Paramètres!$A$1:$I$89,5,0)</f>
        <v>-1.2710188457276673E-13</v>
      </c>
      <c r="CV165" s="13" t="e">
        <f t="shared" si="173"/>
        <v>#NUM!</v>
      </c>
      <c r="CW165" s="20" t="e">
        <f t="shared" si="174"/>
        <v>#NUM!</v>
      </c>
      <c r="CX165" s="57" t="e">
        <f t="shared" si="122"/>
        <v>#NUM!</v>
      </c>
      <c r="CY165" s="57">
        <f ca="1">AVERAGE(OFFSET($CX$3,0,0,'Données projet'!$E$13+1,1))-AVERAGE(OFFSET($H$3,0,0,'Données projet'!$E$13+1,1))</f>
        <v>459.83870442974046</v>
      </c>
      <c r="CZ165" s="57">
        <f t="shared" si="150"/>
        <v>565.68976940602215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34.328055318130374</v>
      </c>
      <c r="DG165" s="21">
        <f>EXP(-LN(2)/25)*DG164+(1-EXP(-LN(2)/25))/(LN(2)/25)*Calculateur!DB165*Calculateur!DD165*VLOOKUP('Données projet'!$B$13,Paramètres!$A$1:$I$89,3,0)*0.475*44/12</f>
        <v>3.809323948708371</v>
      </c>
      <c r="DH165" s="21">
        <f>EXP(-LN(2)/2)*DH164+(1-EXP(-LN(2)/2))/(LN(2)/2)*DB165*DE165*VLOOKUP('Données projet'!$B$13,Paramètres!$A$1:$I$89,3,0)*0.475*44/12</f>
        <v>2.5011481950136491E-14</v>
      </c>
      <c r="DI165" s="22">
        <f t="shared" si="175"/>
        <v>38.137379266838771</v>
      </c>
      <c r="DJ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7" t="e">
        <f t="shared" si="125"/>
        <v>#NUM!</v>
      </c>
      <c r="DT165" s="57">
        <f ca="1">AVERAGE(OFFSET($DS$3,0,0,'Données projet'!$E$14+1,1))-AVERAGE(OFFSET($H$3,0,0,'Données projet'!$E$14+1,1))</f>
        <v>315.23504986325418</v>
      </c>
      <c r="DU165" s="57">
        <f t="shared" si="152"/>
        <v>350.52837099886688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18.654358994716777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18.654358994716777</v>
      </c>
      <c r="EE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1.1368683772161603E-13</v>
      </c>
      <c r="EK165" s="17">
        <f>EJ165*VLOOKUP('Données projet'!$B$15,Paramètres!$A$1:$I$89,3,0)*VLOOKUP('Données projet'!$B$15,Paramètres!$A$1:$I$89,5,0)</f>
        <v>1.0995790944434703E-13</v>
      </c>
      <c r="EL165" s="13">
        <f t="shared" si="179"/>
        <v>1.6337280948049956E-12</v>
      </c>
      <c r="EM165" s="20">
        <f t="shared" si="180"/>
        <v>3.036919790734272E-12</v>
      </c>
      <c r="EN165" s="57">
        <f t="shared" si="128"/>
        <v>287.95080179856473</v>
      </c>
      <c r="EO165" s="57">
        <f ca="1">AVERAGE(OFFSET($EN$3,0,0,'Données projet'!$E$15+1,1))-AVERAGE(OFFSET($H$3,0,0,'Données projet'!$E$15+1,1))</f>
        <v>328.31200866623891</v>
      </c>
      <c r="EP165" s="57">
        <f t="shared" si="154"/>
        <v>195.52650232917446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111.41270566124557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111.41270566124557</v>
      </c>
      <c r="EZ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7" t="e">
        <f t="shared" si="131"/>
        <v>#NUM!</v>
      </c>
      <c r="FJ165" s="57">
        <f ca="1">AVERAGE(OFFSET($FI$3,0,0,'Données projet'!$E$16+1,1))-AVERAGE(OFFSET($H$3,0,0,'Données projet'!$E$16+1,1))</f>
        <v>142.88219003619457</v>
      </c>
      <c r="FK165" s="57">
        <f t="shared" si="156"/>
        <v>288.69704547625088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3.5952299718683047</v>
      </c>
      <c r="FR165" s="21">
        <f>EXP(-LN(2)/25)*FR164+(1-EXP(-LN(2)/25))/(LN(2)/25)*Calculateur!FM165*Calculateur!FO165*VLOOKUP('Données projet'!$B$16,Paramètres!$A$1:$I$89,3,0)*0.475*44/12</f>
        <v>0.31963442792841157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3.9148643997967163</v>
      </c>
      <c r="FU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7" t="e">
        <f t="shared" si="134"/>
        <v>#N/A</v>
      </c>
      <c r="GE165" s="57" t="e">
        <f ca="1">AVERAGE(OFFSET($GD$3,0,0,'Données projet'!$E$17+1,1))-AVERAGE(OFFSET($H$3,0,0,'Données projet'!$E$17+1,1))</f>
        <v>#N/A</v>
      </c>
      <c r="GF165" s="57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7" t="e">
        <f t="shared" si="137"/>
        <v>#N/A</v>
      </c>
      <c r="GZ165" s="57" t="e">
        <f ca="1">AVERAGE(OFFSET($GY$3,0,0,'Données projet'!$E$18+1,1))-AVERAGE(OFFSET($H$3,0,0,'Données projet'!$E$18+1,1))</f>
        <v>#N/A</v>
      </c>
      <c r="HA165" s="57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1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5">
        <f t="shared" si="110"/>
        <v>183.33333333333334</v>
      </c>
      <c r="I166" s="6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-3.979039320256561E-13</v>
      </c>
      <c r="O166" s="13">
        <f>N166*VLOOKUP('Données projet'!$B$9,Paramètres!$A$1:$I$89,3,0)*VLOOKUP('Données projet'!$B$9,Paramètres!$A$1:$I$89,5,0)</f>
        <v>-3.6002347769681362E-13</v>
      </c>
      <c r="P166" s="13" t="e">
        <f t="shared" si="141"/>
        <v>#NUM!</v>
      </c>
      <c r="Q166" s="20" t="e">
        <f t="shared" si="162"/>
        <v>#NUM!</v>
      </c>
      <c r="R166" s="57" t="e">
        <f t="shared" si="109"/>
        <v>#NUM!</v>
      </c>
      <c r="S166" s="57">
        <f ca="1">AVERAGE(OFFSET($R$3,0,0,'Données projet'!$E$9+1,1))-AVERAGE(OFFSET($H$3,0,0,'Données projet'!$E$9+1,1))</f>
        <v>539.63700256763173</v>
      </c>
      <c r="T166" s="57">
        <f t="shared" si="142"/>
        <v>297.32483725004136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-3.979039320256561E-13</v>
      </c>
      <c r="AJ166" s="13">
        <f>AI166*VLOOKUP('Données projet'!$B$10,Paramètres!$A$1:$I$89,3,0)*VLOOKUP('Données projet'!$B$10,Paramètres!$A$1:$I$89,5,0)</f>
        <v>-3.3519427233841274E-13</v>
      </c>
      <c r="AK166" s="13" t="e">
        <f t="shared" si="164"/>
        <v>#NUM!</v>
      </c>
      <c r="AL166" s="20" t="e">
        <f t="shared" si="165"/>
        <v>#NUM!</v>
      </c>
      <c r="AM166" s="57" t="e">
        <f t="shared" si="113"/>
        <v>#NUM!</v>
      </c>
      <c r="AN166" s="57">
        <f ca="1">AVERAGE(OFFSET($AM$3,0,0,'Données projet'!$E$10+1,1))-AVERAGE(OFFSET($H$3,0,0,'Données projet'!$E$10+1,1))</f>
        <v>508.21188526136734</v>
      </c>
      <c r="AO166" s="57">
        <f t="shared" si="144"/>
        <v>281.06176764290592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-1.064108801074326E-13</v>
      </c>
      <c r="BF166" s="13" t="e">
        <f t="shared" si="167"/>
        <v>#NUM!</v>
      </c>
      <c r="BG166" s="20" t="e">
        <f t="shared" si="168"/>
        <v>#NUM!</v>
      </c>
      <c r="BH166" s="57" t="e">
        <f t="shared" si="116"/>
        <v>#NUM!</v>
      </c>
      <c r="BI166" s="57">
        <f ca="1">AVERAGE(OFFSET($BH$3,0,0,'Données projet'!$E$11+1,1))-AVERAGE(OFFSET($H$3,0,0,'Données projet'!$E$11+1,1))</f>
        <v>449.50723280509311</v>
      </c>
      <c r="BJ166" s="57">
        <f t="shared" si="146"/>
        <v>281.26353650058275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66.93054545984306</v>
      </c>
      <c r="BQ166" s="21">
        <f>EXP(-LN(2)/25)*BQ165+(1-EXP(-LN(2)/25))/(LN(2)/25)*Calculateur!BL166*Calculateur!BN166*VLOOKUP('Données projet'!$B$11,Paramètres!$A$1:$I$89,3,0)*0.475*44/12</f>
        <v>9.1749679045714245</v>
      </c>
      <c r="BR166" s="21">
        <f>EXP(-LN(2)/2)*BR165+(1-EXP(-LN(2)/2))/(LN(2)/2)*BL166*BO166*VLOOKUP('Données projet'!$B$11,Paramètres!$A$1:$I$89,3,0)*0.475*44/12</f>
        <v>1.3936265252136124E-8</v>
      </c>
      <c r="BS166" s="22">
        <f t="shared" si="169"/>
        <v>76.10551337835075</v>
      </c>
      <c r="BT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-1.1937117960769683E-12</v>
      </c>
      <c r="BZ166" s="13">
        <f>BY166*VLOOKUP('Données projet'!$B$12,Paramètres!$A$1:$I$89,3,0)*VLOOKUP('Données projet'!$B$12,Paramètres!$A$1:$I$89,5,0)</f>
        <v>-1.1359361451468432E-12</v>
      </c>
      <c r="CA166" s="13" t="e">
        <f t="shared" si="170"/>
        <v>#NUM!</v>
      </c>
      <c r="CB166" s="20" t="e">
        <f t="shared" si="171"/>
        <v>#NUM!</v>
      </c>
      <c r="CC166" s="57" t="e">
        <f t="shared" si="119"/>
        <v>#NUM!</v>
      </c>
      <c r="CD166" s="57">
        <f ca="1">AVERAGE(OFFSET($CC$3,0,0,'Données projet'!$E$12+1,1))-AVERAGE(OFFSET($H$3,0,0,'Données projet'!$E$12+1,1))</f>
        <v>479.4551766174892</v>
      </c>
      <c r="CE166" s="57">
        <f t="shared" si="148"/>
        <v>260.29028006191834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-2.2737367544323206E-13</v>
      </c>
      <c r="CU166" s="17">
        <f>CT166*VLOOKUP('Données projet'!$B$13,Paramètres!$A$1:$I$89,3,0)*VLOOKUP('Données projet'!$B$13,Paramètres!$A$1:$I$89,5,0)</f>
        <v>-1.2710188457276673E-13</v>
      </c>
      <c r="CV166" s="13" t="e">
        <f t="shared" si="173"/>
        <v>#NUM!</v>
      </c>
      <c r="CW166" s="20" t="e">
        <f t="shared" si="174"/>
        <v>#NUM!</v>
      </c>
      <c r="CX166" s="57" t="e">
        <f t="shared" si="122"/>
        <v>#NUM!</v>
      </c>
      <c r="CY166" s="57">
        <f ca="1">AVERAGE(OFFSET($CX$3,0,0,'Données projet'!$E$13+1,1))-AVERAGE(OFFSET($H$3,0,0,'Données projet'!$E$13+1,1))</f>
        <v>459.83870442974046</v>
      </c>
      <c r="CZ166" s="57">
        <f t="shared" si="150"/>
        <v>565.68976940602215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33.654903091388121</v>
      </c>
      <c r="DG166" s="21">
        <f>EXP(-LN(2)/25)*DG165+(1-EXP(-LN(2)/25))/(LN(2)/25)*Calculateur!DB166*Calculateur!DD166*VLOOKUP('Données projet'!$B$13,Paramètres!$A$1:$I$89,3,0)*0.475*44/12</f>
        <v>3.7051577850073003</v>
      </c>
      <c r="DH166" s="21">
        <f>EXP(-LN(2)/2)*DH165+(1-EXP(-LN(2)/2))/(LN(2)/2)*DB166*DE166*VLOOKUP('Données projet'!$B$13,Paramètres!$A$1:$I$89,3,0)*0.475*44/12</f>
        <v>1.7685788494466446E-14</v>
      </c>
      <c r="DI166" s="22">
        <f t="shared" si="175"/>
        <v>37.360060876395437</v>
      </c>
      <c r="DJ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7" t="e">
        <f t="shared" si="125"/>
        <v>#NUM!</v>
      </c>
      <c r="DT166" s="57">
        <f ca="1">AVERAGE(OFFSET($DS$3,0,0,'Données projet'!$E$14+1,1))-AVERAGE(OFFSET($H$3,0,0,'Données projet'!$E$14+1,1))</f>
        <v>315.23504986325418</v>
      </c>
      <c r="DU166" s="57">
        <f t="shared" si="152"/>
        <v>350.52837099886688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18.28855839286588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18.28855839286588</v>
      </c>
      <c r="EE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1.1368683772161603E-13</v>
      </c>
      <c r="EK166" s="17">
        <f>EJ166*VLOOKUP('Données projet'!$B$15,Paramètres!$A$1:$I$89,3,0)*VLOOKUP('Données projet'!$B$15,Paramètres!$A$1:$I$89,5,0)</f>
        <v>1.0995790944434703E-13</v>
      </c>
      <c r="EL166" s="13">
        <f t="shared" si="179"/>
        <v>1.6337280948049956E-12</v>
      </c>
      <c r="EM166" s="20">
        <f t="shared" si="180"/>
        <v>3.036919790734272E-12</v>
      </c>
      <c r="EN166" s="57">
        <f t="shared" si="128"/>
        <v>288.04417668715524</v>
      </c>
      <c r="EO166" s="57">
        <f ca="1">AVERAGE(OFFSET($EN$3,0,0,'Données projet'!$E$15+1,1))-AVERAGE(OFFSET($H$3,0,0,'Données projet'!$E$15+1,1))</f>
        <v>328.31200866623891</v>
      </c>
      <c r="EP166" s="57">
        <f t="shared" si="154"/>
        <v>195.52650232917446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109.227970458269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109.227970458269</v>
      </c>
      <c r="EZ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7" t="e">
        <f t="shared" si="131"/>
        <v>#NUM!</v>
      </c>
      <c r="FJ166" s="57">
        <f ca="1">AVERAGE(OFFSET($FI$3,0,0,'Données projet'!$E$16+1,1))-AVERAGE(OFFSET($H$3,0,0,'Données projet'!$E$16+1,1))</f>
        <v>142.88219003619457</v>
      </c>
      <c r="FK166" s="57">
        <f t="shared" si="156"/>
        <v>288.69704547625088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3.5247297049937218</v>
      </c>
      <c r="FR166" s="21">
        <f>EXP(-LN(2)/25)*FR165+(1-EXP(-LN(2)/25))/(LN(2)/25)*Calculateur!FM166*Calculateur!FO166*VLOOKUP('Données projet'!$B$16,Paramètres!$A$1:$I$89,3,0)*0.475*44/12</f>
        <v>0.31089400768786513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3.8356237126815871</v>
      </c>
      <c r="FU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7" t="e">
        <f t="shared" si="134"/>
        <v>#N/A</v>
      </c>
      <c r="GE166" s="57" t="e">
        <f ca="1">AVERAGE(OFFSET($GD$3,0,0,'Données projet'!$E$17+1,1))-AVERAGE(OFFSET($H$3,0,0,'Données projet'!$E$17+1,1))</f>
        <v>#N/A</v>
      </c>
      <c r="GF166" s="57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7" t="e">
        <f t="shared" si="137"/>
        <v>#N/A</v>
      </c>
      <c r="GZ166" s="57" t="e">
        <f ca="1">AVERAGE(OFFSET($GY$3,0,0,'Données projet'!$E$18+1,1))-AVERAGE(OFFSET($H$3,0,0,'Données projet'!$E$18+1,1))</f>
        <v>#N/A</v>
      </c>
      <c r="HA166" s="57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1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5">
        <f t="shared" si="110"/>
        <v>183.33333333333334</v>
      </c>
      <c r="I167" s="6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-3.979039320256561E-13</v>
      </c>
      <c r="O167" s="13">
        <f>N167*VLOOKUP('Données projet'!$B$9,Paramètres!$A$1:$I$89,3,0)*VLOOKUP('Données projet'!$B$9,Paramètres!$A$1:$I$89,5,0)</f>
        <v>-3.6002347769681362E-13</v>
      </c>
      <c r="P167" s="13" t="e">
        <f t="shared" si="141"/>
        <v>#NUM!</v>
      </c>
      <c r="Q167" s="20" t="e">
        <f t="shared" si="162"/>
        <v>#NUM!</v>
      </c>
      <c r="R167" s="57" t="e">
        <f t="shared" si="109"/>
        <v>#NUM!</v>
      </c>
      <c r="S167" s="57">
        <f ca="1">AVERAGE(OFFSET($R$3,0,0,'Données projet'!$E$9+1,1))-AVERAGE(OFFSET($H$3,0,0,'Données projet'!$E$9+1,1))</f>
        <v>539.63700256763173</v>
      </c>
      <c r="T167" s="57">
        <f t="shared" si="142"/>
        <v>297.32483725004136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-3.979039320256561E-13</v>
      </c>
      <c r="AJ167" s="13">
        <f>AI167*VLOOKUP('Données projet'!$B$10,Paramètres!$A$1:$I$89,3,0)*VLOOKUP('Données projet'!$B$10,Paramètres!$A$1:$I$89,5,0)</f>
        <v>-3.3519427233841274E-13</v>
      </c>
      <c r="AK167" s="13" t="e">
        <f t="shared" si="164"/>
        <v>#NUM!</v>
      </c>
      <c r="AL167" s="20" t="e">
        <f t="shared" si="165"/>
        <v>#NUM!</v>
      </c>
      <c r="AM167" s="57" t="e">
        <f t="shared" si="113"/>
        <v>#NUM!</v>
      </c>
      <c r="AN167" s="57">
        <f ca="1">AVERAGE(OFFSET($AM$3,0,0,'Données projet'!$E$10+1,1))-AVERAGE(OFFSET($H$3,0,0,'Données projet'!$E$10+1,1))</f>
        <v>508.21188526136734</v>
      </c>
      <c r="AO167" s="57">
        <f t="shared" si="144"/>
        <v>281.06176764290592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-1.064108801074326E-13</v>
      </c>
      <c r="BF167" s="13" t="e">
        <f t="shared" si="167"/>
        <v>#NUM!</v>
      </c>
      <c r="BG167" s="20" t="e">
        <f t="shared" si="168"/>
        <v>#NUM!</v>
      </c>
      <c r="BH167" s="57" t="e">
        <f t="shared" si="116"/>
        <v>#NUM!</v>
      </c>
      <c r="BI167" s="57">
        <f ca="1">AVERAGE(OFFSET($BH$3,0,0,'Données projet'!$E$11+1,1))-AVERAGE(OFFSET($H$3,0,0,'Données projet'!$E$11+1,1))</f>
        <v>449.50723280509311</v>
      </c>
      <c r="BJ167" s="57">
        <f t="shared" si="146"/>
        <v>281.26353650058275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65.618078286977266</v>
      </c>
      <c r="BQ167" s="21">
        <f>EXP(-LN(2)/25)*BQ166+(1-EXP(-LN(2)/25))/(LN(2)/25)*Calculateur!BL167*Calculateur!BN167*VLOOKUP('Données projet'!$B$11,Paramètres!$A$1:$I$89,3,0)*0.475*44/12</f>
        <v>8.9240779247303266</v>
      </c>
      <c r="BR167" s="21">
        <f>EXP(-LN(2)/2)*BR166+(1-EXP(-LN(2)/2))/(LN(2)/2)*BL167*BO167*VLOOKUP('Données projet'!$B$11,Paramètres!$A$1:$I$89,3,0)*0.475*44/12</f>
        <v>9.8544276641999034E-9</v>
      </c>
      <c r="BS167" s="22">
        <f t="shared" si="169"/>
        <v>74.542156221562024</v>
      </c>
      <c r="BT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-1.1937117960769683E-12</v>
      </c>
      <c r="BZ167" s="13">
        <f>BY167*VLOOKUP('Données projet'!$B$12,Paramètres!$A$1:$I$89,3,0)*VLOOKUP('Données projet'!$B$12,Paramètres!$A$1:$I$89,5,0)</f>
        <v>-1.1359361451468432E-12</v>
      </c>
      <c r="CA167" s="13" t="e">
        <f t="shared" si="170"/>
        <v>#NUM!</v>
      </c>
      <c r="CB167" s="20" t="e">
        <f t="shared" si="171"/>
        <v>#NUM!</v>
      </c>
      <c r="CC167" s="57" t="e">
        <f t="shared" si="119"/>
        <v>#NUM!</v>
      </c>
      <c r="CD167" s="57">
        <f ca="1">AVERAGE(OFFSET($CC$3,0,0,'Données projet'!$E$12+1,1))-AVERAGE(OFFSET($H$3,0,0,'Données projet'!$E$12+1,1))</f>
        <v>479.4551766174892</v>
      </c>
      <c r="CE167" s="57">
        <f t="shared" si="148"/>
        <v>260.29028006191834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-2.2737367544323206E-13</v>
      </c>
      <c r="CU167" s="17">
        <f>CT167*VLOOKUP('Données projet'!$B$13,Paramètres!$A$1:$I$89,3,0)*VLOOKUP('Données projet'!$B$13,Paramètres!$A$1:$I$89,5,0)</f>
        <v>-1.2710188457276673E-13</v>
      </c>
      <c r="CV167" s="13" t="e">
        <f t="shared" si="173"/>
        <v>#NUM!</v>
      </c>
      <c r="CW167" s="20" t="e">
        <f t="shared" si="174"/>
        <v>#NUM!</v>
      </c>
      <c r="CX167" s="57" t="e">
        <f t="shared" si="122"/>
        <v>#NUM!</v>
      </c>
      <c r="CY167" s="57">
        <f ca="1">AVERAGE(OFFSET($CX$3,0,0,'Données projet'!$E$13+1,1))-AVERAGE(OFFSET($H$3,0,0,'Données projet'!$E$13+1,1))</f>
        <v>459.83870442974046</v>
      </c>
      <c r="CZ167" s="57">
        <f t="shared" si="150"/>
        <v>565.68976940602215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32.994950969229969</v>
      </c>
      <c r="DG167" s="21">
        <f>EXP(-LN(2)/25)*DG166+(1-EXP(-LN(2)/25))/(LN(2)/25)*Calculateur!DB167*Calculateur!DD167*VLOOKUP('Données projet'!$B$13,Paramètres!$A$1:$I$89,3,0)*0.475*44/12</f>
        <v>3.6038400505304962</v>
      </c>
      <c r="DH167" s="21">
        <f>EXP(-LN(2)/2)*DH166+(1-EXP(-LN(2)/2))/(LN(2)/2)*DB167*DE167*VLOOKUP('Données projet'!$B$13,Paramètres!$A$1:$I$89,3,0)*0.475*44/12</f>
        <v>1.2505740975068245E-14</v>
      </c>
      <c r="DI167" s="22">
        <f t="shared" si="175"/>
        <v>36.598791019760476</v>
      </c>
      <c r="DJ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7" t="e">
        <f t="shared" si="125"/>
        <v>#NUM!</v>
      </c>
      <c r="DT167" s="57">
        <f ca="1">AVERAGE(OFFSET($DS$3,0,0,'Données projet'!$E$14+1,1))-AVERAGE(OFFSET($H$3,0,0,'Données projet'!$E$14+1,1))</f>
        <v>315.23504986325418</v>
      </c>
      <c r="DU167" s="57">
        <f t="shared" si="152"/>
        <v>350.52837099886688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17.929930917700943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17.929930917700943</v>
      </c>
      <c r="EE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1.1368683772161603E-13</v>
      </c>
      <c r="EK167" s="17">
        <f>EJ167*VLOOKUP('Données projet'!$B$15,Paramètres!$A$1:$I$89,3,0)*VLOOKUP('Données projet'!$B$15,Paramètres!$A$1:$I$89,5,0)</f>
        <v>1.0995790944434703E-13</v>
      </c>
      <c r="EL167" s="13">
        <f t="shared" si="179"/>
        <v>1.6337280948049956E-12</v>
      </c>
      <c r="EM167" s="20">
        <f t="shared" si="180"/>
        <v>3.036919790734272E-12</v>
      </c>
      <c r="EN167" s="57">
        <f t="shared" si="128"/>
        <v>288.1359317301837</v>
      </c>
      <c r="EO167" s="57">
        <f ca="1">AVERAGE(OFFSET($EN$3,0,0,'Données projet'!$E$15+1,1))-AVERAGE(OFFSET($H$3,0,0,'Données projet'!$E$15+1,1))</f>
        <v>328.31200866623891</v>
      </c>
      <c r="EP167" s="57">
        <f t="shared" si="154"/>
        <v>195.52650232917446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107.08607658006589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107.08607658006589</v>
      </c>
      <c r="EZ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7" t="e">
        <f t="shared" si="131"/>
        <v>#NUM!</v>
      </c>
      <c r="FJ167" s="57">
        <f ca="1">AVERAGE(OFFSET($FI$3,0,0,'Données projet'!$E$16+1,1))-AVERAGE(OFFSET($H$3,0,0,'Données projet'!$E$16+1,1))</f>
        <v>142.88219003619457</v>
      </c>
      <c r="FK167" s="57">
        <f t="shared" si="156"/>
        <v>288.69704547625088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3.4556119053516325</v>
      </c>
      <c r="FR167" s="21">
        <f>EXP(-LN(2)/25)*FR166+(1-EXP(-LN(2)/25))/(LN(2)/25)*Calculateur!FM167*Calculateur!FO167*VLOOKUP('Données projet'!$B$16,Paramètres!$A$1:$I$89,3,0)*0.475*44/12</f>
        <v>0.30239259469843516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3.7580045000500677</v>
      </c>
      <c r="FU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7" t="e">
        <f t="shared" si="134"/>
        <v>#N/A</v>
      </c>
      <c r="GE167" s="57" t="e">
        <f ca="1">AVERAGE(OFFSET($GD$3,0,0,'Données projet'!$E$17+1,1))-AVERAGE(OFFSET($H$3,0,0,'Données projet'!$E$17+1,1))</f>
        <v>#N/A</v>
      </c>
      <c r="GF167" s="57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7" t="e">
        <f t="shared" si="137"/>
        <v>#N/A</v>
      </c>
      <c r="GZ167" s="57" t="e">
        <f ca="1">AVERAGE(OFFSET($GY$3,0,0,'Données projet'!$E$18+1,1))-AVERAGE(OFFSET($H$3,0,0,'Données projet'!$E$18+1,1))</f>
        <v>#N/A</v>
      </c>
      <c r="HA167" s="57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1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5">
        <f t="shared" si="110"/>
        <v>183.33333333333334</v>
      </c>
      <c r="I168" s="6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-3.979039320256561E-13</v>
      </c>
      <c r="O168" s="13">
        <f>N168*VLOOKUP('Données projet'!$B$9,Paramètres!$A$1:$I$89,3,0)*VLOOKUP('Données projet'!$B$9,Paramètres!$A$1:$I$89,5,0)</f>
        <v>-3.6002347769681362E-13</v>
      </c>
      <c r="P168" s="13" t="e">
        <f t="shared" si="141"/>
        <v>#NUM!</v>
      </c>
      <c r="Q168" s="20" t="e">
        <f t="shared" si="162"/>
        <v>#NUM!</v>
      </c>
      <c r="R168" s="57" t="e">
        <f t="shared" si="109"/>
        <v>#NUM!</v>
      </c>
      <c r="S168" s="57">
        <f ca="1">AVERAGE(OFFSET($R$3,0,0,'Données projet'!$E$9+1,1))-AVERAGE(OFFSET($H$3,0,0,'Données projet'!$E$9+1,1))</f>
        <v>539.63700256763173</v>
      </c>
      <c r="T168" s="57">
        <f t="shared" si="142"/>
        <v>297.32483725004136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-3.979039320256561E-13</v>
      </c>
      <c r="AJ168" s="13">
        <f>AI168*VLOOKUP('Données projet'!$B$10,Paramètres!$A$1:$I$89,3,0)*VLOOKUP('Données projet'!$B$10,Paramètres!$A$1:$I$89,5,0)</f>
        <v>-3.3519427233841274E-13</v>
      </c>
      <c r="AK168" s="13" t="e">
        <f t="shared" si="164"/>
        <v>#NUM!</v>
      </c>
      <c r="AL168" s="20" t="e">
        <f t="shared" si="165"/>
        <v>#NUM!</v>
      </c>
      <c r="AM168" s="57" t="e">
        <f t="shared" si="113"/>
        <v>#NUM!</v>
      </c>
      <c r="AN168" s="57">
        <f ca="1">AVERAGE(OFFSET($AM$3,0,0,'Données projet'!$E$10+1,1))-AVERAGE(OFFSET($H$3,0,0,'Données projet'!$E$10+1,1))</f>
        <v>508.21188526136734</v>
      </c>
      <c r="AO168" s="57">
        <f t="shared" si="144"/>
        <v>281.06176764290592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-1.064108801074326E-13</v>
      </c>
      <c r="BF168" s="13" t="e">
        <f t="shared" si="167"/>
        <v>#NUM!</v>
      </c>
      <c r="BG168" s="20" t="e">
        <f t="shared" si="168"/>
        <v>#NUM!</v>
      </c>
      <c r="BH168" s="57" t="e">
        <f t="shared" si="116"/>
        <v>#NUM!</v>
      </c>
      <c r="BI168" s="57">
        <f ca="1">AVERAGE(OFFSET($BH$3,0,0,'Données projet'!$E$11+1,1))-AVERAGE(OFFSET($H$3,0,0,'Données projet'!$E$11+1,1))</f>
        <v>449.50723280509311</v>
      </c>
      <c r="BJ168" s="57">
        <f t="shared" si="146"/>
        <v>281.26353650058275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64.331347794845442</v>
      </c>
      <c r="BQ168" s="21">
        <f>EXP(-LN(2)/25)*BQ167+(1-EXP(-LN(2)/25))/(LN(2)/25)*Calculateur!BL168*Calculateur!BN168*VLOOKUP('Données projet'!$B$11,Paramètres!$A$1:$I$89,3,0)*0.475*44/12</f>
        <v>8.6800485445817142</v>
      </c>
      <c r="BR168" s="21">
        <f>EXP(-LN(2)/2)*BR167+(1-EXP(-LN(2)/2))/(LN(2)/2)*BL168*BO168*VLOOKUP('Données projet'!$B$11,Paramètres!$A$1:$I$89,3,0)*0.475*44/12</f>
        <v>6.9681326260680618E-9</v>
      </c>
      <c r="BS168" s="22">
        <f t="shared" si="169"/>
        <v>73.011396346395287</v>
      </c>
      <c r="BT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-1.1937117960769683E-12</v>
      </c>
      <c r="BZ168" s="13">
        <f>BY168*VLOOKUP('Données projet'!$B$12,Paramètres!$A$1:$I$89,3,0)*VLOOKUP('Données projet'!$B$12,Paramètres!$A$1:$I$89,5,0)</f>
        <v>-1.1359361451468432E-12</v>
      </c>
      <c r="CA168" s="13" t="e">
        <f t="shared" si="170"/>
        <v>#NUM!</v>
      </c>
      <c r="CB168" s="20" t="e">
        <f t="shared" si="171"/>
        <v>#NUM!</v>
      </c>
      <c r="CC168" s="57" t="e">
        <f t="shared" si="119"/>
        <v>#NUM!</v>
      </c>
      <c r="CD168" s="57">
        <f ca="1">AVERAGE(OFFSET($CC$3,0,0,'Données projet'!$E$12+1,1))-AVERAGE(OFFSET($H$3,0,0,'Données projet'!$E$12+1,1))</f>
        <v>479.4551766174892</v>
      </c>
      <c r="CE168" s="57">
        <f t="shared" si="148"/>
        <v>260.29028006191834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-2.2737367544323206E-13</v>
      </c>
      <c r="CU168" s="17">
        <f>CT168*VLOOKUP('Données projet'!$B$13,Paramètres!$A$1:$I$89,3,0)*VLOOKUP('Données projet'!$B$13,Paramètres!$A$1:$I$89,5,0)</f>
        <v>-1.2710188457276673E-13</v>
      </c>
      <c r="CV168" s="13" t="e">
        <f t="shared" si="173"/>
        <v>#NUM!</v>
      </c>
      <c r="CW168" s="20" t="e">
        <f t="shared" si="174"/>
        <v>#NUM!</v>
      </c>
      <c r="CX168" s="57" t="e">
        <f t="shared" si="122"/>
        <v>#NUM!</v>
      </c>
      <c r="CY168" s="57">
        <f ca="1">AVERAGE(OFFSET($CX$3,0,0,'Données projet'!$E$13+1,1))-AVERAGE(OFFSET($H$3,0,0,'Données projet'!$E$13+1,1))</f>
        <v>459.83870442974046</v>
      </c>
      <c r="CZ168" s="57">
        <f t="shared" si="150"/>
        <v>565.68976940602215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32.347940105656285</v>
      </c>
      <c r="DG168" s="21">
        <f>EXP(-LN(2)/25)*DG167+(1-EXP(-LN(2)/25))/(LN(2)/25)*Calculateur!DB168*Calculateur!DD168*VLOOKUP('Données projet'!$B$13,Paramètres!$A$1:$I$89,3,0)*0.475*44/12</f>
        <v>3.505292854831028</v>
      </c>
      <c r="DH168" s="21">
        <f>EXP(-LN(2)/2)*DH167+(1-EXP(-LN(2)/2))/(LN(2)/2)*DB168*DE168*VLOOKUP('Données projet'!$B$13,Paramètres!$A$1:$I$89,3,0)*0.475*44/12</f>
        <v>8.842894247233223E-15</v>
      </c>
      <c r="DI168" s="22">
        <f t="shared" si="175"/>
        <v>35.853232960487318</v>
      </c>
      <c r="DJ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7" t="e">
        <f t="shared" si="125"/>
        <v>#NUM!</v>
      </c>
      <c r="DT168" s="57">
        <f ca="1">AVERAGE(OFFSET($DS$3,0,0,'Données projet'!$E$14+1,1))-AVERAGE(OFFSET($H$3,0,0,'Données projet'!$E$14+1,1))</f>
        <v>315.23504986325418</v>
      </c>
      <c r="DU168" s="57">
        <f t="shared" si="152"/>
        <v>350.52837099886688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17.578335908582829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17.578335908582829</v>
      </c>
      <c r="EE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1.1368683772161603E-13</v>
      </c>
      <c r="EK168" s="17">
        <f>EJ168*VLOOKUP('Données projet'!$B$15,Paramètres!$A$1:$I$89,3,0)*VLOOKUP('Données projet'!$B$15,Paramètres!$A$1:$I$89,5,0)</f>
        <v>1.0995790944434703E-13</v>
      </c>
      <c r="EL168" s="13">
        <f t="shared" si="179"/>
        <v>1.6337280948049956E-12</v>
      </c>
      <c r="EM168" s="20">
        <f t="shared" si="180"/>
        <v>3.036919790734272E-12</v>
      </c>
      <c r="EN168" s="57">
        <f t="shared" si="128"/>
        <v>288.22609502834916</v>
      </c>
      <c r="EO168" s="57">
        <f ca="1">AVERAGE(OFFSET($EN$3,0,0,'Données projet'!$E$15+1,1))-AVERAGE(OFFSET($H$3,0,0,'Données projet'!$E$15+1,1))</f>
        <v>328.31200866623891</v>
      </c>
      <c r="EP168" s="57">
        <f t="shared" si="154"/>
        <v>195.52650232917446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104.98618393438809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104.98618393438809</v>
      </c>
      <c r="EZ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7" t="e">
        <f t="shared" si="131"/>
        <v>#NUM!</v>
      </c>
      <c r="FJ168" s="57">
        <f ca="1">AVERAGE(OFFSET($FI$3,0,0,'Données projet'!$E$16+1,1))-AVERAGE(OFFSET($H$3,0,0,'Données projet'!$E$16+1,1))</f>
        <v>142.88219003619457</v>
      </c>
      <c r="FK168" s="57">
        <f t="shared" si="156"/>
        <v>288.69704547625088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3.3878494636028296</v>
      </c>
      <c r="FR168" s="21">
        <f>EXP(-LN(2)/25)*FR167+(1-EXP(-LN(2)/25))/(LN(2)/25)*Calculateur!FM168*Calculateur!FO168*VLOOKUP('Données projet'!$B$16,Paramètres!$A$1:$I$89,3,0)*0.475*44/12</f>
        <v>0.29412365329427104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3.6819731168971006</v>
      </c>
      <c r="FU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7" t="e">
        <f t="shared" si="134"/>
        <v>#N/A</v>
      </c>
      <c r="GE168" s="57" t="e">
        <f ca="1">AVERAGE(OFFSET($GD$3,0,0,'Données projet'!$E$17+1,1))-AVERAGE(OFFSET($H$3,0,0,'Données projet'!$E$17+1,1))</f>
        <v>#N/A</v>
      </c>
      <c r="GF168" s="57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7" t="e">
        <f t="shared" si="137"/>
        <v>#N/A</v>
      </c>
      <c r="GZ168" s="57" t="e">
        <f ca="1">AVERAGE(OFFSET($GY$3,0,0,'Données projet'!$E$18+1,1))-AVERAGE(OFFSET($H$3,0,0,'Données projet'!$E$18+1,1))</f>
        <v>#N/A</v>
      </c>
      <c r="HA168" s="57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1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5">
        <f t="shared" si="110"/>
        <v>183.33333333333334</v>
      </c>
      <c r="I169" s="6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-3.979039320256561E-13</v>
      </c>
      <c r="O169" s="13">
        <f>N169*VLOOKUP('Données projet'!$B$9,Paramètres!$A$1:$I$89,3,0)*VLOOKUP('Données projet'!$B$9,Paramètres!$A$1:$I$89,5,0)</f>
        <v>-3.6002347769681362E-13</v>
      </c>
      <c r="P169" s="13" t="e">
        <f t="shared" si="141"/>
        <v>#NUM!</v>
      </c>
      <c r="Q169" s="20" t="e">
        <f t="shared" si="162"/>
        <v>#NUM!</v>
      </c>
      <c r="R169" s="57" t="e">
        <f t="shared" si="109"/>
        <v>#NUM!</v>
      </c>
      <c r="S169" s="57">
        <f ca="1">AVERAGE(OFFSET($R$3,0,0,'Données projet'!$E$9+1,1))-AVERAGE(OFFSET($H$3,0,0,'Données projet'!$E$9+1,1))</f>
        <v>539.63700256763173</v>
      </c>
      <c r="T169" s="57">
        <f t="shared" si="142"/>
        <v>297.32483725004136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-3.979039320256561E-13</v>
      </c>
      <c r="AJ169" s="13">
        <f>AI169*VLOOKUP('Données projet'!$B$10,Paramètres!$A$1:$I$89,3,0)*VLOOKUP('Données projet'!$B$10,Paramètres!$A$1:$I$89,5,0)</f>
        <v>-3.3519427233841274E-13</v>
      </c>
      <c r="AK169" s="13" t="e">
        <f t="shared" si="164"/>
        <v>#NUM!</v>
      </c>
      <c r="AL169" s="20" t="e">
        <f t="shared" si="165"/>
        <v>#NUM!</v>
      </c>
      <c r="AM169" s="57" t="e">
        <f t="shared" si="113"/>
        <v>#NUM!</v>
      </c>
      <c r="AN169" s="57">
        <f ca="1">AVERAGE(OFFSET($AM$3,0,0,'Données projet'!$E$10+1,1))-AVERAGE(OFFSET($H$3,0,0,'Données projet'!$E$10+1,1))</f>
        <v>508.21188526136734</v>
      </c>
      <c r="AO169" s="57">
        <f t="shared" si="144"/>
        <v>281.06176764290592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-1.064108801074326E-13</v>
      </c>
      <c r="BF169" s="13" t="e">
        <f t="shared" si="167"/>
        <v>#NUM!</v>
      </c>
      <c r="BG169" s="20" t="e">
        <f t="shared" si="168"/>
        <v>#NUM!</v>
      </c>
      <c r="BH169" s="57" t="e">
        <f t="shared" si="116"/>
        <v>#NUM!</v>
      </c>
      <c r="BI169" s="57">
        <f ca="1">AVERAGE(OFFSET($BH$3,0,0,'Données projet'!$E$11+1,1))-AVERAGE(OFFSET($H$3,0,0,'Données projet'!$E$11+1,1))</f>
        <v>449.50723280509311</v>
      </c>
      <c r="BJ169" s="57">
        <f t="shared" si="146"/>
        <v>281.26353650058275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63.069849302836225</v>
      </c>
      <c r="BQ169" s="21">
        <f>EXP(-LN(2)/25)*BQ168+(1-EXP(-LN(2)/25))/(LN(2)/25)*Calculateur!BL169*Calculateur!BN169*VLOOKUP('Données projet'!$B$11,Paramètres!$A$1:$I$89,3,0)*0.475*44/12</f>
        <v>8.442692160666212</v>
      </c>
      <c r="BR169" s="21">
        <f>EXP(-LN(2)/2)*BR168+(1-EXP(-LN(2)/2))/(LN(2)/2)*BL169*BO169*VLOOKUP('Données projet'!$B$11,Paramètres!$A$1:$I$89,3,0)*0.475*44/12</f>
        <v>4.9272138320999517E-9</v>
      </c>
      <c r="BS169" s="22">
        <f t="shared" si="169"/>
        <v>71.512541468429646</v>
      </c>
      <c r="BT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-1.1937117960769683E-12</v>
      </c>
      <c r="BZ169" s="13">
        <f>BY169*VLOOKUP('Données projet'!$B$12,Paramètres!$A$1:$I$89,3,0)*VLOOKUP('Données projet'!$B$12,Paramètres!$A$1:$I$89,5,0)</f>
        <v>-1.1359361451468432E-12</v>
      </c>
      <c r="CA169" s="13" t="e">
        <f t="shared" si="170"/>
        <v>#NUM!</v>
      </c>
      <c r="CB169" s="20" t="e">
        <f t="shared" si="171"/>
        <v>#NUM!</v>
      </c>
      <c r="CC169" s="57" t="e">
        <f t="shared" si="119"/>
        <v>#NUM!</v>
      </c>
      <c r="CD169" s="57">
        <f ca="1">AVERAGE(OFFSET($CC$3,0,0,'Données projet'!$E$12+1,1))-AVERAGE(OFFSET($H$3,0,0,'Données projet'!$E$12+1,1))</f>
        <v>479.4551766174892</v>
      </c>
      <c r="CE169" s="57">
        <f t="shared" si="148"/>
        <v>260.29028006191834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-2.2737367544323206E-13</v>
      </c>
      <c r="CU169" s="17">
        <f>CT169*VLOOKUP('Données projet'!$B$13,Paramètres!$A$1:$I$89,3,0)*VLOOKUP('Données projet'!$B$13,Paramètres!$A$1:$I$89,5,0)</f>
        <v>-1.2710188457276673E-13</v>
      </c>
      <c r="CV169" s="13" t="e">
        <f t="shared" si="173"/>
        <v>#NUM!</v>
      </c>
      <c r="CW169" s="20" t="e">
        <f t="shared" si="174"/>
        <v>#NUM!</v>
      </c>
      <c r="CX169" s="57" t="e">
        <f t="shared" si="122"/>
        <v>#NUM!</v>
      </c>
      <c r="CY169" s="57">
        <f ca="1">AVERAGE(OFFSET($CX$3,0,0,'Données projet'!$E$13+1,1))-AVERAGE(OFFSET($H$3,0,0,'Données projet'!$E$13+1,1))</f>
        <v>459.83870442974046</v>
      </c>
      <c r="CZ169" s="57">
        <f t="shared" si="150"/>
        <v>565.68976940602215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31.713616730479625</v>
      </c>
      <c r="DG169" s="21">
        <f>EXP(-LN(2)/25)*DG168+(1-EXP(-LN(2)/25))/(LN(2)/25)*Calculateur!DB169*Calculateur!DD169*VLOOKUP('Données projet'!$B$13,Paramètres!$A$1:$I$89,3,0)*0.475*44/12</f>
        <v>3.4094404373803338</v>
      </c>
      <c r="DH169" s="21">
        <f>EXP(-LN(2)/2)*DH168+(1-EXP(-LN(2)/2))/(LN(2)/2)*DB169*DE169*VLOOKUP('Données projet'!$B$13,Paramètres!$A$1:$I$89,3,0)*0.475*44/12</f>
        <v>6.2528704875341227E-15</v>
      </c>
      <c r="DI169" s="22">
        <f t="shared" si="175"/>
        <v>35.123057167859969</v>
      </c>
      <c r="DJ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7" t="e">
        <f t="shared" si="125"/>
        <v>#NUM!</v>
      </c>
      <c r="DT169" s="57">
        <f ca="1">AVERAGE(OFFSET($DS$3,0,0,'Données projet'!$E$14+1,1))-AVERAGE(OFFSET($H$3,0,0,'Données projet'!$E$14+1,1))</f>
        <v>315.23504986325418</v>
      </c>
      <c r="DU169" s="57">
        <f t="shared" si="152"/>
        <v>350.52837099886688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17.233635463141741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17.233635463141741</v>
      </c>
      <c r="EE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1.1368683772161603E-13</v>
      </c>
      <c r="EK169" s="17">
        <f>EJ169*VLOOKUP('Données projet'!$B$15,Paramètres!$A$1:$I$89,3,0)*VLOOKUP('Données projet'!$B$15,Paramètres!$A$1:$I$89,5,0)</f>
        <v>1.0995790944434703E-13</v>
      </c>
      <c r="EL169" s="13">
        <f t="shared" si="179"/>
        <v>1.6337280948049956E-12</v>
      </c>
      <c r="EM169" s="20">
        <f t="shared" si="180"/>
        <v>3.036919790734272E-12</v>
      </c>
      <c r="EN169" s="57">
        <f t="shared" si="128"/>
        <v>288.31469419486643</v>
      </c>
      <c r="EO169" s="57">
        <f ca="1">AVERAGE(OFFSET($EN$3,0,0,'Données projet'!$E$15+1,1))-AVERAGE(OFFSET($H$3,0,0,'Données projet'!$E$15+1,1))</f>
        <v>328.31200866623891</v>
      </c>
      <c r="EP169" s="57">
        <f t="shared" si="154"/>
        <v>195.52650232917446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102.92746890268398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102.92746890268398</v>
      </c>
      <c r="EZ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7" t="e">
        <f t="shared" si="131"/>
        <v>#NUM!</v>
      </c>
      <c r="FJ169" s="57">
        <f ca="1">AVERAGE(OFFSET($FI$3,0,0,'Données projet'!$E$16+1,1))-AVERAGE(OFFSET($H$3,0,0,'Données projet'!$E$16+1,1))</f>
        <v>142.88219003619457</v>
      </c>
      <c r="FK169" s="57">
        <f t="shared" si="156"/>
        <v>288.69704547625088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3.3214158020057125</v>
      </c>
      <c r="FR169" s="21">
        <f>EXP(-LN(2)/25)*FR168+(1-EXP(-LN(2)/25))/(LN(2)/25)*Calculateur!FM169*Calculateur!FO169*VLOOKUP('Données projet'!$B$16,Paramètres!$A$1:$I$89,3,0)*0.475*44/12</f>
        <v>0.28608082652764849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3.6074966285333612</v>
      </c>
      <c r="FU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7" t="e">
        <f t="shared" si="134"/>
        <v>#N/A</v>
      </c>
      <c r="GE169" s="57" t="e">
        <f ca="1">AVERAGE(OFFSET($GD$3,0,0,'Données projet'!$E$17+1,1))-AVERAGE(OFFSET($H$3,0,0,'Données projet'!$E$17+1,1))</f>
        <v>#N/A</v>
      </c>
      <c r="GF169" s="57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7" t="e">
        <f t="shared" si="137"/>
        <v>#N/A</v>
      </c>
      <c r="GZ169" s="57" t="e">
        <f ca="1">AVERAGE(OFFSET($GY$3,0,0,'Données projet'!$E$18+1,1))-AVERAGE(OFFSET($H$3,0,0,'Données projet'!$E$18+1,1))</f>
        <v>#N/A</v>
      </c>
      <c r="HA169" s="57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1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5">
        <f t="shared" si="110"/>
        <v>183.33333333333334</v>
      </c>
      <c r="I170" s="6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-3.979039320256561E-13</v>
      </c>
      <c r="O170" s="13">
        <f>N170*VLOOKUP('Données projet'!$B$9,Paramètres!$A$1:$I$89,3,0)*VLOOKUP('Données projet'!$B$9,Paramètres!$A$1:$I$89,5,0)</f>
        <v>-3.6002347769681362E-13</v>
      </c>
      <c r="P170" s="13" t="e">
        <f t="shared" si="141"/>
        <v>#NUM!</v>
      </c>
      <c r="Q170" s="20" t="e">
        <f t="shared" si="162"/>
        <v>#NUM!</v>
      </c>
      <c r="R170" s="57" t="e">
        <f t="shared" si="109"/>
        <v>#NUM!</v>
      </c>
      <c r="S170" s="57">
        <f ca="1">AVERAGE(OFFSET($R$3,0,0,'Données projet'!$E$9+1,1))-AVERAGE(OFFSET($H$3,0,0,'Données projet'!$E$9+1,1))</f>
        <v>539.63700256763173</v>
      </c>
      <c r="T170" s="57">
        <f t="shared" si="142"/>
        <v>297.32483725004136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-3.979039320256561E-13</v>
      </c>
      <c r="AJ170" s="13">
        <f>AI170*VLOOKUP('Données projet'!$B$10,Paramètres!$A$1:$I$89,3,0)*VLOOKUP('Données projet'!$B$10,Paramètres!$A$1:$I$89,5,0)</f>
        <v>-3.3519427233841274E-13</v>
      </c>
      <c r="AK170" s="13" t="e">
        <f t="shared" si="164"/>
        <v>#NUM!</v>
      </c>
      <c r="AL170" s="20" t="e">
        <f t="shared" si="165"/>
        <v>#NUM!</v>
      </c>
      <c r="AM170" s="57" t="e">
        <f t="shared" si="113"/>
        <v>#NUM!</v>
      </c>
      <c r="AN170" s="57">
        <f ca="1">AVERAGE(OFFSET($AM$3,0,0,'Données projet'!$E$10+1,1))-AVERAGE(OFFSET($H$3,0,0,'Données projet'!$E$10+1,1))</f>
        <v>508.21188526136734</v>
      </c>
      <c r="AO170" s="57">
        <f t="shared" si="144"/>
        <v>281.06176764290592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-1.064108801074326E-13</v>
      </c>
      <c r="BF170" s="13" t="e">
        <f t="shared" si="167"/>
        <v>#NUM!</v>
      </c>
      <c r="BG170" s="20" t="e">
        <f t="shared" si="168"/>
        <v>#NUM!</v>
      </c>
      <c r="BH170" s="57" t="e">
        <f t="shared" si="116"/>
        <v>#NUM!</v>
      </c>
      <c r="BI170" s="57">
        <f ca="1">AVERAGE(OFFSET($BH$3,0,0,'Données projet'!$E$11+1,1))-AVERAGE(OFFSET($H$3,0,0,'Données projet'!$E$11+1,1))</f>
        <v>449.50723280509311</v>
      </c>
      <c r="BJ170" s="57">
        <f t="shared" si="146"/>
        <v>281.26353650058275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61.833088026817201</v>
      </c>
      <c r="BQ170" s="21">
        <f>EXP(-LN(2)/25)*BQ169+(1-EXP(-LN(2)/25))/(LN(2)/25)*Calculateur!BL170*Calculateur!BN170*VLOOKUP('Données projet'!$B$11,Paramètres!$A$1:$I$89,3,0)*0.475*44/12</f>
        <v>8.2118262995509106</v>
      </c>
      <c r="BR170" s="21">
        <f>EXP(-LN(2)/2)*BR169+(1-EXP(-LN(2)/2))/(LN(2)/2)*BL170*BO170*VLOOKUP('Données projet'!$B$11,Paramètres!$A$1:$I$89,3,0)*0.475*44/12</f>
        <v>3.4840663130340309E-9</v>
      </c>
      <c r="BS170" s="22">
        <f t="shared" si="169"/>
        <v>70.044914329852176</v>
      </c>
      <c r="BT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-1.1937117960769683E-12</v>
      </c>
      <c r="BZ170" s="13">
        <f>BY170*VLOOKUP('Données projet'!$B$12,Paramètres!$A$1:$I$89,3,0)*VLOOKUP('Données projet'!$B$12,Paramètres!$A$1:$I$89,5,0)</f>
        <v>-1.1359361451468432E-12</v>
      </c>
      <c r="CA170" s="13" t="e">
        <f t="shared" si="170"/>
        <v>#NUM!</v>
      </c>
      <c r="CB170" s="20" t="e">
        <f t="shared" si="171"/>
        <v>#NUM!</v>
      </c>
      <c r="CC170" s="57" t="e">
        <f t="shared" si="119"/>
        <v>#NUM!</v>
      </c>
      <c r="CD170" s="57">
        <f ca="1">AVERAGE(OFFSET($CC$3,0,0,'Données projet'!$E$12+1,1))-AVERAGE(OFFSET($H$3,0,0,'Données projet'!$E$12+1,1))</f>
        <v>479.4551766174892</v>
      </c>
      <c r="CE170" s="57">
        <f t="shared" si="148"/>
        <v>260.29028006191834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-2.2737367544323206E-13</v>
      </c>
      <c r="CU170" s="17">
        <f>CT170*VLOOKUP('Données projet'!$B$13,Paramètres!$A$1:$I$89,3,0)*VLOOKUP('Données projet'!$B$13,Paramètres!$A$1:$I$89,5,0)</f>
        <v>-1.2710188457276673E-13</v>
      </c>
      <c r="CV170" s="13" t="e">
        <f t="shared" si="173"/>
        <v>#NUM!</v>
      </c>
      <c r="CW170" s="20" t="e">
        <f t="shared" si="174"/>
        <v>#NUM!</v>
      </c>
      <c r="CX170" s="57" t="e">
        <f t="shared" si="122"/>
        <v>#NUM!</v>
      </c>
      <c r="CY170" s="57">
        <f ca="1">AVERAGE(OFFSET($CX$3,0,0,'Données projet'!$E$13+1,1))-AVERAGE(OFFSET($H$3,0,0,'Données projet'!$E$13+1,1))</f>
        <v>459.83870442974046</v>
      </c>
      <c r="CZ170" s="57">
        <f t="shared" si="150"/>
        <v>565.68976940602215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31.091732049791123</v>
      </c>
      <c r="DG170" s="21">
        <f>EXP(-LN(2)/25)*DG169+(1-EXP(-LN(2)/25))/(LN(2)/25)*Calculateur!DB170*Calculateur!DD170*VLOOKUP('Données projet'!$B$13,Paramètres!$A$1:$I$89,3,0)*0.475*44/12</f>
        <v>3.3162091093254884</v>
      </c>
      <c r="DH170" s="21">
        <f>EXP(-LN(2)/2)*DH169+(1-EXP(-LN(2)/2))/(LN(2)/2)*DB170*DE170*VLOOKUP('Données projet'!$B$13,Paramètres!$A$1:$I$89,3,0)*0.475*44/12</f>
        <v>4.4214471236166115E-15</v>
      </c>
      <c r="DI170" s="22">
        <f t="shared" si="175"/>
        <v>34.407941159116618</v>
      </c>
      <c r="DJ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7" t="e">
        <f t="shared" si="125"/>
        <v>#NUM!</v>
      </c>
      <c r="DT170" s="57">
        <f ca="1">AVERAGE(OFFSET($DS$3,0,0,'Données projet'!$E$14+1,1))-AVERAGE(OFFSET($H$3,0,0,'Données projet'!$E$14+1,1))</f>
        <v>315.23504986325418</v>
      </c>
      <c r="DU170" s="57">
        <f t="shared" si="152"/>
        <v>350.52837099886688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16.895694383189241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16.895694383189241</v>
      </c>
      <c r="EE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1.1368683772161603E-13</v>
      </c>
      <c r="EK170" s="17">
        <f>EJ170*VLOOKUP('Données projet'!$B$15,Paramètres!$A$1:$I$89,3,0)*VLOOKUP('Données projet'!$B$15,Paramètres!$A$1:$I$89,5,0)</f>
        <v>1.0995790944434703E-13</v>
      </c>
      <c r="EL170" s="13">
        <f t="shared" si="179"/>
        <v>1.6337280948049956E-12</v>
      </c>
      <c r="EM170" s="20">
        <f t="shared" si="180"/>
        <v>3.036919790734272E-12</v>
      </c>
      <c r="EN170" s="57">
        <f t="shared" si="128"/>
        <v>288.40175636392263</v>
      </c>
      <c r="EO170" s="57">
        <f ca="1">AVERAGE(OFFSET($EN$3,0,0,'Données projet'!$E$15+1,1))-AVERAGE(OFFSET($H$3,0,0,'Données projet'!$E$15+1,1))</f>
        <v>328.31200866623891</v>
      </c>
      <c r="EP170" s="57">
        <f t="shared" si="154"/>
        <v>195.52650232917446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100.90912401705941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100.90912401705941</v>
      </c>
      <c r="EZ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7" t="e">
        <f t="shared" si="131"/>
        <v>#NUM!</v>
      </c>
      <c r="FJ170" s="57">
        <f ca="1">AVERAGE(OFFSET($FI$3,0,0,'Données projet'!$E$16+1,1))-AVERAGE(OFFSET($H$3,0,0,'Données projet'!$E$16+1,1))</f>
        <v>142.88219003619457</v>
      </c>
      <c r="FK170" s="57">
        <f t="shared" si="156"/>
        <v>288.69704547625088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3.2562848639919824</v>
      </c>
      <c r="FR170" s="21">
        <f>EXP(-LN(2)/25)*FR169+(1-EXP(-LN(2)/25))/(LN(2)/25)*Calculateur!FM170*Calculateur!FO170*VLOOKUP('Données projet'!$B$16,Paramètres!$A$1:$I$89,3,0)*0.475*44/12</f>
        <v>0.27825793128191312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3.5345427952738957</v>
      </c>
      <c r="FU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7" t="e">
        <f t="shared" si="134"/>
        <v>#N/A</v>
      </c>
      <c r="GE170" s="57" t="e">
        <f ca="1">AVERAGE(OFFSET($GD$3,0,0,'Données projet'!$E$17+1,1))-AVERAGE(OFFSET($H$3,0,0,'Données projet'!$E$17+1,1))</f>
        <v>#N/A</v>
      </c>
      <c r="GF170" s="57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7" t="e">
        <f t="shared" si="137"/>
        <v>#N/A</v>
      </c>
      <c r="GZ170" s="57" t="e">
        <f ca="1">AVERAGE(OFFSET($GY$3,0,0,'Données projet'!$E$18+1,1))-AVERAGE(OFFSET($H$3,0,0,'Données projet'!$E$18+1,1))</f>
        <v>#N/A</v>
      </c>
      <c r="HA170" s="57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1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5">
        <f t="shared" si="110"/>
        <v>183.33333333333334</v>
      </c>
      <c r="I171" s="6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-3.979039320256561E-13</v>
      </c>
      <c r="O171" s="13">
        <f>N171*VLOOKUP('Données projet'!$B$9,Paramètres!$A$1:$I$89,3,0)*VLOOKUP('Données projet'!$B$9,Paramètres!$A$1:$I$89,5,0)</f>
        <v>-3.6002347769681362E-13</v>
      </c>
      <c r="P171" s="13" t="e">
        <f t="shared" si="141"/>
        <v>#NUM!</v>
      </c>
      <c r="Q171" s="20" t="e">
        <f t="shared" si="162"/>
        <v>#NUM!</v>
      </c>
      <c r="R171" s="57" t="e">
        <f t="shared" si="109"/>
        <v>#NUM!</v>
      </c>
      <c r="S171" s="57">
        <f ca="1">AVERAGE(OFFSET($R$3,0,0,'Données projet'!$E$9+1,1))-AVERAGE(OFFSET($H$3,0,0,'Données projet'!$E$9+1,1))</f>
        <v>539.63700256763173</v>
      </c>
      <c r="T171" s="57">
        <f t="shared" si="142"/>
        <v>297.32483725004136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-3.979039320256561E-13</v>
      </c>
      <c r="AJ171" s="13">
        <f>AI171*VLOOKUP('Données projet'!$B$10,Paramètres!$A$1:$I$89,3,0)*VLOOKUP('Données projet'!$B$10,Paramètres!$A$1:$I$89,5,0)</f>
        <v>-3.3519427233841274E-13</v>
      </c>
      <c r="AK171" s="13" t="e">
        <f t="shared" si="164"/>
        <v>#NUM!</v>
      </c>
      <c r="AL171" s="20" t="e">
        <f t="shared" si="165"/>
        <v>#NUM!</v>
      </c>
      <c r="AM171" s="57" t="e">
        <f t="shared" si="113"/>
        <v>#NUM!</v>
      </c>
      <c r="AN171" s="57">
        <f ca="1">AVERAGE(OFFSET($AM$3,0,0,'Données projet'!$E$10+1,1))-AVERAGE(OFFSET($H$3,0,0,'Données projet'!$E$10+1,1))</f>
        <v>508.21188526136734</v>
      </c>
      <c r="AO171" s="57">
        <f t="shared" si="144"/>
        <v>281.06176764290592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-1.064108801074326E-13</v>
      </c>
      <c r="BF171" s="13" t="e">
        <f t="shared" si="167"/>
        <v>#NUM!</v>
      </c>
      <c r="BG171" s="20" t="e">
        <f t="shared" si="168"/>
        <v>#NUM!</v>
      </c>
      <c r="BH171" s="57" t="e">
        <f t="shared" si="116"/>
        <v>#NUM!</v>
      </c>
      <c r="BI171" s="57">
        <f ca="1">AVERAGE(OFFSET($BH$3,0,0,'Données projet'!$E$11+1,1))-AVERAGE(OFFSET($H$3,0,0,'Données projet'!$E$11+1,1))</f>
        <v>449.50723280509311</v>
      </c>
      <c r="BJ171" s="57">
        <f t="shared" si="146"/>
        <v>281.26353650058275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60.620578885071019</v>
      </c>
      <c r="BQ171" s="21">
        <f>EXP(-LN(2)/25)*BQ170+(1-EXP(-LN(2)/25))/(LN(2)/25)*Calculateur!BL171*Calculateur!BN171*VLOOKUP('Données projet'!$B$11,Paramètres!$A$1:$I$89,3,0)*0.475*44/12</f>
        <v>7.9872734775485146</v>
      </c>
      <c r="BR171" s="21">
        <f>EXP(-LN(2)/2)*BR170+(1-EXP(-LN(2)/2))/(LN(2)/2)*BL171*BO171*VLOOKUP('Données projet'!$B$11,Paramètres!$A$1:$I$89,3,0)*0.475*44/12</f>
        <v>2.4636069160499759E-9</v>
      </c>
      <c r="BS171" s="22">
        <f t="shared" si="169"/>
        <v>68.607852365083147</v>
      </c>
      <c r="BT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-1.1937117960769683E-12</v>
      </c>
      <c r="BZ171" s="13">
        <f>BY171*VLOOKUP('Données projet'!$B$12,Paramètres!$A$1:$I$89,3,0)*VLOOKUP('Données projet'!$B$12,Paramètres!$A$1:$I$89,5,0)</f>
        <v>-1.1359361451468432E-12</v>
      </c>
      <c r="CA171" s="13" t="e">
        <f t="shared" si="170"/>
        <v>#NUM!</v>
      </c>
      <c r="CB171" s="20" t="e">
        <f t="shared" si="171"/>
        <v>#NUM!</v>
      </c>
      <c r="CC171" s="57" t="e">
        <f t="shared" si="119"/>
        <v>#NUM!</v>
      </c>
      <c r="CD171" s="57">
        <f ca="1">AVERAGE(OFFSET($CC$3,0,0,'Données projet'!$E$12+1,1))-AVERAGE(OFFSET($H$3,0,0,'Données projet'!$E$12+1,1))</f>
        <v>479.4551766174892</v>
      </c>
      <c r="CE171" s="57">
        <f t="shared" si="148"/>
        <v>260.29028006191834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-2.2737367544323206E-13</v>
      </c>
      <c r="CU171" s="17">
        <f>CT171*VLOOKUP('Données projet'!$B$13,Paramètres!$A$1:$I$89,3,0)*VLOOKUP('Données projet'!$B$13,Paramètres!$A$1:$I$89,5,0)</f>
        <v>-1.2710188457276673E-13</v>
      </c>
      <c r="CV171" s="13" t="e">
        <f t="shared" si="173"/>
        <v>#NUM!</v>
      </c>
      <c r="CW171" s="20" t="e">
        <f t="shared" si="174"/>
        <v>#NUM!</v>
      </c>
      <c r="CX171" s="57" t="e">
        <f t="shared" si="122"/>
        <v>#NUM!</v>
      </c>
      <c r="CY171" s="57">
        <f ca="1">AVERAGE(OFFSET($CX$3,0,0,'Données projet'!$E$13+1,1))-AVERAGE(OFFSET($H$3,0,0,'Données projet'!$E$13+1,1))</f>
        <v>459.83870442974046</v>
      </c>
      <c r="CZ171" s="57">
        <f t="shared" si="150"/>
        <v>565.68976940602215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30.482042148378721</v>
      </c>
      <c r="DG171" s="21">
        <f>EXP(-LN(2)/25)*DG170+(1-EXP(-LN(2)/25))/(LN(2)/25)*Calculateur!DB171*Calculateur!DD171*VLOOKUP('Données projet'!$B$13,Paramètres!$A$1:$I$89,3,0)*0.475*44/12</f>
        <v>3.225527196839125</v>
      </c>
      <c r="DH171" s="21">
        <f>EXP(-LN(2)/2)*DH170+(1-EXP(-LN(2)/2))/(LN(2)/2)*DB171*DE171*VLOOKUP('Données projet'!$B$13,Paramètres!$A$1:$I$89,3,0)*0.475*44/12</f>
        <v>3.1264352437670613E-15</v>
      </c>
      <c r="DI171" s="22">
        <f t="shared" si="175"/>
        <v>33.707569345217848</v>
      </c>
      <c r="DJ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7" t="e">
        <f t="shared" si="125"/>
        <v>#NUM!</v>
      </c>
      <c r="DT171" s="57">
        <f ca="1">AVERAGE(OFFSET($DS$3,0,0,'Données projet'!$E$14+1,1))-AVERAGE(OFFSET($H$3,0,0,'Données projet'!$E$14+1,1))</f>
        <v>315.23504986325418</v>
      </c>
      <c r="DU171" s="57">
        <f t="shared" si="152"/>
        <v>350.52837099886688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16.564380121690903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16.564380121690903</v>
      </c>
      <c r="EE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1.1368683772161603E-13</v>
      </c>
      <c r="EK171" s="17">
        <f>EJ171*VLOOKUP('Données projet'!$B$15,Paramètres!$A$1:$I$89,3,0)*VLOOKUP('Données projet'!$B$15,Paramètres!$A$1:$I$89,5,0)</f>
        <v>1.0995790944434703E-13</v>
      </c>
      <c r="EL171" s="13">
        <f t="shared" si="179"/>
        <v>1.6337280948049956E-12</v>
      </c>
      <c r="EM171" s="20">
        <f t="shared" si="180"/>
        <v>3.036919790734272E-12</v>
      </c>
      <c r="EN171" s="57">
        <f t="shared" si="128"/>
        <v>288.48730819898753</v>
      </c>
      <c r="EO171" s="57">
        <f ca="1">AVERAGE(OFFSET($EN$3,0,0,'Données projet'!$E$15+1,1))-AVERAGE(OFFSET($H$3,0,0,'Données projet'!$E$15+1,1))</f>
        <v>328.31200866623891</v>
      </c>
      <c r="EP171" s="57">
        <f t="shared" si="154"/>
        <v>195.52650232917446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98.930357643573117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98.930357643573117</v>
      </c>
      <c r="EZ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7" t="e">
        <f t="shared" si="131"/>
        <v>#NUM!</v>
      </c>
      <c r="FJ171" s="57">
        <f ca="1">AVERAGE(OFFSET($FI$3,0,0,'Données projet'!$E$16+1,1))-AVERAGE(OFFSET($H$3,0,0,'Données projet'!$E$16+1,1))</f>
        <v>142.88219003619457</v>
      </c>
      <c r="FK171" s="57">
        <f t="shared" si="156"/>
        <v>288.69704547625088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3.1924311039467517</v>
      </c>
      <c r="FR171" s="21">
        <f>EXP(-LN(2)/25)*FR170+(1-EXP(-LN(2)/25))/(LN(2)/25)*Calculateur!FM171*Calculateur!FO171*VLOOKUP('Données projet'!$B$16,Paramètres!$A$1:$I$89,3,0)*0.475*44/12</f>
        <v>0.27064895351806056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3.4630800574648122</v>
      </c>
      <c r="FU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7" t="e">
        <f t="shared" si="134"/>
        <v>#N/A</v>
      </c>
      <c r="GE171" s="57" t="e">
        <f ca="1">AVERAGE(OFFSET($GD$3,0,0,'Données projet'!$E$17+1,1))-AVERAGE(OFFSET($H$3,0,0,'Données projet'!$E$17+1,1))</f>
        <v>#N/A</v>
      </c>
      <c r="GF171" s="57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7" t="e">
        <f t="shared" si="137"/>
        <v>#N/A</v>
      </c>
      <c r="GZ171" s="57" t="e">
        <f ca="1">AVERAGE(OFFSET($GY$3,0,0,'Données projet'!$E$18+1,1))-AVERAGE(OFFSET($H$3,0,0,'Données projet'!$E$18+1,1))</f>
        <v>#N/A</v>
      </c>
      <c r="HA171" s="57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1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5">
        <f t="shared" si="110"/>
        <v>183.33333333333334</v>
      </c>
      <c r="I172" s="6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-3.979039320256561E-13</v>
      </c>
      <c r="O172" s="13">
        <f>N172*VLOOKUP('Données projet'!$B$9,Paramètres!$A$1:$I$89,3,0)*VLOOKUP('Données projet'!$B$9,Paramètres!$A$1:$I$89,5,0)</f>
        <v>-3.6002347769681362E-13</v>
      </c>
      <c r="P172" s="13" t="e">
        <f t="shared" si="141"/>
        <v>#NUM!</v>
      </c>
      <c r="Q172" s="20" t="e">
        <f t="shared" si="162"/>
        <v>#NUM!</v>
      </c>
      <c r="R172" s="57" t="e">
        <f t="shared" si="109"/>
        <v>#NUM!</v>
      </c>
      <c r="S172" s="57">
        <f ca="1">AVERAGE(OFFSET($R$3,0,0,'Données projet'!$E$9+1,1))-AVERAGE(OFFSET($H$3,0,0,'Données projet'!$E$9+1,1))</f>
        <v>539.63700256763173</v>
      </c>
      <c r="T172" s="57">
        <f t="shared" si="142"/>
        <v>297.32483725004136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-3.979039320256561E-13</v>
      </c>
      <c r="AJ172" s="13">
        <f>AI172*VLOOKUP('Données projet'!$B$10,Paramètres!$A$1:$I$89,3,0)*VLOOKUP('Données projet'!$B$10,Paramètres!$A$1:$I$89,5,0)</f>
        <v>-3.3519427233841274E-13</v>
      </c>
      <c r="AK172" s="13" t="e">
        <f t="shared" si="164"/>
        <v>#NUM!</v>
      </c>
      <c r="AL172" s="20" t="e">
        <f t="shared" si="165"/>
        <v>#NUM!</v>
      </c>
      <c r="AM172" s="57" t="e">
        <f t="shared" si="113"/>
        <v>#NUM!</v>
      </c>
      <c r="AN172" s="57">
        <f ca="1">AVERAGE(OFFSET($AM$3,0,0,'Données projet'!$E$10+1,1))-AVERAGE(OFFSET($H$3,0,0,'Données projet'!$E$10+1,1))</f>
        <v>508.21188526136734</v>
      </c>
      <c r="AO172" s="57">
        <f t="shared" si="144"/>
        <v>281.06176764290592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-1.064108801074326E-13</v>
      </c>
      <c r="BF172" s="13" t="e">
        <f t="shared" si="167"/>
        <v>#NUM!</v>
      </c>
      <c r="BG172" s="20" t="e">
        <f t="shared" si="168"/>
        <v>#NUM!</v>
      </c>
      <c r="BH172" s="57" t="e">
        <f t="shared" si="116"/>
        <v>#NUM!</v>
      </c>
      <c r="BI172" s="57">
        <f ca="1">AVERAGE(OFFSET($BH$3,0,0,'Données projet'!$E$11+1,1))-AVERAGE(OFFSET($H$3,0,0,'Données projet'!$E$11+1,1))</f>
        <v>449.50723280509311</v>
      </c>
      <c r="BJ172" s="57">
        <f t="shared" si="146"/>
        <v>281.26353650058275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59.431846308036931</v>
      </c>
      <c r="BQ172" s="21">
        <f>EXP(-LN(2)/25)*BQ171+(1-EXP(-LN(2)/25))/(LN(2)/25)*Calculateur!BL172*Calculateur!BN172*VLOOKUP('Données projet'!$B$11,Paramètres!$A$1:$I$89,3,0)*0.475*44/12</f>
        <v>7.7688610642724933</v>
      </c>
      <c r="BR172" s="21">
        <f>EXP(-LN(2)/2)*BR171+(1-EXP(-LN(2)/2))/(LN(2)/2)*BL172*BO172*VLOOKUP('Données projet'!$B$11,Paramètres!$A$1:$I$89,3,0)*0.475*44/12</f>
        <v>1.7420331565170155E-9</v>
      </c>
      <c r="BS172" s="22">
        <f t="shared" si="169"/>
        <v>67.200707374051461</v>
      </c>
      <c r="BT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-1.1937117960769683E-12</v>
      </c>
      <c r="BZ172" s="13">
        <f>BY172*VLOOKUP('Données projet'!$B$12,Paramètres!$A$1:$I$89,3,0)*VLOOKUP('Données projet'!$B$12,Paramètres!$A$1:$I$89,5,0)</f>
        <v>-1.1359361451468432E-12</v>
      </c>
      <c r="CA172" s="13" t="e">
        <f t="shared" si="170"/>
        <v>#NUM!</v>
      </c>
      <c r="CB172" s="20" t="e">
        <f t="shared" si="171"/>
        <v>#NUM!</v>
      </c>
      <c r="CC172" s="57" t="e">
        <f t="shared" si="119"/>
        <v>#NUM!</v>
      </c>
      <c r="CD172" s="57">
        <f ca="1">AVERAGE(OFFSET($CC$3,0,0,'Données projet'!$E$12+1,1))-AVERAGE(OFFSET($H$3,0,0,'Données projet'!$E$12+1,1))</f>
        <v>479.4551766174892</v>
      </c>
      <c r="CE172" s="57">
        <f t="shared" si="148"/>
        <v>260.29028006191834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-2.2737367544323206E-13</v>
      </c>
      <c r="CU172" s="17">
        <f>CT172*VLOOKUP('Données projet'!$B$13,Paramètres!$A$1:$I$89,3,0)*VLOOKUP('Données projet'!$B$13,Paramètres!$A$1:$I$89,5,0)</f>
        <v>-1.2710188457276673E-13</v>
      </c>
      <c r="CV172" s="13" t="e">
        <f t="shared" si="173"/>
        <v>#NUM!</v>
      </c>
      <c r="CW172" s="20" t="e">
        <f t="shared" si="174"/>
        <v>#NUM!</v>
      </c>
      <c r="CX172" s="57" t="e">
        <f t="shared" si="122"/>
        <v>#NUM!</v>
      </c>
      <c r="CY172" s="57">
        <f ca="1">AVERAGE(OFFSET($CX$3,0,0,'Données projet'!$E$13+1,1))-AVERAGE(OFFSET($H$3,0,0,'Données projet'!$E$13+1,1))</f>
        <v>459.83870442974046</v>
      </c>
      <c r="CZ172" s="57">
        <f t="shared" si="150"/>
        <v>565.68976940602215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29.884307894058896</v>
      </c>
      <c r="DG172" s="21">
        <f>EXP(-LN(2)/25)*DG171+(1-EXP(-LN(2)/25))/(LN(2)/25)*Calculateur!DB172*Calculateur!DD172*VLOOKUP('Données projet'!$B$13,Paramètres!$A$1:$I$89,3,0)*0.475*44/12</f>
        <v>3.1373249860184558</v>
      </c>
      <c r="DH172" s="21">
        <f>EXP(-LN(2)/2)*DH171+(1-EXP(-LN(2)/2))/(LN(2)/2)*DB172*DE172*VLOOKUP('Données projet'!$B$13,Paramètres!$A$1:$I$89,3,0)*0.475*44/12</f>
        <v>2.2107235618083058E-15</v>
      </c>
      <c r="DI172" s="22">
        <f t="shared" si="175"/>
        <v>33.021632880077348</v>
      </c>
      <c r="DJ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7" t="e">
        <f t="shared" si="125"/>
        <v>#NUM!</v>
      </c>
      <c r="DT172" s="57">
        <f ca="1">AVERAGE(OFFSET($DS$3,0,0,'Données projet'!$E$14+1,1))-AVERAGE(OFFSET($H$3,0,0,'Données projet'!$E$14+1,1))</f>
        <v>315.23504986325418</v>
      </c>
      <c r="DU172" s="57">
        <f t="shared" si="152"/>
        <v>350.52837099886688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16.239562730778804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16.239562730778804</v>
      </c>
      <c r="EE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1.1368683772161603E-13</v>
      </c>
      <c r="EK172" s="17">
        <f>EJ172*VLOOKUP('Données projet'!$B$15,Paramètres!$A$1:$I$89,3,0)*VLOOKUP('Données projet'!$B$15,Paramètres!$A$1:$I$89,5,0)</f>
        <v>1.0995790944434703E-13</v>
      </c>
      <c r="EL172" s="13">
        <f t="shared" si="179"/>
        <v>1.6337280948049956E-12</v>
      </c>
      <c r="EM172" s="20">
        <f t="shared" si="180"/>
        <v>3.036919790734272E-12</v>
      </c>
      <c r="EN172" s="57">
        <f t="shared" si="128"/>
        <v>288.57137590097943</v>
      </c>
      <c r="EO172" s="57">
        <f ca="1">AVERAGE(OFFSET($EN$3,0,0,'Données projet'!$E$15+1,1))-AVERAGE(OFFSET($H$3,0,0,'Données projet'!$E$15+1,1))</f>
        <v>328.31200866623891</v>
      </c>
      <c r="EP172" s="57">
        <f t="shared" si="154"/>
        <v>195.52650232917446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96.990393671742581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96.990393671742581</v>
      </c>
      <c r="EZ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7" t="e">
        <f t="shared" si="131"/>
        <v>#NUM!</v>
      </c>
      <c r="FJ172" s="57">
        <f ca="1">AVERAGE(OFFSET($FI$3,0,0,'Données projet'!$E$16+1,1))-AVERAGE(OFFSET($H$3,0,0,'Données projet'!$E$16+1,1))</f>
        <v>142.88219003619457</v>
      </c>
      <c r="FK172" s="57">
        <f t="shared" si="156"/>
        <v>288.69704547625088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3.1298294771890602</v>
      </c>
      <c r="FR172" s="21">
        <f>EXP(-LN(2)/25)*FR171+(1-EXP(-LN(2)/25))/(LN(2)/25)*Calculateur!FM172*Calculateur!FO172*VLOOKUP('Données projet'!$B$16,Paramètres!$A$1:$I$89,3,0)*0.475*44/12</f>
        <v>0.26324804365129933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3.3930775208403596</v>
      </c>
      <c r="FU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7" t="e">
        <f t="shared" si="134"/>
        <v>#N/A</v>
      </c>
      <c r="GE172" s="57" t="e">
        <f ca="1">AVERAGE(OFFSET($GD$3,0,0,'Données projet'!$E$17+1,1))-AVERAGE(OFFSET($H$3,0,0,'Données projet'!$E$17+1,1))</f>
        <v>#N/A</v>
      </c>
      <c r="GF172" s="57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7" t="e">
        <f t="shared" si="137"/>
        <v>#N/A</v>
      </c>
      <c r="GZ172" s="57" t="e">
        <f ca="1">AVERAGE(OFFSET($GY$3,0,0,'Données projet'!$E$18+1,1))-AVERAGE(OFFSET($H$3,0,0,'Données projet'!$E$18+1,1))</f>
        <v>#N/A</v>
      </c>
      <c r="HA172" s="57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1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5">
        <f t="shared" si="110"/>
        <v>183.33333333333334</v>
      </c>
      <c r="I173" s="6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-3.979039320256561E-13</v>
      </c>
      <c r="O173" s="13">
        <f>N173*VLOOKUP('Données projet'!$B$9,Paramètres!$A$1:$I$89,3,0)*VLOOKUP('Données projet'!$B$9,Paramètres!$A$1:$I$89,5,0)</f>
        <v>-3.6002347769681362E-13</v>
      </c>
      <c r="P173" s="13" t="e">
        <f t="shared" si="141"/>
        <v>#NUM!</v>
      </c>
      <c r="Q173" s="20" t="e">
        <f t="shared" si="162"/>
        <v>#NUM!</v>
      </c>
      <c r="R173" s="57" t="e">
        <f t="shared" si="109"/>
        <v>#NUM!</v>
      </c>
      <c r="S173" s="57">
        <f ca="1">AVERAGE(OFFSET($R$3,0,0,'Données projet'!$E$9+1,1))-AVERAGE(OFFSET($H$3,0,0,'Données projet'!$E$9+1,1))</f>
        <v>539.63700256763173</v>
      </c>
      <c r="T173" s="57">
        <f t="shared" si="142"/>
        <v>297.32483725004136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-3.979039320256561E-13</v>
      </c>
      <c r="AJ173" s="13">
        <f>AI173*VLOOKUP('Données projet'!$B$10,Paramètres!$A$1:$I$89,3,0)*VLOOKUP('Données projet'!$B$10,Paramètres!$A$1:$I$89,5,0)</f>
        <v>-3.3519427233841274E-13</v>
      </c>
      <c r="AK173" s="13" t="e">
        <f t="shared" si="164"/>
        <v>#NUM!</v>
      </c>
      <c r="AL173" s="20" t="e">
        <f t="shared" si="165"/>
        <v>#NUM!</v>
      </c>
      <c r="AM173" s="57" t="e">
        <f t="shared" si="113"/>
        <v>#NUM!</v>
      </c>
      <c r="AN173" s="57">
        <f ca="1">AVERAGE(OFFSET($AM$3,0,0,'Données projet'!$E$10+1,1))-AVERAGE(OFFSET($H$3,0,0,'Données projet'!$E$10+1,1))</f>
        <v>508.21188526136734</v>
      </c>
      <c r="AO173" s="57">
        <f t="shared" si="144"/>
        <v>281.06176764290592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-1.064108801074326E-13</v>
      </c>
      <c r="BF173" s="13" t="e">
        <f t="shared" si="167"/>
        <v>#NUM!</v>
      </c>
      <c r="BG173" s="20" t="e">
        <f t="shared" si="168"/>
        <v>#NUM!</v>
      </c>
      <c r="BH173" s="57" t="e">
        <f t="shared" si="116"/>
        <v>#NUM!</v>
      </c>
      <c r="BI173" s="57">
        <f ca="1">AVERAGE(OFFSET($BH$3,0,0,'Données projet'!$E$11+1,1))-AVERAGE(OFFSET($H$3,0,0,'Données projet'!$E$11+1,1))</f>
        <v>449.50723280509311</v>
      </c>
      <c r="BJ173" s="57">
        <f t="shared" si="146"/>
        <v>281.26353650058275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58.266424051783197</v>
      </c>
      <c r="BQ173" s="21">
        <f>EXP(-LN(2)/25)*BQ172+(1-EXP(-LN(2)/25))/(LN(2)/25)*Calculateur!BL173*Calculateur!BN173*VLOOKUP('Données projet'!$B$11,Paramètres!$A$1:$I$89,3,0)*0.475*44/12</f>
        <v>7.5564211499233149</v>
      </c>
      <c r="BR173" s="21">
        <f>EXP(-LN(2)/2)*BR172+(1-EXP(-LN(2)/2))/(LN(2)/2)*BL173*BO173*VLOOKUP('Données projet'!$B$11,Paramètres!$A$1:$I$89,3,0)*0.475*44/12</f>
        <v>1.2318034580249879E-9</v>
      </c>
      <c r="BS173" s="22">
        <f t="shared" si="169"/>
        <v>65.822845202938311</v>
      </c>
      <c r="BT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-1.1937117960769683E-12</v>
      </c>
      <c r="BZ173" s="13">
        <f>BY173*VLOOKUP('Données projet'!$B$12,Paramètres!$A$1:$I$89,3,0)*VLOOKUP('Données projet'!$B$12,Paramètres!$A$1:$I$89,5,0)</f>
        <v>-1.1359361451468432E-12</v>
      </c>
      <c r="CA173" s="13" t="e">
        <f t="shared" si="170"/>
        <v>#NUM!</v>
      </c>
      <c r="CB173" s="20" t="e">
        <f t="shared" si="171"/>
        <v>#NUM!</v>
      </c>
      <c r="CC173" s="57" t="e">
        <f t="shared" si="119"/>
        <v>#NUM!</v>
      </c>
      <c r="CD173" s="57">
        <f ca="1">AVERAGE(OFFSET($CC$3,0,0,'Données projet'!$E$12+1,1))-AVERAGE(OFFSET($H$3,0,0,'Données projet'!$E$12+1,1))</f>
        <v>479.4551766174892</v>
      </c>
      <c r="CE173" s="57">
        <f t="shared" si="148"/>
        <v>260.29028006191834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-2.2737367544323206E-13</v>
      </c>
      <c r="CU173" s="17">
        <f>CT173*VLOOKUP('Données projet'!$B$13,Paramètres!$A$1:$I$89,3,0)*VLOOKUP('Données projet'!$B$13,Paramètres!$A$1:$I$89,5,0)</f>
        <v>-1.2710188457276673E-13</v>
      </c>
      <c r="CV173" s="13" t="e">
        <f t="shared" si="173"/>
        <v>#NUM!</v>
      </c>
      <c r="CW173" s="20" t="e">
        <f t="shared" si="174"/>
        <v>#NUM!</v>
      </c>
      <c r="CX173" s="57" t="e">
        <f t="shared" si="122"/>
        <v>#NUM!</v>
      </c>
      <c r="CY173" s="57">
        <f ca="1">AVERAGE(OFFSET($CX$3,0,0,'Données projet'!$E$13+1,1))-AVERAGE(OFFSET($H$3,0,0,'Données projet'!$E$13+1,1))</f>
        <v>459.83870442974046</v>
      </c>
      <c r="CZ173" s="57">
        <f t="shared" si="150"/>
        <v>565.68976940602215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29.298294843884388</v>
      </c>
      <c r="DG173" s="21">
        <f>EXP(-LN(2)/25)*DG172+(1-EXP(-LN(2)/25))/(LN(2)/25)*Calculateur!DB173*Calculateur!DD173*VLOOKUP('Données projet'!$B$13,Paramètres!$A$1:$I$89,3,0)*0.475*44/12</f>
        <v>3.0515346692910303</v>
      </c>
      <c r="DH173" s="21">
        <f>EXP(-LN(2)/2)*DH172+(1-EXP(-LN(2)/2))/(LN(2)/2)*DB173*DE173*VLOOKUP('Données projet'!$B$13,Paramètres!$A$1:$I$89,3,0)*0.475*44/12</f>
        <v>1.5632176218835307E-15</v>
      </c>
      <c r="DI173" s="22">
        <f t="shared" si="175"/>
        <v>32.349829513175422</v>
      </c>
      <c r="DJ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7" t="e">
        <f t="shared" si="125"/>
        <v>#NUM!</v>
      </c>
      <c r="DT173" s="57">
        <f ca="1">AVERAGE(OFFSET($DS$3,0,0,'Données projet'!$E$14+1,1))-AVERAGE(OFFSET($H$3,0,0,'Données projet'!$E$14+1,1))</f>
        <v>315.23504986325418</v>
      </c>
      <c r="DU173" s="57">
        <f t="shared" si="152"/>
        <v>350.52837099886688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15.921114810783445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15.921114810783445</v>
      </c>
      <c r="EE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1.1368683772161603E-13</v>
      </c>
      <c r="EK173" s="17">
        <f>EJ173*VLOOKUP('Données projet'!$B$15,Paramètres!$A$1:$I$89,3,0)*VLOOKUP('Données projet'!$B$15,Paramètres!$A$1:$I$89,5,0)</f>
        <v>1.0995790944434703E-13</v>
      </c>
      <c r="EL173" s="13">
        <f t="shared" si="179"/>
        <v>1.6337280948049956E-12</v>
      </c>
      <c r="EM173" s="20">
        <f t="shared" si="180"/>
        <v>3.036919790734272E-12</v>
      </c>
      <c r="EN173" s="57">
        <f t="shared" si="128"/>
        <v>288.6539852162889</v>
      </c>
      <c r="EO173" s="57">
        <f ca="1">AVERAGE(OFFSET($EN$3,0,0,'Données projet'!$E$15+1,1))-AVERAGE(OFFSET($H$3,0,0,'Données projet'!$E$15+1,1))</f>
        <v>328.31200866623891</v>
      </c>
      <c r="EP173" s="57">
        <f t="shared" si="154"/>
        <v>195.52650232917446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95.088471210138451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95.088471210138451</v>
      </c>
      <c r="EZ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7" t="e">
        <f t="shared" si="131"/>
        <v>#NUM!</v>
      </c>
      <c r="FJ173" s="57">
        <f ca="1">AVERAGE(OFFSET($FI$3,0,0,'Données projet'!$E$16+1,1))-AVERAGE(OFFSET($H$3,0,0,'Données projet'!$E$16+1,1))</f>
        <v>142.88219003619457</v>
      </c>
      <c r="FK173" s="57">
        <f t="shared" si="156"/>
        <v>288.69704547625088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3.0684554301488651</v>
      </c>
      <c r="FR173" s="21">
        <f>EXP(-LN(2)/25)*FR172+(1-EXP(-LN(2)/25))/(LN(2)/25)*Calculateur!FM173*Calculateur!FO173*VLOOKUP('Données projet'!$B$16,Paramètres!$A$1:$I$89,3,0)*0.475*44/12</f>
        <v>0.25604951205404158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3.3245049422029069</v>
      </c>
      <c r="FU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7" t="e">
        <f t="shared" si="134"/>
        <v>#N/A</v>
      </c>
      <c r="GE173" s="57" t="e">
        <f ca="1">AVERAGE(OFFSET($GD$3,0,0,'Données projet'!$E$17+1,1))-AVERAGE(OFFSET($H$3,0,0,'Données projet'!$E$17+1,1))</f>
        <v>#N/A</v>
      </c>
      <c r="GF173" s="57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7" t="e">
        <f t="shared" si="137"/>
        <v>#N/A</v>
      </c>
      <c r="GZ173" s="57" t="e">
        <f ca="1">AVERAGE(OFFSET($GY$3,0,0,'Données projet'!$E$18+1,1))-AVERAGE(OFFSET($H$3,0,0,'Données projet'!$E$18+1,1))</f>
        <v>#N/A</v>
      </c>
      <c r="HA173" s="57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1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5">
        <f t="shared" si="110"/>
        <v>183.33333333333334</v>
      </c>
      <c r="I174" s="6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-3.979039320256561E-13</v>
      </c>
      <c r="O174" s="13">
        <f>N174*VLOOKUP('Données projet'!$B$9,Paramètres!$A$1:$I$89,3,0)*VLOOKUP('Données projet'!$B$9,Paramètres!$A$1:$I$89,5,0)</f>
        <v>-3.6002347769681362E-13</v>
      </c>
      <c r="P174" s="13" t="e">
        <f t="shared" si="141"/>
        <v>#NUM!</v>
      </c>
      <c r="Q174" s="20" t="e">
        <f t="shared" si="162"/>
        <v>#NUM!</v>
      </c>
      <c r="R174" s="57" t="e">
        <f t="shared" si="109"/>
        <v>#NUM!</v>
      </c>
      <c r="S174" s="57">
        <f ca="1">AVERAGE(OFFSET($R$3,0,0,'Données projet'!$E$9+1,1))-AVERAGE(OFFSET($H$3,0,0,'Données projet'!$E$9+1,1))</f>
        <v>539.63700256763173</v>
      </c>
      <c r="T174" s="57">
        <f t="shared" si="142"/>
        <v>297.32483725004136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-3.979039320256561E-13</v>
      </c>
      <c r="AJ174" s="13">
        <f>AI174*VLOOKUP('Données projet'!$B$10,Paramètres!$A$1:$I$89,3,0)*VLOOKUP('Données projet'!$B$10,Paramètres!$A$1:$I$89,5,0)</f>
        <v>-3.3519427233841274E-13</v>
      </c>
      <c r="AK174" s="13" t="e">
        <f t="shared" si="164"/>
        <v>#NUM!</v>
      </c>
      <c r="AL174" s="20" t="e">
        <f t="shared" si="165"/>
        <v>#NUM!</v>
      </c>
      <c r="AM174" s="57" t="e">
        <f t="shared" si="113"/>
        <v>#NUM!</v>
      </c>
      <c r="AN174" s="57">
        <f ca="1">AVERAGE(OFFSET($AM$3,0,0,'Données projet'!$E$10+1,1))-AVERAGE(OFFSET($H$3,0,0,'Données projet'!$E$10+1,1))</f>
        <v>508.21188526136734</v>
      </c>
      <c r="AO174" s="57">
        <f t="shared" si="144"/>
        <v>281.06176764290592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-1.064108801074326E-13</v>
      </c>
      <c r="BF174" s="13" t="e">
        <f t="shared" si="167"/>
        <v>#NUM!</v>
      </c>
      <c r="BG174" s="20" t="e">
        <f t="shared" si="168"/>
        <v>#NUM!</v>
      </c>
      <c r="BH174" s="57" t="e">
        <f t="shared" si="116"/>
        <v>#NUM!</v>
      </c>
      <c r="BI174" s="57">
        <f ca="1">AVERAGE(OFFSET($BH$3,0,0,'Données projet'!$E$11+1,1))-AVERAGE(OFFSET($H$3,0,0,'Données projet'!$E$11+1,1))</f>
        <v>449.50723280509311</v>
      </c>
      <c r="BJ174" s="57">
        <f t="shared" si="146"/>
        <v>281.26353650058275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57.123855015137217</v>
      </c>
      <c r="BQ174" s="21">
        <f>EXP(-LN(2)/25)*BQ173+(1-EXP(-LN(2)/25))/(LN(2)/25)*Calculateur!BL174*Calculateur!BN174*VLOOKUP('Données projet'!$B$11,Paramètres!$A$1:$I$89,3,0)*0.475*44/12</f>
        <v>7.349790416203744</v>
      </c>
      <c r="BR174" s="21">
        <f>EXP(-LN(2)/2)*BR173+(1-EXP(-LN(2)/2))/(LN(2)/2)*BL174*BO174*VLOOKUP('Données projet'!$B$11,Paramètres!$A$1:$I$89,3,0)*0.475*44/12</f>
        <v>8.7101657825850773E-10</v>
      </c>
      <c r="BS174" s="22">
        <f t="shared" si="169"/>
        <v>64.473645432211967</v>
      </c>
      <c r="BT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-1.1937117960769683E-12</v>
      </c>
      <c r="BZ174" s="13">
        <f>BY174*VLOOKUP('Données projet'!$B$12,Paramètres!$A$1:$I$89,3,0)*VLOOKUP('Données projet'!$B$12,Paramètres!$A$1:$I$89,5,0)</f>
        <v>-1.1359361451468432E-12</v>
      </c>
      <c r="CA174" s="13" t="e">
        <f t="shared" si="170"/>
        <v>#NUM!</v>
      </c>
      <c r="CB174" s="20" t="e">
        <f t="shared" si="171"/>
        <v>#NUM!</v>
      </c>
      <c r="CC174" s="57" t="e">
        <f t="shared" si="119"/>
        <v>#NUM!</v>
      </c>
      <c r="CD174" s="57">
        <f ca="1">AVERAGE(OFFSET($CC$3,0,0,'Données projet'!$E$12+1,1))-AVERAGE(OFFSET($H$3,0,0,'Données projet'!$E$12+1,1))</f>
        <v>479.4551766174892</v>
      </c>
      <c r="CE174" s="57">
        <f t="shared" si="148"/>
        <v>260.29028006191834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-2.2737367544323206E-13</v>
      </c>
      <c r="CU174" s="17">
        <f>CT174*VLOOKUP('Données projet'!$B$13,Paramètres!$A$1:$I$89,3,0)*VLOOKUP('Données projet'!$B$13,Paramètres!$A$1:$I$89,5,0)</f>
        <v>-1.2710188457276673E-13</v>
      </c>
      <c r="CV174" s="13" t="e">
        <f t="shared" si="173"/>
        <v>#NUM!</v>
      </c>
      <c r="CW174" s="20" t="e">
        <f t="shared" si="174"/>
        <v>#NUM!</v>
      </c>
      <c r="CX174" s="57" t="e">
        <f t="shared" si="122"/>
        <v>#NUM!</v>
      </c>
      <c r="CY174" s="57">
        <f ca="1">AVERAGE(OFFSET($CX$3,0,0,'Données projet'!$E$13+1,1))-AVERAGE(OFFSET($H$3,0,0,'Données projet'!$E$13+1,1))</f>
        <v>459.83870442974046</v>
      </c>
      <c r="CZ174" s="57">
        <f t="shared" si="150"/>
        <v>565.68976940602215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28.723773152191136</v>
      </c>
      <c r="DG174" s="21">
        <f>EXP(-LN(2)/25)*DG173+(1-EXP(-LN(2)/25))/(LN(2)/25)*Calculateur!DB174*Calculateur!DD174*VLOOKUP('Données projet'!$B$13,Paramètres!$A$1:$I$89,3,0)*0.475*44/12</f>
        <v>2.9680902932860334</v>
      </c>
      <c r="DH174" s="21">
        <f>EXP(-LN(2)/2)*DH173+(1-EXP(-LN(2)/2))/(LN(2)/2)*DB174*DE174*VLOOKUP('Données projet'!$B$13,Paramètres!$A$1:$I$89,3,0)*0.475*44/12</f>
        <v>1.1053617809041529E-15</v>
      </c>
      <c r="DI174" s="22">
        <f t="shared" si="175"/>
        <v>31.691863445477168</v>
      </c>
      <c r="DJ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7" t="e">
        <f t="shared" si="125"/>
        <v>#NUM!</v>
      </c>
      <c r="DT174" s="57">
        <f ca="1">AVERAGE(OFFSET($DS$3,0,0,'Données projet'!$E$14+1,1))-AVERAGE(OFFSET($H$3,0,0,'Données projet'!$E$14+1,1))</f>
        <v>315.23504986325418</v>
      </c>
      <c r="DU174" s="57">
        <f t="shared" si="152"/>
        <v>350.52837099886688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15.608911460265142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15.608911460265142</v>
      </c>
      <c r="EE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1.1368683772161603E-13</v>
      </c>
      <c r="EK174" s="17">
        <f>EJ174*VLOOKUP('Données projet'!$B$15,Paramètres!$A$1:$I$89,3,0)*VLOOKUP('Données projet'!$B$15,Paramètres!$A$1:$I$89,5,0)</f>
        <v>1.0995790944434703E-13</v>
      </c>
      <c r="EL174" s="13">
        <f t="shared" si="179"/>
        <v>1.6337280948049956E-12</v>
      </c>
      <c r="EM174" s="20">
        <f t="shared" si="180"/>
        <v>3.036919790734272E-12</v>
      </c>
      <c r="EN174" s="57">
        <f t="shared" si="128"/>
        <v>288.73516144466453</v>
      </c>
      <c r="EO174" s="57">
        <f ca="1">AVERAGE(OFFSET($EN$3,0,0,'Données projet'!$E$15+1,1))-AVERAGE(OFFSET($H$3,0,0,'Données projet'!$E$15+1,1))</f>
        <v>328.31200866623891</v>
      </c>
      <c r="EP174" s="57">
        <f t="shared" si="154"/>
        <v>195.52650232917446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93.223844287948225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93.223844287948225</v>
      </c>
      <c r="EZ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7" t="e">
        <f t="shared" si="131"/>
        <v>#NUM!</v>
      </c>
      <c r="FJ174" s="57">
        <f ca="1">AVERAGE(OFFSET($FI$3,0,0,'Données projet'!$E$16+1,1))-AVERAGE(OFFSET($H$3,0,0,'Données projet'!$E$16+1,1))</f>
        <v>142.88219003619457</v>
      </c>
      <c r="FK174" s="57">
        <f t="shared" si="156"/>
        <v>288.69704547625088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3.0082848907366557</v>
      </c>
      <c r="FR174" s="21">
        <f>EXP(-LN(2)/25)*FR173+(1-EXP(-LN(2)/25))/(LN(2)/25)*Calculateur!FM174*Calculateur!FO174*VLOOKUP('Données projet'!$B$16,Paramètres!$A$1:$I$89,3,0)*0.475*44/12</f>
        <v>0.24904782468186518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3.2573327154185208</v>
      </c>
      <c r="FU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7" t="e">
        <f t="shared" si="134"/>
        <v>#N/A</v>
      </c>
      <c r="GE174" s="57" t="e">
        <f ca="1">AVERAGE(OFFSET($GD$3,0,0,'Données projet'!$E$17+1,1))-AVERAGE(OFFSET($H$3,0,0,'Données projet'!$E$17+1,1))</f>
        <v>#N/A</v>
      </c>
      <c r="GF174" s="57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7" t="e">
        <f t="shared" si="137"/>
        <v>#N/A</v>
      </c>
      <c r="GZ174" s="57" t="e">
        <f ca="1">AVERAGE(OFFSET($GY$3,0,0,'Données projet'!$E$18+1,1))-AVERAGE(OFFSET($H$3,0,0,'Données projet'!$E$18+1,1))</f>
        <v>#N/A</v>
      </c>
      <c r="HA174" s="57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1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5">
        <f t="shared" si="110"/>
        <v>183.33333333333334</v>
      </c>
      <c r="I175" s="6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-3.979039320256561E-13</v>
      </c>
      <c r="O175" s="13">
        <f>N175*VLOOKUP('Données projet'!$B$9,Paramètres!$A$1:$I$89,3,0)*VLOOKUP('Données projet'!$B$9,Paramètres!$A$1:$I$89,5,0)</f>
        <v>-3.6002347769681362E-13</v>
      </c>
      <c r="P175" s="13" t="e">
        <f t="shared" si="141"/>
        <v>#NUM!</v>
      </c>
      <c r="Q175" s="20" t="e">
        <f t="shared" si="162"/>
        <v>#NUM!</v>
      </c>
      <c r="R175" s="57" t="e">
        <f t="shared" si="109"/>
        <v>#NUM!</v>
      </c>
      <c r="S175" s="57">
        <f ca="1">AVERAGE(OFFSET($R$3,0,0,'Données projet'!$E$9+1,1))-AVERAGE(OFFSET($H$3,0,0,'Données projet'!$E$9+1,1))</f>
        <v>539.63700256763173</v>
      </c>
      <c r="T175" s="57">
        <f t="shared" si="142"/>
        <v>297.32483725004136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-3.979039320256561E-13</v>
      </c>
      <c r="AJ175" s="13">
        <f>AI175*VLOOKUP('Données projet'!$B$10,Paramètres!$A$1:$I$89,3,0)*VLOOKUP('Données projet'!$B$10,Paramètres!$A$1:$I$89,5,0)</f>
        <v>-3.3519427233841274E-13</v>
      </c>
      <c r="AK175" s="13" t="e">
        <f t="shared" si="164"/>
        <v>#NUM!</v>
      </c>
      <c r="AL175" s="20" t="e">
        <f t="shared" si="165"/>
        <v>#NUM!</v>
      </c>
      <c r="AM175" s="57" t="e">
        <f t="shared" si="113"/>
        <v>#NUM!</v>
      </c>
      <c r="AN175" s="57">
        <f ca="1">AVERAGE(OFFSET($AM$3,0,0,'Données projet'!$E$10+1,1))-AVERAGE(OFFSET($H$3,0,0,'Données projet'!$E$10+1,1))</f>
        <v>508.21188526136734</v>
      </c>
      <c r="AO175" s="57">
        <f t="shared" si="144"/>
        <v>281.06176764290592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-1.064108801074326E-13</v>
      </c>
      <c r="BF175" s="13" t="e">
        <f t="shared" si="167"/>
        <v>#NUM!</v>
      </c>
      <c r="BG175" s="20" t="e">
        <f t="shared" si="168"/>
        <v>#NUM!</v>
      </c>
      <c r="BH175" s="57" t="e">
        <f t="shared" si="116"/>
        <v>#NUM!</v>
      </c>
      <c r="BI175" s="57">
        <f ca="1">AVERAGE(OFFSET($BH$3,0,0,'Données projet'!$E$11+1,1))-AVERAGE(OFFSET($H$3,0,0,'Données projet'!$E$11+1,1))</f>
        <v>449.50723280509311</v>
      </c>
      <c r="BJ175" s="57">
        <f t="shared" si="146"/>
        <v>281.26353650058275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56.003691060401565</v>
      </c>
      <c r="BQ175" s="21">
        <f>EXP(-LN(2)/25)*BQ174+(1-EXP(-LN(2)/25))/(LN(2)/25)*Calculateur!BL175*Calculateur!BN175*VLOOKUP('Données projet'!$B$11,Paramètres!$A$1:$I$89,3,0)*0.475*44/12</f>
        <v>7.1488100107639729</v>
      </c>
      <c r="BR175" s="21">
        <f>EXP(-LN(2)/2)*BR174+(1-EXP(-LN(2)/2))/(LN(2)/2)*BL175*BO175*VLOOKUP('Données projet'!$B$11,Paramètres!$A$1:$I$89,3,0)*0.475*44/12</f>
        <v>6.1590172901249397E-10</v>
      </c>
      <c r="BS175" s="22">
        <f t="shared" si="169"/>
        <v>63.152501071781437</v>
      </c>
      <c r="BT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-1.1937117960769683E-12</v>
      </c>
      <c r="BZ175" s="13">
        <f>BY175*VLOOKUP('Données projet'!$B$12,Paramètres!$A$1:$I$89,3,0)*VLOOKUP('Données projet'!$B$12,Paramètres!$A$1:$I$89,5,0)</f>
        <v>-1.1359361451468432E-12</v>
      </c>
      <c r="CA175" s="13" t="e">
        <f t="shared" si="170"/>
        <v>#NUM!</v>
      </c>
      <c r="CB175" s="20" t="e">
        <f t="shared" si="171"/>
        <v>#NUM!</v>
      </c>
      <c r="CC175" s="57" t="e">
        <f t="shared" si="119"/>
        <v>#NUM!</v>
      </c>
      <c r="CD175" s="57">
        <f ca="1">AVERAGE(OFFSET($CC$3,0,0,'Données projet'!$E$12+1,1))-AVERAGE(OFFSET($H$3,0,0,'Données projet'!$E$12+1,1))</f>
        <v>479.4551766174892</v>
      </c>
      <c r="CE175" s="57">
        <f t="shared" si="148"/>
        <v>260.29028006191834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-2.2737367544323206E-13</v>
      </c>
      <c r="CU175" s="17">
        <f>CT175*VLOOKUP('Données projet'!$B$13,Paramètres!$A$1:$I$89,3,0)*VLOOKUP('Données projet'!$B$13,Paramètres!$A$1:$I$89,5,0)</f>
        <v>-1.2710188457276673E-13</v>
      </c>
      <c r="CV175" s="13" t="e">
        <f t="shared" si="173"/>
        <v>#NUM!</v>
      </c>
      <c r="CW175" s="20" t="e">
        <f t="shared" si="174"/>
        <v>#NUM!</v>
      </c>
      <c r="CX175" s="57" t="e">
        <f t="shared" si="122"/>
        <v>#NUM!</v>
      </c>
      <c r="CY175" s="57">
        <f ca="1">AVERAGE(OFFSET($CX$3,0,0,'Données projet'!$E$13+1,1))-AVERAGE(OFFSET($H$3,0,0,'Données projet'!$E$13+1,1))</f>
        <v>459.83870442974046</v>
      </c>
      <c r="CZ175" s="57">
        <f t="shared" si="150"/>
        <v>565.68976940602215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28.160517480448355</v>
      </c>
      <c r="DG175" s="21">
        <f>EXP(-LN(2)/25)*DG174+(1-EXP(-LN(2)/25))/(LN(2)/25)*Calculateur!DB175*Calculateur!DD175*VLOOKUP('Données projet'!$B$13,Paramètres!$A$1:$I$89,3,0)*0.475*44/12</f>
        <v>2.8869277081310418</v>
      </c>
      <c r="DH175" s="21">
        <f>EXP(-LN(2)/2)*DH174+(1-EXP(-LN(2)/2))/(LN(2)/2)*DB175*DE175*VLOOKUP('Données projet'!$B$13,Paramètres!$A$1:$I$89,3,0)*0.475*44/12</f>
        <v>7.8160881094176533E-16</v>
      </c>
      <c r="DI175" s="22">
        <f t="shared" si="175"/>
        <v>31.047445188579395</v>
      </c>
      <c r="DJ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7" t="e">
        <f t="shared" si="125"/>
        <v>#NUM!</v>
      </c>
      <c r="DT175" s="57">
        <f ca="1">AVERAGE(OFFSET($DS$3,0,0,'Données projet'!$E$14+1,1))-AVERAGE(OFFSET($H$3,0,0,'Données projet'!$E$14+1,1))</f>
        <v>315.23504986325418</v>
      </c>
      <c r="DU175" s="57">
        <f t="shared" si="152"/>
        <v>350.52837099886688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15.302830227025263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15.302830227025263</v>
      </c>
      <c r="EE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1.1368683772161603E-13</v>
      </c>
      <c r="EK175" s="17">
        <f>EJ175*VLOOKUP('Données projet'!$B$15,Paramètres!$A$1:$I$89,3,0)*VLOOKUP('Données projet'!$B$15,Paramètres!$A$1:$I$89,5,0)</f>
        <v>1.0995790944434703E-13</v>
      </c>
      <c r="EL175" s="13">
        <f t="shared" si="179"/>
        <v>1.6337280948049956E-12</v>
      </c>
      <c r="EM175" s="20">
        <f t="shared" si="180"/>
        <v>3.036919790734272E-12</v>
      </c>
      <c r="EN175" s="57">
        <f t="shared" si="128"/>
        <v>288.81492944696066</v>
      </c>
      <c r="EO175" s="57">
        <f ca="1">AVERAGE(OFFSET($EN$3,0,0,'Données projet'!$E$15+1,1))-AVERAGE(OFFSET($H$3,0,0,'Données projet'!$E$15+1,1))</f>
        <v>328.31200866623891</v>
      </c>
      <c r="EP175" s="57">
        <f t="shared" si="154"/>
        <v>195.52650232917446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91.395781562392031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91.395781562392031</v>
      </c>
      <c r="EZ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7" t="e">
        <f t="shared" si="131"/>
        <v>#NUM!</v>
      </c>
      <c r="FJ175" s="57">
        <f ca="1">AVERAGE(OFFSET($FI$3,0,0,'Données projet'!$E$16+1,1))-AVERAGE(OFFSET($H$3,0,0,'Données projet'!$E$16+1,1))</f>
        <v>142.88219003619457</v>
      </c>
      <c r="FK175" s="57">
        <f t="shared" si="156"/>
        <v>288.69704547625088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2.9492942589019147</v>
      </c>
      <c r="FR175" s="21">
        <f>EXP(-LN(2)/25)*FR174+(1-EXP(-LN(2)/25))/(LN(2)/25)*Calculateur!FM175*Calculateur!FO175*VLOOKUP('Données projet'!$B$16,Paramètres!$A$1:$I$89,3,0)*0.475*44/12</f>
        <v>0.24223759881908369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3.1915318577209986</v>
      </c>
      <c r="FU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7" t="e">
        <f t="shared" si="134"/>
        <v>#N/A</v>
      </c>
      <c r="GE175" s="57" t="e">
        <f ca="1">AVERAGE(OFFSET($GD$3,0,0,'Données projet'!$E$17+1,1))-AVERAGE(OFFSET($H$3,0,0,'Données projet'!$E$17+1,1))</f>
        <v>#N/A</v>
      </c>
      <c r="GF175" s="57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7" t="e">
        <f t="shared" si="137"/>
        <v>#N/A</v>
      </c>
      <c r="GZ175" s="57" t="e">
        <f ca="1">AVERAGE(OFFSET($GY$3,0,0,'Données projet'!$E$18+1,1))-AVERAGE(OFFSET($H$3,0,0,'Données projet'!$E$18+1,1))</f>
        <v>#N/A</v>
      </c>
      <c r="HA175" s="57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1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5">
        <f t="shared" si="110"/>
        <v>183.33333333333334</v>
      </c>
      <c r="I176" s="6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-3.979039320256561E-13</v>
      </c>
      <c r="O176" s="13">
        <f>N176*VLOOKUP('Données projet'!$B$9,Paramètres!$A$1:$I$89,3,0)*VLOOKUP('Données projet'!$B$9,Paramètres!$A$1:$I$89,5,0)</f>
        <v>-3.6002347769681362E-13</v>
      </c>
      <c r="P176" s="13" t="e">
        <f t="shared" si="141"/>
        <v>#NUM!</v>
      </c>
      <c r="Q176" s="20" t="e">
        <f t="shared" si="162"/>
        <v>#NUM!</v>
      </c>
      <c r="R176" s="57" t="e">
        <f t="shared" si="109"/>
        <v>#NUM!</v>
      </c>
      <c r="S176" s="57">
        <f ca="1">AVERAGE(OFFSET($R$3,0,0,'Données projet'!$E$9+1,1))-AVERAGE(OFFSET($H$3,0,0,'Données projet'!$E$9+1,1))</f>
        <v>539.63700256763173</v>
      </c>
      <c r="T176" s="57">
        <f t="shared" si="142"/>
        <v>297.32483725004136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-3.979039320256561E-13</v>
      </c>
      <c r="AJ176" s="13">
        <f>AI176*VLOOKUP('Données projet'!$B$10,Paramètres!$A$1:$I$89,3,0)*VLOOKUP('Données projet'!$B$10,Paramètres!$A$1:$I$89,5,0)</f>
        <v>-3.3519427233841274E-13</v>
      </c>
      <c r="AK176" s="13" t="e">
        <f t="shared" si="164"/>
        <v>#NUM!</v>
      </c>
      <c r="AL176" s="20" t="e">
        <f t="shared" si="165"/>
        <v>#NUM!</v>
      </c>
      <c r="AM176" s="57" t="e">
        <f t="shared" si="113"/>
        <v>#NUM!</v>
      </c>
      <c r="AN176" s="57">
        <f ca="1">AVERAGE(OFFSET($AM$3,0,0,'Données projet'!$E$10+1,1))-AVERAGE(OFFSET($H$3,0,0,'Données projet'!$E$10+1,1))</f>
        <v>508.21188526136734</v>
      </c>
      <c r="AO176" s="57">
        <f t="shared" si="144"/>
        <v>281.06176764290592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-1.064108801074326E-13</v>
      </c>
      <c r="BF176" s="13" t="e">
        <f t="shared" si="167"/>
        <v>#NUM!</v>
      </c>
      <c r="BG176" s="20" t="e">
        <f t="shared" si="168"/>
        <v>#NUM!</v>
      </c>
      <c r="BH176" s="57" t="e">
        <f t="shared" si="116"/>
        <v>#NUM!</v>
      </c>
      <c r="BI176" s="57">
        <f ca="1">AVERAGE(OFFSET($BH$3,0,0,'Données projet'!$E$11+1,1))-AVERAGE(OFFSET($H$3,0,0,'Données projet'!$E$11+1,1))</f>
        <v>449.50723280509311</v>
      </c>
      <c r="BJ176" s="57">
        <f t="shared" si="146"/>
        <v>281.26353650058275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54.905492837585726</v>
      </c>
      <c r="BQ176" s="21">
        <f>EXP(-LN(2)/25)*BQ175+(1-EXP(-LN(2)/25))/(LN(2)/25)*Calculateur!BL176*Calculateur!BN176*VLOOKUP('Données projet'!$B$11,Paramètres!$A$1:$I$89,3,0)*0.475*44/12</f>
        <v>6.9533254250800525</v>
      </c>
      <c r="BR176" s="21">
        <f>EXP(-LN(2)/2)*BR175+(1-EXP(-LN(2)/2))/(LN(2)/2)*BL176*BO176*VLOOKUP('Données projet'!$B$11,Paramètres!$A$1:$I$89,3,0)*0.475*44/12</f>
        <v>4.3550828912925386E-10</v>
      </c>
      <c r="BS176" s="22">
        <f t="shared" si="169"/>
        <v>61.858818263101284</v>
      </c>
      <c r="BT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-1.1937117960769683E-12</v>
      </c>
      <c r="BZ176" s="13">
        <f>BY176*VLOOKUP('Données projet'!$B$12,Paramètres!$A$1:$I$89,3,0)*VLOOKUP('Données projet'!$B$12,Paramètres!$A$1:$I$89,5,0)</f>
        <v>-1.1359361451468432E-12</v>
      </c>
      <c r="CA176" s="13" t="e">
        <f t="shared" si="170"/>
        <v>#NUM!</v>
      </c>
      <c r="CB176" s="20" t="e">
        <f t="shared" si="171"/>
        <v>#NUM!</v>
      </c>
      <c r="CC176" s="57" t="e">
        <f t="shared" si="119"/>
        <v>#NUM!</v>
      </c>
      <c r="CD176" s="57">
        <f ca="1">AVERAGE(OFFSET($CC$3,0,0,'Données projet'!$E$12+1,1))-AVERAGE(OFFSET($H$3,0,0,'Données projet'!$E$12+1,1))</f>
        <v>479.4551766174892</v>
      </c>
      <c r="CE176" s="57">
        <f t="shared" si="148"/>
        <v>260.29028006191834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-2.2737367544323206E-13</v>
      </c>
      <c r="CU176" s="17">
        <f>CT176*VLOOKUP('Données projet'!$B$13,Paramètres!$A$1:$I$89,3,0)*VLOOKUP('Données projet'!$B$13,Paramètres!$A$1:$I$89,5,0)</f>
        <v>-1.2710188457276673E-13</v>
      </c>
      <c r="CV176" s="13" t="e">
        <f t="shared" si="173"/>
        <v>#NUM!</v>
      </c>
      <c r="CW176" s="20" t="e">
        <f t="shared" si="174"/>
        <v>#NUM!</v>
      </c>
      <c r="CX176" s="57" t="e">
        <f t="shared" si="122"/>
        <v>#NUM!</v>
      </c>
      <c r="CY176" s="57">
        <f ca="1">AVERAGE(OFFSET($CX$3,0,0,'Données projet'!$E$13+1,1))-AVERAGE(OFFSET($H$3,0,0,'Données projet'!$E$13+1,1))</f>
        <v>459.83870442974046</v>
      </c>
      <c r="CZ176" s="57">
        <f t="shared" si="150"/>
        <v>565.68976940602215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27.608306908876415</v>
      </c>
      <c r="DG176" s="21">
        <f>EXP(-LN(2)/25)*DG175+(1-EXP(-LN(2)/25))/(LN(2)/25)*Calculateur!DB176*Calculateur!DD176*VLOOKUP('Données projet'!$B$13,Paramètres!$A$1:$I$89,3,0)*0.475*44/12</f>
        <v>2.8079845181352683</v>
      </c>
      <c r="DH176" s="21">
        <f>EXP(-LN(2)/2)*DH175+(1-EXP(-LN(2)/2))/(LN(2)/2)*DB176*DE176*VLOOKUP('Données projet'!$B$13,Paramètres!$A$1:$I$89,3,0)*0.475*44/12</f>
        <v>5.5268089045207644E-16</v>
      </c>
      <c r="DI176" s="22">
        <f t="shared" si="175"/>
        <v>30.416291427011682</v>
      </c>
      <c r="DJ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7" t="e">
        <f t="shared" si="125"/>
        <v>#NUM!</v>
      </c>
      <c r="DT176" s="57">
        <f ca="1">AVERAGE(OFFSET($DS$3,0,0,'Données projet'!$E$14+1,1))-AVERAGE(OFFSET($H$3,0,0,'Données projet'!$E$14+1,1))</f>
        <v>315.23504986325418</v>
      </c>
      <c r="DU176" s="57">
        <f t="shared" si="152"/>
        <v>350.52837099886688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15.002751060078099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15.002751060078099</v>
      </c>
      <c r="EE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1.1368683772161603E-13</v>
      </c>
      <c r="EK176" s="17">
        <f>EJ176*VLOOKUP('Données projet'!$B$15,Paramètres!$A$1:$I$89,3,0)*VLOOKUP('Données projet'!$B$15,Paramètres!$A$1:$I$89,5,0)</f>
        <v>1.0995790944434703E-13</v>
      </c>
      <c r="EL176" s="13">
        <f t="shared" si="179"/>
        <v>1.6337280948049956E-12</v>
      </c>
      <c r="EM176" s="20">
        <f t="shared" si="180"/>
        <v>3.036919790734272E-12</v>
      </c>
      <c r="EN176" s="57">
        <f t="shared" si="128"/>
        <v>288.89331365275149</v>
      </c>
      <c r="EO176" s="57">
        <f ca="1">AVERAGE(OFFSET($EN$3,0,0,'Données projet'!$E$15+1,1))-AVERAGE(OFFSET($H$3,0,0,'Données projet'!$E$15+1,1))</f>
        <v>328.31200866623891</v>
      </c>
      <c r="EP176" s="57">
        <f t="shared" si="154"/>
        <v>195.52650232917446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89.603566031875829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89.603566031875829</v>
      </c>
      <c r="EZ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7" t="e">
        <f t="shared" si="131"/>
        <v>#NUM!</v>
      </c>
      <c r="FJ176" s="57">
        <f ca="1">AVERAGE(OFFSET($FI$3,0,0,'Données projet'!$E$16+1,1))-AVERAGE(OFFSET($H$3,0,0,'Données projet'!$E$16+1,1))</f>
        <v>142.88219003619457</v>
      </c>
      <c r="FK176" s="57">
        <f t="shared" si="156"/>
        <v>288.69704547625088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2.8914603973767203</v>
      </c>
      <c r="FR176" s="21">
        <f>EXP(-LN(2)/25)*FR175+(1-EXP(-LN(2)/25))/(LN(2)/25)*Calculateur!FM176*Calculateur!FO176*VLOOKUP('Données projet'!$B$16,Paramètres!$A$1:$I$89,3,0)*0.475*44/12</f>
        <v>0.23561359894065417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3.1270739963173746</v>
      </c>
      <c r="FU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7" t="e">
        <f t="shared" si="134"/>
        <v>#N/A</v>
      </c>
      <c r="GE176" s="57" t="e">
        <f ca="1">AVERAGE(OFFSET($GD$3,0,0,'Données projet'!$E$17+1,1))-AVERAGE(OFFSET($H$3,0,0,'Données projet'!$E$17+1,1))</f>
        <v>#N/A</v>
      </c>
      <c r="GF176" s="57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7" t="e">
        <f t="shared" si="137"/>
        <v>#N/A</v>
      </c>
      <c r="GZ176" s="57" t="e">
        <f ca="1">AVERAGE(OFFSET($GY$3,0,0,'Données projet'!$E$18+1,1))-AVERAGE(OFFSET($H$3,0,0,'Données projet'!$E$18+1,1))</f>
        <v>#N/A</v>
      </c>
      <c r="HA176" s="57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1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5">
        <f t="shared" si="110"/>
        <v>183.33333333333334</v>
      </c>
      <c r="I177" s="6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-3.979039320256561E-13</v>
      </c>
      <c r="O177" s="13">
        <f>N177*VLOOKUP('Données projet'!$B$9,Paramètres!$A$1:$I$89,3,0)*VLOOKUP('Données projet'!$B$9,Paramètres!$A$1:$I$89,5,0)</f>
        <v>-3.6002347769681362E-13</v>
      </c>
      <c r="P177" s="13" t="e">
        <f t="shared" si="141"/>
        <v>#NUM!</v>
      </c>
      <c r="Q177" s="20" t="e">
        <f t="shared" si="162"/>
        <v>#NUM!</v>
      </c>
      <c r="R177" s="57" t="e">
        <f t="shared" si="109"/>
        <v>#NUM!</v>
      </c>
      <c r="S177" s="57">
        <f ca="1">AVERAGE(OFFSET($R$3,0,0,'Données projet'!$E$9+1,1))-AVERAGE(OFFSET($H$3,0,0,'Données projet'!$E$9+1,1))</f>
        <v>539.63700256763173</v>
      </c>
      <c r="T177" s="57">
        <f t="shared" si="142"/>
        <v>297.32483725004136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-3.979039320256561E-13</v>
      </c>
      <c r="AJ177" s="13">
        <f>AI177*VLOOKUP('Données projet'!$B$10,Paramètres!$A$1:$I$89,3,0)*VLOOKUP('Données projet'!$B$10,Paramètres!$A$1:$I$89,5,0)</f>
        <v>-3.3519427233841274E-13</v>
      </c>
      <c r="AK177" s="13" t="e">
        <f t="shared" si="164"/>
        <v>#NUM!</v>
      </c>
      <c r="AL177" s="20" t="e">
        <f t="shared" si="165"/>
        <v>#NUM!</v>
      </c>
      <c r="AM177" s="57" t="e">
        <f t="shared" si="113"/>
        <v>#NUM!</v>
      </c>
      <c r="AN177" s="57">
        <f ca="1">AVERAGE(OFFSET($AM$3,0,0,'Données projet'!$E$10+1,1))-AVERAGE(OFFSET($H$3,0,0,'Données projet'!$E$10+1,1))</f>
        <v>508.21188526136734</v>
      </c>
      <c r="AO177" s="57">
        <f t="shared" si="144"/>
        <v>281.06176764290592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-1.064108801074326E-13</v>
      </c>
      <c r="BF177" s="13" t="e">
        <f t="shared" si="167"/>
        <v>#NUM!</v>
      </c>
      <c r="BG177" s="20" t="e">
        <f t="shared" si="168"/>
        <v>#NUM!</v>
      </c>
      <c r="BH177" s="57" t="e">
        <f t="shared" si="116"/>
        <v>#NUM!</v>
      </c>
      <c r="BI177" s="57">
        <f ca="1">AVERAGE(OFFSET($BH$3,0,0,'Données projet'!$E$11+1,1))-AVERAGE(OFFSET($H$3,0,0,'Données projet'!$E$11+1,1))</f>
        <v>449.50723280509311</v>
      </c>
      <c r="BJ177" s="57">
        <f t="shared" si="146"/>
        <v>281.26353650058275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53.828829612084533</v>
      </c>
      <c r="BQ177" s="21">
        <f>EXP(-LN(2)/25)*BQ176+(1-EXP(-LN(2)/25))/(LN(2)/25)*Calculateur!BL177*Calculateur!BN177*VLOOKUP('Données projet'!$B$11,Paramètres!$A$1:$I$89,3,0)*0.475*44/12</f>
        <v>6.7631863756717463</v>
      </c>
      <c r="BR177" s="21">
        <f>EXP(-LN(2)/2)*BR176+(1-EXP(-LN(2)/2))/(LN(2)/2)*BL177*BO177*VLOOKUP('Données projet'!$B$11,Paramètres!$A$1:$I$89,3,0)*0.475*44/12</f>
        <v>3.0795086450624698E-10</v>
      </c>
      <c r="BS177" s="22">
        <f t="shared" si="169"/>
        <v>60.592015988064226</v>
      </c>
      <c r="BT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-1.1937117960769683E-12</v>
      </c>
      <c r="BZ177" s="13">
        <f>BY177*VLOOKUP('Données projet'!$B$12,Paramètres!$A$1:$I$89,3,0)*VLOOKUP('Données projet'!$B$12,Paramètres!$A$1:$I$89,5,0)</f>
        <v>-1.1359361451468432E-12</v>
      </c>
      <c r="CA177" s="13" t="e">
        <f t="shared" si="170"/>
        <v>#NUM!</v>
      </c>
      <c r="CB177" s="20" t="e">
        <f t="shared" si="171"/>
        <v>#NUM!</v>
      </c>
      <c r="CC177" s="57" t="e">
        <f t="shared" si="119"/>
        <v>#NUM!</v>
      </c>
      <c r="CD177" s="57">
        <f ca="1">AVERAGE(OFFSET($CC$3,0,0,'Données projet'!$E$12+1,1))-AVERAGE(OFFSET($H$3,0,0,'Données projet'!$E$12+1,1))</f>
        <v>479.4551766174892</v>
      </c>
      <c r="CE177" s="57">
        <f t="shared" si="148"/>
        <v>260.29028006191834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-2.2737367544323206E-13</v>
      </c>
      <c r="CU177" s="17">
        <f>CT177*VLOOKUP('Données projet'!$B$13,Paramètres!$A$1:$I$89,3,0)*VLOOKUP('Données projet'!$B$13,Paramètres!$A$1:$I$89,5,0)</f>
        <v>-1.2710188457276673E-13</v>
      </c>
      <c r="CV177" s="13" t="e">
        <f t="shared" si="173"/>
        <v>#NUM!</v>
      </c>
      <c r="CW177" s="20" t="e">
        <f t="shared" si="174"/>
        <v>#NUM!</v>
      </c>
      <c r="CX177" s="57" t="e">
        <f t="shared" si="122"/>
        <v>#NUM!</v>
      </c>
      <c r="CY177" s="57">
        <f ca="1">AVERAGE(OFFSET($CX$3,0,0,'Données projet'!$E$13+1,1))-AVERAGE(OFFSET($H$3,0,0,'Données projet'!$E$13+1,1))</f>
        <v>459.83870442974046</v>
      </c>
      <c r="CZ177" s="57">
        <f t="shared" si="150"/>
        <v>565.68976940602215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27.066924849797811</v>
      </c>
      <c r="DG177" s="21">
        <f>EXP(-LN(2)/25)*DG176+(1-EXP(-LN(2)/25))/(LN(2)/25)*Calculateur!DB177*Calculateur!DD177*VLOOKUP('Données projet'!$B$13,Paramètres!$A$1:$I$89,3,0)*0.475*44/12</f>
        <v>2.7312000338213713</v>
      </c>
      <c r="DH177" s="21">
        <f>EXP(-LN(2)/2)*DH176+(1-EXP(-LN(2)/2))/(LN(2)/2)*DB177*DE177*VLOOKUP('Données projet'!$B$13,Paramètres!$A$1:$I$89,3,0)*0.475*44/12</f>
        <v>3.9080440547088267E-16</v>
      </c>
      <c r="DI177" s="22">
        <f t="shared" si="175"/>
        <v>29.798124883619181</v>
      </c>
      <c r="DJ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7" t="e">
        <f t="shared" si="125"/>
        <v>#NUM!</v>
      </c>
      <c r="DT177" s="57">
        <f ca="1">AVERAGE(OFFSET($DS$3,0,0,'Données projet'!$E$14+1,1))-AVERAGE(OFFSET($H$3,0,0,'Données projet'!$E$14+1,1))</f>
        <v>315.23504986325418</v>
      </c>
      <c r="DU177" s="57">
        <f t="shared" si="152"/>
        <v>350.52837099886688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14.708556262564549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14.708556262564549</v>
      </c>
      <c r="EE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1.1368683772161603E-13</v>
      </c>
      <c r="EK177" s="17">
        <f>EJ177*VLOOKUP('Données projet'!$B$15,Paramètres!$A$1:$I$89,3,0)*VLOOKUP('Données projet'!$B$15,Paramètres!$A$1:$I$89,5,0)</f>
        <v>1.0995790944434703E-13</v>
      </c>
      <c r="EL177" s="13">
        <f t="shared" si="179"/>
        <v>1.6337280948049956E-12</v>
      </c>
      <c r="EM177" s="20">
        <f t="shared" si="180"/>
        <v>3.036919790734272E-12</v>
      </c>
      <c r="EN177" s="57">
        <f t="shared" si="128"/>
        <v>288.97033806781275</v>
      </c>
      <c r="EO177" s="57">
        <f ca="1">AVERAGE(OFFSET($EN$3,0,0,'Données projet'!$E$15+1,1))-AVERAGE(OFFSET($H$3,0,0,'Données projet'!$E$15+1,1))</f>
        <v>328.31200866623891</v>
      </c>
      <c r="EP177" s="57">
        <f t="shared" si="154"/>
        <v>195.52650232917446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87.846494754769509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87.846494754769509</v>
      </c>
      <c r="EZ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7" t="e">
        <f t="shared" si="131"/>
        <v>#NUM!</v>
      </c>
      <c r="FJ177" s="57">
        <f ca="1">AVERAGE(OFFSET($FI$3,0,0,'Données projet'!$E$16+1,1))-AVERAGE(OFFSET($H$3,0,0,'Données projet'!$E$16+1,1))</f>
        <v>142.88219003619457</v>
      </c>
      <c r="FK177" s="57">
        <f t="shared" si="156"/>
        <v>288.69704547625088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2.8347606226008626</v>
      </c>
      <c r="FR177" s="21">
        <f>EXP(-LN(2)/25)*FR176+(1-EXP(-LN(2)/25))/(LN(2)/25)*Calculateur!FM177*Calculateur!FO177*VLOOKUP('Données projet'!$B$16,Paramètres!$A$1:$I$89,3,0)*0.475*44/12</f>
        <v>0.22917073268724131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3.063931355288104</v>
      </c>
      <c r="FU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7" t="e">
        <f t="shared" si="134"/>
        <v>#N/A</v>
      </c>
      <c r="GE177" s="57" t="e">
        <f ca="1">AVERAGE(OFFSET($GD$3,0,0,'Données projet'!$E$17+1,1))-AVERAGE(OFFSET($H$3,0,0,'Données projet'!$E$17+1,1))</f>
        <v>#N/A</v>
      </c>
      <c r="GF177" s="57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7" t="e">
        <f t="shared" si="137"/>
        <v>#N/A</v>
      </c>
      <c r="GZ177" s="57" t="e">
        <f ca="1">AVERAGE(OFFSET($GY$3,0,0,'Données projet'!$E$18+1,1))-AVERAGE(OFFSET($H$3,0,0,'Données projet'!$E$18+1,1))</f>
        <v>#N/A</v>
      </c>
      <c r="HA177" s="57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1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5">
        <f t="shared" si="110"/>
        <v>183.33333333333334</v>
      </c>
      <c r="I178" s="6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-3.979039320256561E-13</v>
      </c>
      <c r="O178" s="13">
        <f>N178*VLOOKUP('Données projet'!$B$9,Paramètres!$A$1:$I$89,3,0)*VLOOKUP('Données projet'!$B$9,Paramètres!$A$1:$I$89,5,0)</f>
        <v>-3.6002347769681362E-13</v>
      </c>
      <c r="P178" s="13" t="e">
        <f t="shared" si="141"/>
        <v>#NUM!</v>
      </c>
      <c r="Q178" s="20" t="e">
        <f t="shared" si="162"/>
        <v>#NUM!</v>
      </c>
      <c r="R178" s="57" t="e">
        <f t="shared" si="109"/>
        <v>#NUM!</v>
      </c>
      <c r="S178" s="57">
        <f ca="1">AVERAGE(OFFSET($R$3,0,0,'Données projet'!$E$9+1,1))-AVERAGE(OFFSET($H$3,0,0,'Données projet'!$E$9+1,1))</f>
        <v>539.63700256763173</v>
      </c>
      <c r="T178" s="57">
        <f t="shared" si="142"/>
        <v>297.32483725004136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-3.979039320256561E-13</v>
      </c>
      <c r="AJ178" s="13">
        <f>AI178*VLOOKUP('Données projet'!$B$10,Paramètres!$A$1:$I$89,3,0)*VLOOKUP('Données projet'!$B$10,Paramètres!$A$1:$I$89,5,0)</f>
        <v>-3.3519427233841274E-13</v>
      </c>
      <c r="AK178" s="13" t="e">
        <f t="shared" si="164"/>
        <v>#NUM!</v>
      </c>
      <c r="AL178" s="20" t="e">
        <f t="shared" si="165"/>
        <v>#NUM!</v>
      </c>
      <c r="AM178" s="57" t="e">
        <f t="shared" si="113"/>
        <v>#NUM!</v>
      </c>
      <c r="AN178" s="57">
        <f ca="1">AVERAGE(OFFSET($AM$3,0,0,'Données projet'!$E$10+1,1))-AVERAGE(OFFSET($H$3,0,0,'Données projet'!$E$10+1,1))</f>
        <v>508.21188526136734</v>
      </c>
      <c r="AO178" s="57">
        <f t="shared" si="144"/>
        <v>281.06176764290592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-1.064108801074326E-13</v>
      </c>
      <c r="BF178" s="13" t="e">
        <f t="shared" si="167"/>
        <v>#NUM!</v>
      </c>
      <c r="BG178" s="20" t="e">
        <f t="shared" si="168"/>
        <v>#NUM!</v>
      </c>
      <c r="BH178" s="57" t="e">
        <f t="shared" si="116"/>
        <v>#NUM!</v>
      </c>
      <c r="BI178" s="57">
        <f ca="1">AVERAGE(OFFSET($BH$3,0,0,'Données projet'!$E$11+1,1))-AVERAGE(OFFSET($H$3,0,0,'Données projet'!$E$11+1,1))</f>
        <v>449.50723280509311</v>
      </c>
      <c r="BJ178" s="57">
        <f t="shared" si="146"/>
        <v>281.26353650058275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52.773279095735695</v>
      </c>
      <c r="BQ178" s="21">
        <f>EXP(-LN(2)/25)*BQ177+(1-EXP(-LN(2)/25))/(LN(2)/25)*Calculateur!BL178*Calculateur!BN178*VLOOKUP('Données projet'!$B$11,Paramètres!$A$1:$I$89,3,0)*0.475*44/12</f>
        <v>6.5782466885684885</v>
      </c>
      <c r="BR178" s="21">
        <f>EXP(-LN(2)/2)*BR177+(1-EXP(-LN(2)/2))/(LN(2)/2)*BL178*BO178*VLOOKUP('Données projet'!$B$11,Paramètres!$A$1:$I$89,3,0)*0.475*44/12</f>
        <v>2.1775414456462693E-10</v>
      </c>
      <c r="BS178" s="22">
        <f t="shared" si="169"/>
        <v>59.351525784521939</v>
      </c>
      <c r="BT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-1.1937117960769683E-12</v>
      </c>
      <c r="BZ178" s="13">
        <f>BY178*VLOOKUP('Données projet'!$B$12,Paramètres!$A$1:$I$89,3,0)*VLOOKUP('Données projet'!$B$12,Paramètres!$A$1:$I$89,5,0)</f>
        <v>-1.1359361451468432E-12</v>
      </c>
      <c r="CA178" s="13" t="e">
        <f t="shared" si="170"/>
        <v>#NUM!</v>
      </c>
      <c r="CB178" s="20" t="e">
        <f t="shared" si="171"/>
        <v>#NUM!</v>
      </c>
      <c r="CC178" s="57" t="e">
        <f t="shared" si="119"/>
        <v>#NUM!</v>
      </c>
      <c r="CD178" s="57">
        <f ca="1">AVERAGE(OFFSET($CC$3,0,0,'Données projet'!$E$12+1,1))-AVERAGE(OFFSET($H$3,0,0,'Données projet'!$E$12+1,1))</f>
        <v>479.4551766174892</v>
      </c>
      <c r="CE178" s="57">
        <f t="shared" si="148"/>
        <v>260.29028006191834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-2.2737367544323206E-13</v>
      </c>
      <c r="CU178" s="17">
        <f>CT178*VLOOKUP('Données projet'!$B$13,Paramètres!$A$1:$I$89,3,0)*VLOOKUP('Données projet'!$B$13,Paramètres!$A$1:$I$89,5,0)</f>
        <v>-1.2710188457276673E-13</v>
      </c>
      <c r="CV178" s="13" t="e">
        <f t="shared" si="173"/>
        <v>#NUM!</v>
      </c>
      <c r="CW178" s="20" t="e">
        <f t="shared" si="174"/>
        <v>#NUM!</v>
      </c>
      <c r="CX178" s="57" t="e">
        <f t="shared" si="122"/>
        <v>#NUM!</v>
      </c>
      <c r="CY178" s="57">
        <f ca="1">AVERAGE(OFFSET($CX$3,0,0,'Données projet'!$E$13+1,1))-AVERAGE(OFFSET($H$3,0,0,'Données projet'!$E$13+1,1))</f>
        <v>459.83870442974046</v>
      </c>
      <c r="CZ178" s="57">
        <f t="shared" si="150"/>
        <v>565.68976940602215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26.536158962687288</v>
      </c>
      <c r="DG178" s="21">
        <f>EXP(-LN(2)/25)*DG177+(1-EXP(-LN(2)/25))/(LN(2)/25)*Calculateur!DB178*Calculateur!DD178*VLOOKUP('Données projet'!$B$13,Paramètres!$A$1:$I$89,3,0)*0.475*44/12</f>
        <v>2.6565152252689583</v>
      </c>
      <c r="DH178" s="21">
        <f>EXP(-LN(2)/2)*DH177+(1-EXP(-LN(2)/2))/(LN(2)/2)*DB178*DE178*VLOOKUP('Données projet'!$B$13,Paramètres!$A$1:$I$89,3,0)*0.475*44/12</f>
        <v>2.7634044522603822E-16</v>
      </c>
      <c r="DI178" s="22">
        <f t="shared" si="175"/>
        <v>29.192674187956246</v>
      </c>
      <c r="DJ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7" t="e">
        <f t="shared" si="125"/>
        <v>#NUM!</v>
      </c>
      <c r="DT178" s="57">
        <f ca="1">AVERAGE(OFFSET($DS$3,0,0,'Données projet'!$E$14+1,1))-AVERAGE(OFFSET($H$3,0,0,'Données projet'!$E$14+1,1))</f>
        <v>315.23504986325418</v>
      </c>
      <c r="DU178" s="57">
        <f t="shared" si="152"/>
        <v>350.52837099886688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14.420130445589134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14.420130445589134</v>
      </c>
      <c r="EE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1.1368683772161603E-13</v>
      </c>
      <c r="EK178" s="17">
        <f>EJ178*VLOOKUP('Données projet'!$B$15,Paramètres!$A$1:$I$89,3,0)*VLOOKUP('Données projet'!$B$15,Paramètres!$A$1:$I$89,5,0)</f>
        <v>1.0995790944434703E-13</v>
      </c>
      <c r="EL178" s="13">
        <f t="shared" si="179"/>
        <v>1.6337280948049956E-12</v>
      </c>
      <c r="EM178" s="20">
        <f t="shared" si="180"/>
        <v>3.036919790734272E-12</v>
      </c>
      <c r="EN178" s="57">
        <f t="shared" si="128"/>
        <v>289.04602628147342</v>
      </c>
      <c r="EO178" s="57">
        <f ca="1">AVERAGE(OFFSET($EN$3,0,0,'Données projet'!$E$15+1,1))-AVERAGE(OFFSET($H$3,0,0,'Données projet'!$E$15+1,1))</f>
        <v>328.31200866623891</v>
      </c>
      <c r="EP178" s="57">
        <f t="shared" si="154"/>
        <v>195.52650232917446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86.123878573699585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86.123878573699585</v>
      </c>
      <c r="EZ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7" t="e">
        <f t="shared" si="131"/>
        <v>#NUM!</v>
      </c>
      <c r="FJ178" s="57">
        <f ca="1">AVERAGE(OFFSET($FI$3,0,0,'Données projet'!$E$16+1,1))-AVERAGE(OFFSET($H$3,0,0,'Données projet'!$E$16+1,1))</f>
        <v>142.88219003619457</v>
      </c>
      <c r="FK178" s="57">
        <f t="shared" si="156"/>
        <v>288.69704547625088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2.7791726958249114</v>
      </c>
      <c r="FR178" s="21">
        <f>EXP(-LN(2)/25)*FR177+(1-EXP(-LN(2)/25))/(LN(2)/25)*Calculateur!FM178*Calculateur!FO178*VLOOKUP('Données projet'!$B$16,Paramètres!$A$1:$I$89,3,0)*0.475*44/12</f>
        <v>0.22290404695034363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3.0020767427752553</v>
      </c>
      <c r="FU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7" t="e">
        <f t="shared" si="134"/>
        <v>#N/A</v>
      </c>
      <c r="GE178" s="57" t="e">
        <f ca="1">AVERAGE(OFFSET($GD$3,0,0,'Données projet'!$E$17+1,1))-AVERAGE(OFFSET($H$3,0,0,'Données projet'!$E$17+1,1))</f>
        <v>#N/A</v>
      </c>
      <c r="GF178" s="57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7" t="e">
        <f t="shared" si="137"/>
        <v>#N/A</v>
      </c>
      <c r="GZ178" s="57" t="e">
        <f ca="1">AVERAGE(OFFSET($GY$3,0,0,'Données projet'!$E$18+1,1))-AVERAGE(OFFSET($H$3,0,0,'Données projet'!$E$18+1,1))</f>
        <v>#N/A</v>
      </c>
      <c r="HA178" s="57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1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5">
        <f t="shared" si="110"/>
        <v>183.33333333333334</v>
      </c>
      <c r="I179" s="6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-3.979039320256561E-13</v>
      </c>
      <c r="O179" s="13">
        <f>N179*VLOOKUP('Données projet'!$B$9,Paramètres!$A$1:$I$89,3,0)*VLOOKUP('Données projet'!$B$9,Paramètres!$A$1:$I$89,5,0)</f>
        <v>-3.6002347769681362E-13</v>
      </c>
      <c r="P179" s="13" t="e">
        <f t="shared" si="141"/>
        <v>#NUM!</v>
      </c>
      <c r="Q179" s="20" t="e">
        <f t="shared" si="162"/>
        <v>#NUM!</v>
      </c>
      <c r="R179" s="57" t="e">
        <f t="shared" si="109"/>
        <v>#NUM!</v>
      </c>
      <c r="S179" s="57">
        <f ca="1">AVERAGE(OFFSET($R$3,0,0,'Données projet'!$E$9+1,1))-AVERAGE(OFFSET($H$3,0,0,'Données projet'!$E$9+1,1))</f>
        <v>539.63700256763173</v>
      </c>
      <c r="T179" s="57">
        <f t="shared" si="142"/>
        <v>297.32483725004136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-3.979039320256561E-13</v>
      </c>
      <c r="AJ179" s="13">
        <f>AI179*VLOOKUP('Données projet'!$B$10,Paramètres!$A$1:$I$89,3,0)*VLOOKUP('Données projet'!$B$10,Paramètres!$A$1:$I$89,5,0)</f>
        <v>-3.3519427233841274E-13</v>
      </c>
      <c r="AK179" s="13" t="e">
        <f t="shared" si="164"/>
        <v>#NUM!</v>
      </c>
      <c r="AL179" s="20" t="e">
        <f t="shared" si="165"/>
        <v>#NUM!</v>
      </c>
      <c r="AM179" s="57" t="e">
        <f t="shared" si="113"/>
        <v>#NUM!</v>
      </c>
      <c r="AN179" s="57">
        <f ca="1">AVERAGE(OFFSET($AM$3,0,0,'Données projet'!$E$10+1,1))-AVERAGE(OFFSET($H$3,0,0,'Données projet'!$E$10+1,1))</f>
        <v>508.21188526136734</v>
      </c>
      <c r="AO179" s="57">
        <f t="shared" si="144"/>
        <v>281.06176764290592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-1.064108801074326E-13</v>
      </c>
      <c r="BF179" s="13" t="e">
        <f t="shared" si="167"/>
        <v>#NUM!</v>
      </c>
      <c r="BG179" s="20" t="e">
        <f t="shared" si="168"/>
        <v>#NUM!</v>
      </c>
      <c r="BH179" s="57" t="e">
        <f t="shared" si="116"/>
        <v>#NUM!</v>
      </c>
      <c r="BI179" s="57">
        <f ca="1">AVERAGE(OFFSET($BH$3,0,0,'Données projet'!$E$11+1,1))-AVERAGE(OFFSET($H$3,0,0,'Données projet'!$E$11+1,1))</f>
        <v>449.50723280509311</v>
      </c>
      <c r="BJ179" s="57">
        <f t="shared" si="146"/>
        <v>281.26353650058275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51.738427281190212</v>
      </c>
      <c r="BQ179" s="21">
        <f>EXP(-LN(2)/25)*BQ178+(1-EXP(-LN(2)/25))/(LN(2)/25)*Calculateur!BL179*Calculateur!BN179*VLOOKUP('Données projet'!$B$11,Paramètres!$A$1:$I$89,3,0)*0.475*44/12</f>
        <v>6.3983641869346242</v>
      </c>
      <c r="BR179" s="21">
        <f>EXP(-LN(2)/2)*BR178+(1-EXP(-LN(2)/2))/(LN(2)/2)*BL179*BO179*VLOOKUP('Données projet'!$B$11,Paramètres!$A$1:$I$89,3,0)*0.475*44/12</f>
        <v>1.5397543225312349E-10</v>
      </c>
      <c r="BS179" s="22">
        <f t="shared" si="169"/>
        <v>58.136791468278808</v>
      </c>
      <c r="BT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-1.1937117960769683E-12</v>
      </c>
      <c r="BZ179" s="13">
        <f>BY179*VLOOKUP('Données projet'!$B$12,Paramètres!$A$1:$I$89,3,0)*VLOOKUP('Données projet'!$B$12,Paramètres!$A$1:$I$89,5,0)</f>
        <v>-1.1359361451468432E-12</v>
      </c>
      <c r="CA179" s="13" t="e">
        <f t="shared" si="170"/>
        <v>#NUM!</v>
      </c>
      <c r="CB179" s="20" t="e">
        <f t="shared" si="171"/>
        <v>#NUM!</v>
      </c>
      <c r="CC179" s="57" t="e">
        <f t="shared" si="119"/>
        <v>#NUM!</v>
      </c>
      <c r="CD179" s="57">
        <f ca="1">AVERAGE(OFFSET($CC$3,0,0,'Données projet'!$E$12+1,1))-AVERAGE(OFFSET($H$3,0,0,'Données projet'!$E$12+1,1))</f>
        <v>479.4551766174892</v>
      </c>
      <c r="CE179" s="57">
        <f t="shared" si="148"/>
        <v>260.29028006191834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-2.2737367544323206E-13</v>
      </c>
      <c r="CU179" s="17">
        <f>CT179*VLOOKUP('Données projet'!$B$13,Paramètres!$A$1:$I$89,3,0)*VLOOKUP('Données projet'!$B$13,Paramètres!$A$1:$I$89,5,0)</f>
        <v>-1.2710188457276673E-13</v>
      </c>
      <c r="CV179" s="13" t="e">
        <f t="shared" si="173"/>
        <v>#NUM!</v>
      </c>
      <c r="CW179" s="20" t="e">
        <f t="shared" si="174"/>
        <v>#NUM!</v>
      </c>
      <c r="CX179" s="57" t="e">
        <f t="shared" si="122"/>
        <v>#NUM!</v>
      </c>
      <c r="CY179" s="57">
        <f ca="1">AVERAGE(OFFSET($CX$3,0,0,'Données projet'!$E$13+1,1))-AVERAGE(OFFSET($H$3,0,0,'Données projet'!$E$13+1,1))</f>
        <v>459.83870442974046</v>
      </c>
      <c r="CZ179" s="57">
        <f t="shared" si="150"/>
        <v>565.68976940602215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26.015801070887775</v>
      </c>
      <c r="DG179" s="21">
        <f>EXP(-LN(2)/25)*DG178+(1-EXP(-LN(2)/25))/(LN(2)/25)*Calculateur!DB179*Calculateur!DD179*VLOOKUP('Données projet'!$B$13,Paramètres!$A$1:$I$89,3,0)*0.475*44/12</f>
        <v>2.5838726767339146</v>
      </c>
      <c r="DH179" s="21">
        <f>EXP(-LN(2)/2)*DH178+(1-EXP(-LN(2)/2))/(LN(2)/2)*DB179*DE179*VLOOKUP('Données projet'!$B$13,Paramètres!$A$1:$I$89,3,0)*0.475*44/12</f>
        <v>1.9540220273544133E-16</v>
      </c>
      <c r="DI179" s="22">
        <f t="shared" si="175"/>
        <v>28.59967374762169</v>
      </c>
      <c r="DJ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7" t="e">
        <f t="shared" si="125"/>
        <v>#NUM!</v>
      </c>
      <c r="DT179" s="57">
        <f ca="1">AVERAGE(OFFSET($DS$3,0,0,'Données projet'!$E$14+1,1))-AVERAGE(OFFSET($H$3,0,0,'Données projet'!$E$14+1,1))</f>
        <v>315.23504986325418</v>
      </c>
      <c r="DU179" s="57">
        <f t="shared" si="152"/>
        <v>350.52837099886688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14.137360482962228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14.137360482962228</v>
      </c>
      <c r="EE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1.1368683772161603E-13</v>
      </c>
      <c r="EK179" s="17">
        <f>EJ179*VLOOKUP('Données projet'!$B$15,Paramètres!$A$1:$I$89,3,0)*VLOOKUP('Données projet'!$B$15,Paramètres!$A$1:$I$89,5,0)</f>
        <v>1.0995790944434703E-13</v>
      </c>
      <c r="EL179" s="13">
        <f t="shared" si="179"/>
        <v>1.6337280948049956E-12</v>
      </c>
      <c r="EM179" s="20">
        <f t="shared" si="180"/>
        <v>3.036919790734272E-12</v>
      </c>
      <c r="EN179" s="57">
        <f t="shared" si="128"/>
        <v>289.12040147384062</v>
      </c>
      <c r="EO179" s="57">
        <f ca="1">AVERAGE(OFFSET($EN$3,0,0,'Données projet'!$E$15+1,1))-AVERAGE(OFFSET($H$3,0,0,'Données projet'!$E$15+1,1))</f>
        <v>328.31200866623891</v>
      </c>
      <c r="EP179" s="57">
        <f t="shared" si="154"/>
        <v>195.52650232917446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84.435041845248321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84.435041845248321</v>
      </c>
      <c r="EZ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7" t="e">
        <f t="shared" si="131"/>
        <v>#NUM!</v>
      </c>
      <c r="FJ179" s="57">
        <f ca="1">AVERAGE(OFFSET($FI$3,0,0,'Données projet'!$E$16+1,1))-AVERAGE(OFFSET($H$3,0,0,'Données projet'!$E$16+1,1))</f>
        <v>142.88219003619457</v>
      </c>
      <c r="FK179" s="57">
        <f t="shared" si="156"/>
        <v>288.69704547625088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2.7246748143877495</v>
      </c>
      <c r="FR179" s="21">
        <f>EXP(-LN(2)/25)*FR178+(1-EXP(-LN(2)/25))/(LN(2)/25)*Calculateur!FM179*Calculateur!FO179*VLOOKUP('Données projet'!$B$16,Paramètres!$A$1:$I$89,3,0)*0.475*44/12</f>
        <v>0.2168087240644721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2.9414835384522218</v>
      </c>
      <c r="FU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7" t="e">
        <f t="shared" si="134"/>
        <v>#N/A</v>
      </c>
      <c r="GE179" s="57" t="e">
        <f ca="1">AVERAGE(OFFSET($GD$3,0,0,'Données projet'!$E$17+1,1))-AVERAGE(OFFSET($H$3,0,0,'Données projet'!$E$17+1,1))</f>
        <v>#N/A</v>
      </c>
      <c r="GF179" s="57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7" t="e">
        <f t="shared" si="137"/>
        <v>#N/A</v>
      </c>
      <c r="GZ179" s="57" t="e">
        <f ca="1">AVERAGE(OFFSET($GY$3,0,0,'Données projet'!$E$18+1,1))-AVERAGE(OFFSET($H$3,0,0,'Données projet'!$E$18+1,1))</f>
        <v>#N/A</v>
      </c>
      <c r="HA179" s="57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1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5">
        <f t="shared" si="110"/>
        <v>183.33333333333334</v>
      </c>
      <c r="I180" s="6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-3.979039320256561E-13</v>
      </c>
      <c r="O180" s="13">
        <f>N180*VLOOKUP('Données projet'!$B$9,Paramètres!$A$1:$I$89,3,0)*VLOOKUP('Données projet'!$B$9,Paramètres!$A$1:$I$89,5,0)</f>
        <v>-3.6002347769681362E-13</v>
      </c>
      <c r="P180" s="13" t="e">
        <f t="shared" si="141"/>
        <v>#NUM!</v>
      </c>
      <c r="Q180" s="20" t="e">
        <f t="shared" si="162"/>
        <v>#NUM!</v>
      </c>
      <c r="R180" s="57" t="e">
        <f t="shared" si="109"/>
        <v>#NUM!</v>
      </c>
      <c r="S180" s="57">
        <f ca="1">AVERAGE(OFFSET($R$3,0,0,'Données projet'!$E$9+1,1))-AVERAGE(OFFSET($H$3,0,0,'Données projet'!$E$9+1,1))</f>
        <v>539.63700256763173</v>
      </c>
      <c r="T180" s="57">
        <f t="shared" si="142"/>
        <v>297.32483725004136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-3.979039320256561E-13</v>
      </c>
      <c r="AJ180" s="13">
        <f>AI180*VLOOKUP('Données projet'!$B$10,Paramètres!$A$1:$I$89,3,0)*VLOOKUP('Données projet'!$B$10,Paramètres!$A$1:$I$89,5,0)</f>
        <v>-3.3519427233841274E-13</v>
      </c>
      <c r="AK180" s="13" t="e">
        <f t="shared" si="164"/>
        <v>#NUM!</v>
      </c>
      <c r="AL180" s="20" t="e">
        <f t="shared" si="165"/>
        <v>#NUM!</v>
      </c>
      <c r="AM180" s="57" t="e">
        <f t="shared" si="113"/>
        <v>#NUM!</v>
      </c>
      <c r="AN180" s="57">
        <f ca="1">AVERAGE(OFFSET($AM$3,0,0,'Données projet'!$E$10+1,1))-AVERAGE(OFFSET($H$3,0,0,'Données projet'!$E$10+1,1))</f>
        <v>508.21188526136734</v>
      </c>
      <c r="AO180" s="57">
        <f t="shared" si="144"/>
        <v>281.06176764290592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-1.064108801074326E-13</v>
      </c>
      <c r="BF180" s="13" t="e">
        <f t="shared" si="167"/>
        <v>#NUM!</v>
      </c>
      <c r="BG180" s="20" t="e">
        <f t="shared" si="168"/>
        <v>#NUM!</v>
      </c>
      <c r="BH180" s="57" t="e">
        <f t="shared" si="116"/>
        <v>#NUM!</v>
      </c>
      <c r="BI180" s="57">
        <f ca="1">AVERAGE(OFFSET($BH$3,0,0,'Données projet'!$E$11+1,1))-AVERAGE(OFFSET($H$3,0,0,'Données projet'!$E$11+1,1))</f>
        <v>449.50723280509311</v>
      </c>
      <c r="BJ180" s="57">
        <f t="shared" si="146"/>
        <v>281.26353650058275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50.723868279530684</v>
      </c>
      <c r="BQ180" s="21">
        <f>EXP(-LN(2)/25)*BQ179+(1-EXP(-LN(2)/25))/(LN(2)/25)*Calculateur!BL180*Calculateur!BN180*VLOOKUP('Données projet'!$B$11,Paramètres!$A$1:$I$89,3,0)*0.475*44/12</f>
        <v>6.2234005817675477</v>
      </c>
      <c r="BR180" s="21">
        <f>EXP(-LN(2)/2)*BR179+(1-EXP(-LN(2)/2))/(LN(2)/2)*BL180*BO180*VLOOKUP('Données projet'!$B$11,Paramètres!$A$1:$I$89,3,0)*0.475*44/12</f>
        <v>1.0887707228231347E-10</v>
      </c>
      <c r="BS180" s="22">
        <f t="shared" si="169"/>
        <v>56.94726886140711</v>
      </c>
      <c r="BT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-1.1937117960769683E-12</v>
      </c>
      <c r="BZ180" s="13">
        <f>BY180*VLOOKUP('Données projet'!$B$12,Paramètres!$A$1:$I$89,3,0)*VLOOKUP('Données projet'!$B$12,Paramètres!$A$1:$I$89,5,0)</f>
        <v>-1.1359361451468432E-12</v>
      </c>
      <c r="CA180" s="13" t="e">
        <f t="shared" si="170"/>
        <v>#NUM!</v>
      </c>
      <c r="CB180" s="20" t="e">
        <f t="shared" si="171"/>
        <v>#NUM!</v>
      </c>
      <c r="CC180" s="57" t="e">
        <f t="shared" si="119"/>
        <v>#NUM!</v>
      </c>
      <c r="CD180" s="57">
        <f ca="1">AVERAGE(OFFSET($CC$3,0,0,'Données projet'!$E$12+1,1))-AVERAGE(OFFSET($H$3,0,0,'Données projet'!$E$12+1,1))</f>
        <v>479.4551766174892</v>
      </c>
      <c r="CE180" s="57">
        <f t="shared" si="148"/>
        <v>260.29028006191834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-2.2737367544323206E-13</v>
      </c>
      <c r="CU180" s="17">
        <f>CT180*VLOOKUP('Données projet'!$B$13,Paramètres!$A$1:$I$89,3,0)*VLOOKUP('Données projet'!$B$13,Paramètres!$A$1:$I$89,5,0)</f>
        <v>-1.2710188457276673E-13</v>
      </c>
      <c r="CV180" s="13" t="e">
        <f t="shared" si="173"/>
        <v>#NUM!</v>
      </c>
      <c r="CW180" s="20" t="e">
        <f t="shared" si="174"/>
        <v>#NUM!</v>
      </c>
      <c r="CX180" s="57" t="e">
        <f t="shared" si="122"/>
        <v>#NUM!</v>
      </c>
      <c r="CY180" s="57">
        <f ca="1">AVERAGE(OFFSET($CX$3,0,0,'Données projet'!$E$13+1,1))-AVERAGE(OFFSET($H$3,0,0,'Données projet'!$E$13+1,1))</f>
        <v>459.83870442974046</v>
      </c>
      <c r="CZ180" s="57">
        <f t="shared" si="150"/>
        <v>565.68976940602215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25.505647079959477</v>
      </c>
      <c r="DG180" s="21">
        <f>EXP(-LN(2)/25)*DG179+(1-EXP(-LN(2)/25))/(LN(2)/25)*Calculateur!DB180*Calculateur!DD180*VLOOKUP('Données projet'!$B$13,Paramètres!$A$1:$I$89,3,0)*0.475*44/12</f>
        <v>2.5132165425086672</v>
      </c>
      <c r="DH180" s="21">
        <f>EXP(-LN(2)/2)*DH179+(1-EXP(-LN(2)/2))/(LN(2)/2)*DB180*DE180*VLOOKUP('Données projet'!$B$13,Paramètres!$A$1:$I$89,3,0)*0.475*44/12</f>
        <v>1.3817022261301911E-16</v>
      </c>
      <c r="DI180" s="22">
        <f t="shared" si="175"/>
        <v>28.018863622468146</v>
      </c>
      <c r="DJ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7" t="e">
        <f t="shared" si="125"/>
        <v>#NUM!</v>
      </c>
      <c r="DT180" s="57">
        <f ca="1">AVERAGE(OFFSET($DS$3,0,0,'Données projet'!$E$14+1,1))-AVERAGE(OFFSET($H$3,0,0,'Données projet'!$E$14+1,1))</f>
        <v>315.23504986325418</v>
      </c>
      <c r="DU180" s="57">
        <f t="shared" si="152"/>
        <v>350.52837099886688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13.860135466829789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13.860135466829789</v>
      </c>
      <c r="EE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1.1368683772161603E-13</v>
      </c>
      <c r="EK180" s="17">
        <f>EJ180*VLOOKUP('Données projet'!$B$15,Paramètres!$A$1:$I$89,3,0)*VLOOKUP('Données projet'!$B$15,Paramètres!$A$1:$I$89,5,0)</f>
        <v>1.0995790944434703E-13</v>
      </c>
      <c r="EL180" s="13">
        <f t="shared" si="179"/>
        <v>1.6337280948049956E-12</v>
      </c>
      <c r="EM180" s="20">
        <f t="shared" si="180"/>
        <v>3.036919790734272E-12</v>
      </c>
      <c r="EN180" s="57">
        <f t="shared" si="128"/>
        <v>289.19348642289827</v>
      </c>
      <c r="EO180" s="57">
        <f ca="1">AVERAGE(OFFSET($EN$3,0,0,'Données projet'!$E$15+1,1))-AVERAGE(OFFSET($H$3,0,0,'Données projet'!$E$15+1,1))</f>
        <v>328.31200866623891</v>
      </c>
      <c r="EP180" s="57">
        <f t="shared" si="154"/>
        <v>195.52650232917446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82.779322174953293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82.779322174953293</v>
      </c>
      <c r="EZ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7" t="e">
        <f t="shared" si="131"/>
        <v>#NUM!</v>
      </c>
      <c r="FJ180" s="57">
        <f ca="1">AVERAGE(OFFSET($FI$3,0,0,'Données projet'!$E$16+1,1))-AVERAGE(OFFSET($H$3,0,0,'Données projet'!$E$16+1,1))</f>
        <v>142.88219003619457</v>
      </c>
      <c r="FK180" s="57">
        <f t="shared" si="156"/>
        <v>288.69704547625088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2.6712456031651448</v>
      </c>
      <c r="FR180" s="21">
        <f>EXP(-LN(2)/25)*FR179+(1-EXP(-LN(2)/25))/(LN(2)/25)*Calculateur!FM180*Calculateur!FO180*VLOOKUP('Données projet'!$B$16,Paramètres!$A$1:$I$89,3,0)*0.475*44/12</f>
        <v>0.21088007810345383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2.8821256812685987</v>
      </c>
      <c r="FU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7" t="e">
        <f t="shared" si="134"/>
        <v>#N/A</v>
      </c>
      <c r="GE180" s="57" t="e">
        <f ca="1">AVERAGE(OFFSET($GD$3,0,0,'Données projet'!$E$17+1,1))-AVERAGE(OFFSET($H$3,0,0,'Données projet'!$E$17+1,1))</f>
        <v>#N/A</v>
      </c>
      <c r="GF180" s="57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7" t="e">
        <f t="shared" si="137"/>
        <v>#N/A</v>
      </c>
      <c r="GZ180" s="57" t="e">
        <f ca="1">AVERAGE(OFFSET($GY$3,0,0,'Données projet'!$E$18+1,1))-AVERAGE(OFFSET($H$3,0,0,'Données projet'!$E$18+1,1))</f>
        <v>#N/A</v>
      </c>
      <c r="HA180" s="57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1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5">
        <f t="shared" si="110"/>
        <v>183.33333333333334</v>
      </c>
      <c r="I181" s="6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-3.979039320256561E-13</v>
      </c>
      <c r="O181" s="13">
        <f>N181*VLOOKUP('Données projet'!$B$9,Paramètres!$A$1:$I$89,3,0)*VLOOKUP('Données projet'!$B$9,Paramètres!$A$1:$I$89,5,0)</f>
        <v>-3.6002347769681362E-13</v>
      </c>
      <c r="P181" s="13" t="e">
        <f t="shared" si="141"/>
        <v>#NUM!</v>
      </c>
      <c r="Q181" s="20" t="e">
        <f t="shared" si="162"/>
        <v>#NUM!</v>
      </c>
      <c r="R181" s="57" t="e">
        <f t="shared" si="109"/>
        <v>#NUM!</v>
      </c>
      <c r="S181" s="57">
        <f ca="1">AVERAGE(OFFSET($R$3,0,0,'Données projet'!$E$9+1,1))-AVERAGE(OFFSET($H$3,0,0,'Données projet'!$E$9+1,1))</f>
        <v>539.63700256763173</v>
      </c>
      <c r="T181" s="57">
        <f t="shared" si="142"/>
        <v>297.32483725004136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-3.979039320256561E-13</v>
      </c>
      <c r="AJ181" s="13">
        <f>AI181*VLOOKUP('Données projet'!$B$10,Paramètres!$A$1:$I$89,3,0)*VLOOKUP('Données projet'!$B$10,Paramètres!$A$1:$I$89,5,0)</f>
        <v>-3.3519427233841274E-13</v>
      </c>
      <c r="AK181" s="13" t="e">
        <f t="shared" si="164"/>
        <v>#NUM!</v>
      </c>
      <c r="AL181" s="20" t="e">
        <f t="shared" si="165"/>
        <v>#NUM!</v>
      </c>
      <c r="AM181" s="57" t="e">
        <f t="shared" si="113"/>
        <v>#NUM!</v>
      </c>
      <c r="AN181" s="57">
        <f ca="1">AVERAGE(OFFSET($AM$3,0,0,'Données projet'!$E$10+1,1))-AVERAGE(OFFSET($H$3,0,0,'Données projet'!$E$10+1,1))</f>
        <v>508.21188526136734</v>
      </c>
      <c r="AO181" s="57">
        <f t="shared" si="144"/>
        <v>281.06176764290592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-1.064108801074326E-13</v>
      </c>
      <c r="BF181" s="13" t="e">
        <f t="shared" si="167"/>
        <v>#NUM!</v>
      </c>
      <c r="BG181" s="20" t="e">
        <f t="shared" si="168"/>
        <v>#NUM!</v>
      </c>
      <c r="BH181" s="57" t="e">
        <f t="shared" si="116"/>
        <v>#NUM!</v>
      </c>
      <c r="BI181" s="57">
        <f ca="1">AVERAGE(OFFSET($BH$3,0,0,'Données projet'!$E$11+1,1))-AVERAGE(OFFSET($H$3,0,0,'Données projet'!$E$11+1,1))</f>
        <v>449.50723280509311</v>
      </c>
      <c r="BJ181" s="57">
        <f t="shared" si="146"/>
        <v>281.26353650058275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49.729204161073817</v>
      </c>
      <c r="BQ181" s="21">
        <f>EXP(-LN(2)/25)*BQ180+(1-EXP(-LN(2)/25))/(LN(2)/25)*Calculateur!BL181*Calculateur!BN181*VLOOKUP('Données projet'!$B$11,Paramètres!$A$1:$I$89,3,0)*0.475*44/12</f>
        <v>6.0532213655847009</v>
      </c>
      <c r="BR181" s="21">
        <f>EXP(-LN(2)/2)*BR180+(1-EXP(-LN(2)/2))/(LN(2)/2)*BL181*BO181*VLOOKUP('Données projet'!$B$11,Paramètres!$A$1:$I$89,3,0)*0.475*44/12</f>
        <v>7.6987716126561746E-11</v>
      </c>
      <c r="BS181" s="22">
        <f t="shared" si="169"/>
        <v>55.782425526735501</v>
      </c>
      <c r="BT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-1.1937117960769683E-12</v>
      </c>
      <c r="BZ181" s="13">
        <f>BY181*VLOOKUP('Données projet'!$B$12,Paramètres!$A$1:$I$89,3,0)*VLOOKUP('Données projet'!$B$12,Paramètres!$A$1:$I$89,5,0)</f>
        <v>-1.1359361451468432E-12</v>
      </c>
      <c r="CA181" s="13" t="e">
        <f t="shared" si="170"/>
        <v>#NUM!</v>
      </c>
      <c r="CB181" s="20" t="e">
        <f t="shared" si="171"/>
        <v>#NUM!</v>
      </c>
      <c r="CC181" s="57" t="e">
        <f t="shared" si="119"/>
        <v>#NUM!</v>
      </c>
      <c r="CD181" s="57">
        <f ca="1">AVERAGE(OFFSET($CC$3,0,0,'Données projet'!$E$12+1,1))-AVERAGE(OFFSET($H$3,0,0,'Données projet'!$E$12+1,1))</f>
        <v>479.4551766174892</v>
      </c>
      <c r="CE181" s="57">
        <f t="shared" si="148"/>
        <v>260.29028006191834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-2.2737367544323206E-13</v>
      </c>
      <c r="CU181" s="17">
        <f>CT181*VLOOKUP('Données projet'!$B$13,Paramètres!$A$1:$I$89,3,0)*VLOOKUP('Données projet'!$B$13,Paramètres!$A$1:$I$89,5,0)</f>
        <v>-1.2710188457276673E-13</v>
      </c>
      <c r="CV181" s="13" t="e">
        <f t="shared" si="173"/>
        <v>#NUM!</v>
      </c>
      <c r="CW181" s="20" t="e">
        <f t="shared" si="174"/>
        <v>#NUM!</v>
      </c>
      <c r="CX181" s="57" t="e">
        <f t="shared" si="122"/>
        <v>#NUM!</v>
      </c>
      <c r="CY181" s="57">
        <f ca="1">AVERAGE(OFFSET($CX$3,0,0,'Données projet'!$E$13+1,1))-AVERAGE(OFFSET($H$3,0,0,'Données projet'!$E$13+1,1))</f>
        <v>459.83870442974046</v>
      </c>
      <c r="CZ181" s="57">
        <f t="shared" si="150"/>
        <v>565.68976940602215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25.005496897630074</v>
      </c>
      <c r="DG181" s="21">
        <f>EXP(-LN(2)/25)*DG180+(1-EXP(-LN(2)/25))/(LN(2)/25)*Calculateur!DB181*Calculateur!DD181*VLOOKUP('Données projet'!$B$13,Paramètres!$A$1:$I$89,3,0)*0.475*44/12</f>
        <v>2.4444925039894536</v>
      </c>
      <c r="DH181" s="21">
        <f>EXP(-LN(2)/2)*DH180+(1-EXP(-LN(2)/2))/(LN(2)/2)*DB181*DE181*VLOOKUP('Données projet'!$B$13,Paramètres!$A$1:$I$89,3,0)*0.475*44/12</f>
        <v>9.7701101367720667E-17</v>
      </c>
      <c r="DI181" s="22">
        <f t="shared" si="175"/>
        <v>27.449989401619529</v>
      </c>
      <c r="DJ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7" t="e">
        <f t="shared" si="125"/>
        <v>#NUM!</v>
      </c>
      <c r="DT181" s="57">
        <f ca="1">AVERAGE(OFFSET($DS$3,0,0,'Données projet'!$E$14+1,1))-AVERAGE(OFFSET($H$3,0,0,'Données projet'!$E$14+1,1))</f>
        <v>315.23504986325418</v>
      </c>
      <c r="DU181" s="57">
        <f t="shared" si="152"/>
        <v>350.52837099886688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13.588346664173143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13.588346664173143</v>
      </c>
      <c r="EE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1.1368683772161603E-13</v>
      </c>
      <c r="EK181" s="17">
        <f>EJ181*VLOOKUP('Données projet'!$B$15,Paramètres!$A$1:$I$89,3,0)*VLOOKUP('Données projet'!$B$15,Paramètres!$A$1:$I$89,5,0)</f>
        <v>1.0995790944434703E-13</v>
      </c>
      <c r="EL181" s="13">
        <f t="shared" si="179"/>
        <v>1.6337280948049956E-12</v>
      </c>
      <c r="EM181" s="20">
        <f t="shared" si="180"/>
        <v>3.036919790734272E-12</v>
      </c>
      <c r="EN181" s="57">
        <f t="shared" si="128"/>
        <v>289.26530351148318</v>
      </c>
      <c r="EO181" s="57">
        <f ca="1">AVERAGE(OFFSET($EN$3,0,0,'Données projet'!$E$15+1,1))-AVERAGE(OFFSET($H$3,0,0,'Données projet'!$E$15+1,1))</f>
        <v>328.31200866623891</v>
      </c>
      <c r="EP181" s="57">
        <f t="shared" si="154"/>
        <v>195.52650232917446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81.156070157503478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81.156070157503478</v>
      </c>
      <c r="EZ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7" t="e">
        <f t="shared" si="131"/>
        <v>#NUM!</v>
      </c>
      <c r="FJ181" s="57">
        <f ca="1">AVERAGE(OFFSET($FI$3,0,0,'Données projet'!$E$16+1,1))-AVERAGE(OFFSET($H$3,0,0,'Données projet'!$E$16+1,1))</f>
        <v>142.88219003619457</v>
      </c>
      <c r="FK181" s="57">
        <f t="shared" si="156"/>
        <v>288.69704547625088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2.6188641061860145</v>
      </c>
      <c r="FR181" s="21">
        <f>EXP(-LN(2)/25)*FR180+(1-EXP(-LN(2)/25))/(LN(2)/25)*Calculateur!FM181*Calculateur!FO181*VLOOKUP('Données projet'!$B$16,Paramètres!$A$1:$I$89,3,0)*0.475*44/12</f>
        <v>0.20511355127801356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2.8239776574640283</v>
      </c>
      <c r="FU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7" t="e">
        <f t="shared" si="134"/>
        <v>#N/A</v>
      </c>
      <c r="GE181" s="57" t="e">
        <f ca="1">AVERAGE(OFFSET($GD$3,0,0,'Données projet'!$E$17+1,1))-AVERAGE(OFFSET($H$3,0,0,'Données projet'!$E$17+1,1))</f>
        <v>#N/A</v>
      </c>
      <c r="GF181" s="57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7" t="e">
        <f t="shared" si="137"/>
        <v>#N/A</v>
      </c>
      <c r="GZ181" s="57" t="e">
        <f ca="1">AVERAGE(OFFSET($GY$3,0,0,'Données projet'!$E$18+1,1))-AVERAGE(OFFSET($H$3,0,0,'Données projet'!$E$18+1,1))</f>
        <v>#N/A</v>
      </c>
      <c r="HA181" s="57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1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5">
        <f t="shared" si="110"/>
        <v>183.33333333333334</v>
      </c>
      <c r="I182" s="6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-3.979039320256561E-13</v>
      </c>
      <c r="O182" s="13">
        <f>N182*VLOOKUP('Données projet'!$B$9,Paramètres!$A$1:$I$89,3,0)*VLOOKUP('Données projet'!$B$9,Paramètres!$A$1:$I$89,5,0)</f>
        <v>-3.6002347769681362E-13</v>
      </c>
      <c r="P182" s="13" t="e">
        <f t="shared" si="141"/>
        <v>#NUM!</v>
      </c>
      <c r="Q182" s="20" t="e">
        <f t="shared" si="162"/>
        <v>#NUM!</v>
      </c>
      <c r="R182" s="57" t="e">
        <f t="shared" si="109"/>
        <v>#NUM!</v>
      </c>
      <c r="S182" s="57">
        <f ca="1">AVERAGE(OFFSET($R$3,0,0,'Données projet'!$E$9+1,1))-AVERAGE(OFFSET($H$3,0,0,'Données projet'!$E$9+1,1))</f>
        <v>539.63700256763173</v>
      </c>
      <c r="T182" s="57">
        <f t="shared" si="142"/>
        <v>297.32483725004136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-3.979039320256561E-13</v>
      </c>
      <c r="AJ182" s="13">
        <f>AI182*VLOOKUP('Données projet'!$B$10,Paramètres!$A$1:$I$89,3,0)*VLOOKUP('Données projet'!$B$10,Paramètres!$A$1:$I$89,5,0)</f>
        <v>-3.3519427233841274E-13</v>
      </c>
      <c r="AK182" s="13" t="e">
        <f t="shared" si="164"/>
        <v>#NUM!</v>
      </c>
      <c r="AL182" s="20" t="e">
        <f t="shared" si="165"/>
        <v>#NUM!</v>
      </c>
      <c r="AM182" s="57" t="e">
        <f t="shared" si="113"/>
        <v>#NUM!</v>
      </c>
      <c r="AN182" s="57">
        <f ca="1">AVERAGE(OFFSET($AM$3,0,0,'Données projet'!$E$10+1,1))-AVERAGE(OFFSET($H$3,0,0,'Données projet'!$E$10+1,1))</f>
        <v>508.21188526136734</v>
      </c>
      <c r="AO182" s="57">
        <f t="shared" si="144"/>
        <v>281.06176764290592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-1.064108801074326E-13</v>
      </c>
      <c r="BF182" s="13" t="e">
        <f t="shared" si="167"/>
        <v>#NUM!</v>
      </c>
      <c r="BG182" s="20" t="e">
        <f t="shared" si="168"/>
        <v>#NUM!</v>
      </c>
      <c r="BH182" s="57" t="e">
        <f t="shared" si="116"/>
        <v>#NUM!</v>
      </c>
      <c r="BI182" s="57">
        <f ca="1">AVERAGE(OFFSET($BH$3,0,0,'Données projet'!$E$11+1,1))-AVERAGE(OFFSET($H$3,0,0,'Données projet'!$E$11+1,1))</f>
        <v>449.50723280509311</v>
      </c>
      <c r="BJ182" s="57">
        <f t="shared" si="146"/>
        <v>281.26353650058275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48.754044799294682</v>
      </c>
      <c r="BQ182" s="21">
        <f>EXP(-LN(2)/25)*BQ181+(1-EXP(-LN(2)/25))/(LN(2)/25)*Calculateur!BL182*Calculateur!BN182*VLOOKUP('Données projet'!$B$11,Paramètres!$A$1:$I$89,3,0)*0.475*44/12</f>
        <v>5.8876957090177102</v>
      </c>
      <c r="BR182" s="21">
        <f>EXP(-LN(2)/2)*BR181+(1-EXP(-LN(2)/2))/(LN(2)/2)*BL182*BO182*VLOOKUP('Données projet'!$B$11,Paramètres!$A$1:$I$89,3,0)*0.475*44/12</f>
        <v>5.4438536141156733E-11</v>
      </c>
      <c r="BS182" s="22">
        <f t="shared" si="169"/>
        <v>54.641740508366837</v>
      </c>
      <c r="BT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-1.1937117960769683E-12</v>
      </c>
      <c r="BZ182" s="13">
        <f>BY182*VLOOKUP('Données projet'!$B$12,Paramètres!$A$1:$I$89,3,0)*VLOOKUP('Données projet'!$B$12,Paramètres!$A$1:$I$89,5,0)</f>
        <v>-1.1359361451468432E-12</v>
      </c>
      <c r="CA182" s="13" t="e">
        <f t="shared" si="170"/>
        <v>#NUM!</v>
      </c>
      <c r="CB182" s="20" t="e">
        <f t="shared" si="171"/>
        <v>#NUM!</v>
      </c>
      <c r="CC182" s="57" t="e">
        <f t="shared" si="119"/>
        <v>#NUM!</v>
      </c>
      <c r="CD182" s="57">
        <f ca="1">AVERAGE(OFFSET($CC$3,0,0,'Données projet'!$E$12+1,1))-AVERAGE(OFFSET($H$3,0,0,'Données projet'!$E$12+1,1))</f>
        <v>479.4551766174892</v>
      </c>
      <c r="CE182" s="57">
        <f t="shared" si="148"/>
        <v>260.29028006191834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-2.2737367544323206E-13</v>
      </c>
      <c r="CU182" s="17">
        <f>CT182*VLOOKUP('Données projet'!$B$13,Paramètres!$A$1:$I$89,3,0)*VLOOKUP('Données projet'!$B$13,Paramètres!$A$1:$I$89,5,0)</f>
        <v>-1.2710188457276673E-13</v>
      </c>
      <c r="CV182" s="13" t="e">
        <f t="shared" si="173"/>
        <v>#NUM!</v>
      </c>
      <c r="CW182" s="20" t="e">
        <f t="shared" si="174"/>
        <v>#NUM!</v>
      </c>
      <c r="CX182" s="57" t="e">
        <f t="shared" si="122"/>
        <v>#NUM!</v>
      </c>
      <c r="CY182" s="57">
        <f ca="1">AVERAGE(OFFSET($CX$3,0,0,'Données projet'!$E$13+1,1))-AVERAGE(OFFSET($H$3,0,0,'Données projet'!$E$13+1,1))</f>
        <v>459.83870442974046</v>
      </c>
      <c r="CZ182" s="57">
        <f t="shared" si="150"/>
        <v>565.68976940602215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24.51515435531466</v>
      </c>
      <c r="DG182" s="21">
        <f>EXP(-LN(2)/25)*DG181+(1-EXP(-LN(2)/25))/(LN(2)/25)*Calculateur!DB182*Calculateur!DD182*VLOOKUP('Données projet'!$B$13,Paramètres!$A$1:$I$89,3,0)*0.475*44/12</f>
        <v>2.377647727917588</v>
      </c>
      <c r="DH182" s="21">
        <f>EXP(-LN(2)/2)*DH181+(1-EXP(-LN(2)/2))/(LN(2)/2)*DB182*DE182*VLOOKUP('Données projet'!$B$13,Paramètres!$A$1:$I$89,3,0)*0.475*44/12</f>
        <v>6.9085111306509555E-17</v>
      </c>
      <c r="DI182" s="22">
        <f t="shared" si="175"/>
        <v>26.892802083232247</v>
      </c>
      <c r="DJ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7" t="e">
        <f t="shared" si="125"/>
        <v>#NUM!</v>
      </c>
      <c r="DT182" s="57">
        <f ca="1">AVERAGE(OFFSET($DS$3,0,0,'Données projet'!$E$14+1,1))-AVERAGE(OFFSET($H$3,0,0,'Données projet'!$E$14+1,1))</f>
        <v>315.23504986325418</v>
      </c>
      <c r="DU182" s="57">
        <f t="shared" si="152"/>
        <v>350.52837099886688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13.321887474161793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13.321887474161793</v>
      </c>
      <c r="EE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1.1368683772161603E-13</v>
      </c>
      <c r="EK182" s="17">
        <f>EJ182*VLOOKUP('Données projet'!$B$15,Paramètres!$A$1:$I$89,3,0)*VLOOKUP('Données projet'!$B$15,Paramètres!$A$1:$I$89,5,0)</f>
        <v>1.0995790944434703E-13</v>
      </c>
      <c r="EL182" s="13">
        <f t="shared" si="179"/>
        <v>1.6337280948049956E-12</v>
      </c>
      <c r="EM182" s="20">
        <f t="shared" si="180"/>
        <v>3.036919790734272E-12</v>
      </c>
      <c r="EN182" s="57">
        <f t="shared" si="128"/>
        <v>289.33587473414013</v>
      </c>
      <c r="EO182" s="57">
        <f ca="1">AVERAGE(OFFSET($EN$3,0,0,'Données projet'!$E$15+1,1))-AVERAGE(OFFSET($H$3,0,0,'Données projet'!$E$15+1,1))</f>
        <v>328.31200866623891</v>
      </c>
      <c r="EP182" s="57">
        <f t="shared" si="154"/>
        <v>195.52650232917446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79.564649122029877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79.564649122029877</v>
      </c>
      <c r="EZ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7" t="e">
        <f t="shared" si="131"/>
        <v>#NUM!</v>
      </c>
      <c r="FJ182" s="57">
        <f ca="1">AVERAGE(OFFSET($FI$3,0,0,'Données projet'!$E$16+1,1))-AVERAGE(OFFSET($H$3,0,0,'Données projet'!$E$16+1,1))</f>
        <v>142.88219003619457</v>
      </c>
      <c r="FK182" s="57">
        <f t="shared" si="156"/>
        <v>288.69704547625088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2.5675097784130863</v>
      </c>
      <c r="FR182" s="21">
        <f>EXP(-LN(2)/25)*FR181+(1-EXP(-LN(2)/25))/(LN(2)/25)*Calculateur!FM182*Calculateur!FO182*VLOOKUP('Données projet'!$B$16,Paramètres!$A$1:$I$89,3,0)*0.475*44/12</f>
        <v>0.19950471043186341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2.7670144888449495</v>
      </c>
      <c r="FU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7" t="e">
        <f t="shared" si="134"/>
        <v>#N/A</v>
      </c>
      <c r="GE182" s="57" t="e">
        <f ca="1">AVERAGE(OFFSET($GD$3,0,0,'Données projet'!$E$17+1,1))-AVERAGE(OFFSET($H$3,0,0,'Données projet'!$E$17+1,1))</f>
        <v>#N/A</v>
      </c>
      <c r="GF182" s="57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7" t="e">
        <f t="shared" si="137"/>
        <v>#N/A</v>
      </c>
      <c r="GZ182" s="57" t="e">
        <f ca="1">AVERAGE(OFFSET($GY$3,0,0,'Données projet'!$E$18+1,1))-AVERAGE(OFFSET($H$3,0,0,'Données projet'!$E$18+1,1))</f>
        <v>#N/A</v>
      </c>
      <c r="HA182" s="57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1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5">
        <f t="shared" si="110"/>
        <v>183.33333333333334</v>
      </c>
      <c r="I183" s="6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-3.979039320256561E-13</v>
      </c>
      <c r="O183" s="13">
        <f>N183*VLOOKUP('Données projet'!$B$9,Paramètres!$A$1:$I$89,3,0)*VLOOKUP('Données projet'!$B$9,Paramètres!$A$1:$I$89,5,0)</f>
        <v>-3.6002347769681362E-13</v>
      </c>
      <c r="P183" s="13" t="e">
        <f t="shared" si="141"/>
        <v>#NUM!</v>
      </c>
      <c r="Q183" s="20" t="e">
        <f t="shared" si="162"/>
        <v>#NUM!</v>
      </c>
      <c r="R183" s="57" t="e">
        <f t="shared" si="109"/>
        <v>#NUM!</v>
      </c>
      <c r="S183" s="57">
        <f ca="1">AVERAGE(OFFSET($R$3,0,0,'Données projet'!$E$9+1,1))-AVERAGE(OFFSET($H$3,0,0,'Données projet'!$E$9+1,1))</f>
        <v>539.63700256763173</v>
      </c>
      <c r="T183" s="57">
        <f t="shared" si="142"/>
        <v>297.32483725004136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-3.979039320256561E-13</v>
      </c>
      <c r="AJ183" s="13">
        <f>AI183*VLOOKUP('Données projet'!$B$10,Paramètres!$A$1:$I$89,3,0)*VLOOKUP('Données projet'!$B$10,Paramètres!$A$1:$I$89,5,0)</f>
        <v>-3.3519427233841274E-13</v>
      </c>
      <c r="AK183" s="13" t="e">
        <f t="shared" si="164"/>
        <v>#NUM!</v>
      </c>
      <c r="AL183" s="20" t="e">
        <f t="shared" si="165"/>
        <v>#NUM!</v>
      </c>
      <c r="AM183" s="57" t="e">
        <f t="shared" si="113"/>
        <v>#NUM!</v>
      </c>
      <c r="AN183" s="57">
        <f ca="1">AVERAGE(OFFSET($AM$3,0,0,'Données projet'!$E$10+1,1))-AVERAGE(OFFSET($H$3,0,0,'Données projet'!$E$10+1,1))</f>
        <v>508.21188526136734</v>
      </c>
      <c r="AO183" s="57">
        <f t="shared" si="144"/>
        <v>281.06176764290592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-1.064108801074326E-13</v>
      </c>
      <c r="BF183" s="13" t="e">
        <f t="shared" si="167"/>
        <v>#NUM!</v>
      </c>
      <c r="BG183" s="20" t="e">
        <f t="shared" si="168"/>
        <v>#NUM!</v>
      </c>
      <c r="BH183" s="57" t="e">
        <f t="shared" si="116"/>
        <v>#NUM!</v>
      </c>
      <c r="BI183" s="57">
        <f ca="1">AVERAGE(OFFSET($BH$3,0,0,'Données projet'!$E$11+1,1))-AVERAGE(OFFSET($H$3,0,0,'Données projet'!$E$11+1,1))</f>
        <v>449.50723280509311</v>
      </c>
      <c r="BJ183" s="57">
        <f t="shared" si="146"/>
        <v>281.26353650058275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47.798007717811551</v>
      </c>
      <c r="BQ183" s="21">
        <f>EXP(-LN(2)/25)*BQ182+(1-EXP(-LN(2)/25))/(LN(2)/25)*Calculateur!BL183*Calculateur!BN183*VLOOKUP('Données projet'!$B$11,Paramètres!$A$1:$I$89,3,0)*0.475*44/12</f>
        <v>5.7266963602341603</v>
      </c>
      <c r="BR183" s="21">
        <f>EXP(-LN(2)/2)*BR182+(1-EXP(-LN(2)/2))/(LN(2)/2)*BL183*BO183*VLOOKUP('Données projet'!$B$11,Paramètres!$A$1:$I$89,3,0)*0.475*44/12</f>
        <v>3.8493858063280873E-11</v>
      </c>
      <c r="BS183" s="22">
        <f t="shared" si="169"/>
        <v>53.524704078084206</v>
      </c>
      <c r="BT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-1.1937117960769683E-12</v>
      </c>
      <c r="BZ183" s="13">
        <f>BY183*VLOOKUP('Données projet'!$B$12,Paramètres!$A$1:$I$89,3,0)*VLOOKUP('Données projet'!$B$12,Paramètres!$A$1:$I$89,5,0)</f>
        <v>-1.1359361451468432E-12</v>
      </c>
      <c r="CA183" s="13" t="e">
        <f t="shared" si="170"/>
        <v>#NUM!</v>
      </c>
      <c r="CB183" s="20" t="e">
        <f t="shared" si="171"/>
        <v>#NUM!</v>
      </c>
      <c r="CC183" s="57" t="e">
        <f t="shared" si="119"/>
        <v>#NUM!</v>
      </c>
      <c r="CD183" s="57">
        <f ca="1">AVERAGE(OFFSET($CC$3,0,0,'Données projet'!$E$12+1,1))-AVERAGE(OFFSET($H$3,0,0,'Données projet'!$E$12+1,1))</f>
        <v>479.4551766174892</v>
      </c>
      <c r="CE183" s="57">
        <f t="shared" si="148"/>
        <v>260.29028006191834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-2.2737367544323206E-13</v>
      </c>
      <c r="CU183" s="17">
        <f>CT183*VLOOKUP('Données projet'!$B$13,Paramètres!$A$1:$I$89,3,0)*VLOOKUP('Données projet'!$B$13,Paramètres!$A$1:$I$89,5,0)</f>
        <v>-1.2710188457276673E-13</v>
      </c>
      <c r="CV183" s="13" t="e">
        <f t="shared" si="173"/>
        <v>#NUM!</v>
      </c>
      <c r="CW183" s="20" t="e">
        <f t="shared" si="174"/>
        <v>#NUM!</v>
      </c>
      <c r="CX183" s="57" t="e">
        <f t="shared" si="122"/>
        <v>#NUM!</v>
      </c>
      <c r="CY183" s="57">
        <f ca="1">AVERAGE(OFFSET($CX$3,0,0,'Données projet'!$E$13+1,1))-AVERAGE(OFFSET($H$3,0,0,'Données projet'!$E$13+1,1))</f>
        <v>459.83870442974046</v>
      </c>
      <c r="CZ183" s="57">
        <f t="shared" si="150"/>
        <v>565.68976940602215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24.034427131174635</v>
      </c>
      <c r="DG183" s="21">
        <f>EXP(-LN(2)/25)*DG182+(1-EXP(-LN(2)/25))/(LN(2)/25)*Calculateur!DB183*Calculateur!DD183*VLOOKUP('Données projet'!$B$13,Paramètres!$A$1:$I$89,3,0)*0.475*44/12</f>
        <v>2.3126308257626218</v>
      </c>
      <c r="DH183" s="21">
        <f>EXP(-LN(2)/2)*DH182+(1-EXP(-LN(2)/2))/(LN(2)/2)*DB183*DE183*VLOOKUP('Données projet'!$B$13,Paramètres!$A$1:$I$89,3,0)*0.475*44/12</f>
        <v>4.8850550683860333E-17</v>
      </c>
      <c r="DI183" s="22">
        <f t="shared" si="175"/>
        <v>26.347057956937256</v>
      </c>
      <c r="DJ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7" t="e">
        <f t="shared" si="125"/>
        <v>#NUM!</v>
      </c>
      <c r="DT183" s="57">
        <f ca="1">AVERAGE(OFFSET($DS$3,0,0,'Données projet'!$E$14+1,1))-AVERAGE(OFFSET($H$3,0,0,'Données projet'!$E$14+1,1))</f>
        <v>315.23504986325418</v>
      </c>
      <c r="DU183" s="57">
        <f t="shared" si="152"/>
        <v>350.52837099886688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13.060653386342508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13.060653386342508</v>
      </c>
      <c r="EE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1.1368683772161603E-13</v>
      </c>
      <c r="EK183" s="17">
        <f>EJ183*VLOOKUP('Données projet'!$B$15,Paramètres!$A$1:$I$89,3,0)*VLOOKUP('Données projet'!$B$15,Paramètres!$A$1:$I$89,5,0)</f>
        <v>1.0995790944434703E-13</v>
      </c>
      <c r="EL183" s="13">
        <f t="shared" si="179"/>
        <v>1.6337280948049956E-12</v>
      </c>
      <c r="EM183" s="20">
        <f t="shared" si="180"/>
        <v>3.036919790734272E-12</v>
      </c>
      <c r="EN183" s="57">
        <f t="shared" si="128"/>
        <v>289.40522170385765</v>
      </c>
      <c r="EO183" s="57">
        <f ca="1">AVERAGE(OFFSET($EN$3,0,0,'Données projet'!$E$15+1,1))-AVERAGE(OFFSET($H$3,0,0,'Données projet'!$E$15+1,1))</f>
        <v>328.31200866623891</v>
      </c>
      <c r="EP183" s="57">
        <f t="shared" si="154"/>
        <v>195.52650232917446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78.004434882390925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78.004434882390925</v>
      </c>
      <c r="EZ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7" t="e">
        <f t="shared" si="131"/>
        <v>#NUM!</v>
      </c>
      <c r="FJ183" s="57">
        <f ca="1">AVERAGE(OFFSET($FI$3,0,0,'Données projet'!$E$16+1,1))-AVERAGE(OFFSET($H$3,0,0,'Données projet'!$E$16+1,1))</f>
        <v>142.88219003619457</v>
      </c>
      <c r="FK183" s="57">
        <f t="shared" si="156"/>
        <v>288.69704547625088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2.5171624776847383</v>
      </c>
      <c r="FR183" s="21">
        <f>EXP(-LN(2)/25)*FR182+(1-EXP(-LN(2)/25))/(LN(2)/25)*Calculateur!FM183*Calculateur!FO183*VLOOKUP('Données projet'!$B$16,Paramètres!$A$1:$I$89,3,0)*0.475*44/12</f>
        <v>0.19404924363360734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2.7112117213183455</v>
      </c>
      <c r="FU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7" t="e">
        <f t="shared" si="134"/>
        <v>#N/A</v>
      </c>
      <c r="GE183" s="57" t="e">
        <f ca="1">AVERAGE(OFFSET($GD$3,0,0,'Données projet'!$E$17+1,1))-AVERAGE(OFFSET($H$3,0,0,'Données projet'!$E$17+1,1))</f>
        <v>#N/A</v>
      </c>
      <c r="GF183" s="57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7" t="e">
        <f t="shared" si="137"/>
        <v>#N/A</v>
      </c>
      <c r="GZ183" s="57" t="e">
        <f ca="1">AVERAGE(OFFSET($GY$3,0,0,'Données projet'!$E$18+1,1))-AVERAGE(OFFSET($H$3,0,0,'Données projet'!$E$18+1,1))</f>
        <v>#N/A</v>
      </c>
      <c r="HA183" s="57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1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5">
        <f t="shared" si="110"/>
        <v>183.33333333333334</v>
      </c>
      <c r="I184" s="6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-3.979039320256561E-13</v>
      </c>
      <c r="O184" s="13">
        <f>N184*VLOOKUP('Données projet'!$B$9,Paramètres!$A$1:$I$89,3,0)*VLOOKUP('Données projet'!$B$9,Paramètres!$A$1:$I$89,5,0)</f>
        <v>-3.6002347769681362E-13</v>
      </c>
      <c r="P184" s="13" t="e">
        <f t="shared" si="141"/>
        <v>#NUM!</v>
      </c>
      <c r="Q184" s="20" t="e">
        <f t="shared" si="162"/>
        <v>#NUM!</v>
      </c>
      <c r="R184" s="57" t="e">
        <f t="shared" si="109"/>
        <v>#NUM!</v>
      </c>
      <c r="S184" s="57">
        <f ca="1">AVERAGE(OFFSET($R$3,0,0,'Données projet'!$E$9+1,1))-AVERAGE(OFFSET($H$3,0,0,'Données projet'!$E$9+1,1))</f>
        <v>539.63700256763173</v>
      </c>
      <c r="T184" s="57">
        <f t="shared" si="142"/>
        <v>297.32483725004136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-3.979039320256561E-13</v>
      </c>
      <c r="AJ184" s="13">
        <f>AI184*VLOOKUP('Données projet'!$B$10,Paramètres!$A$1:$I$89,3,0)*VLOOKUP('Données projet'!$B$10,Paramètres!$A$1:$I$89,5,0)</f>
        <v>-3.3519427233841274E-13</v>
      </c>
      <c r="AK184" s="13" t="e">
        <f t="shared" si="164"/>
        <v>#NUM!</v>
      </c>
      <c r="AL184" s="20" t="e">
        <f t="shared" si="165"/>
        <v>#NUM!</v>
      </c>
      <c r="AM184" s="57" t="e">
        <f t="shared" si="113"/>
        <v>#NUM!</v>
      </c>
      <c r="AN184" s="57">
        <f ca="1">AVERAGE(OFFSET($AM$3,0,0,'Données projet'!$E$10+1,1))-AVERAGE(OFFSET($H$3,0,0,'Données projet'!$E$10+1,1))</f>
        <v>508.21188526136734</v>
      </c>
      <c r="AO184" s="57">
        <f t="shared" si="144"/>
        <v>281.06176764290592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-1.064108801074326E-13</v>
      </c>
      <c r="BF184" s="13" t="e">
        <f t="shared" si="167"/>
        <v>#NUM!</v>
      </c>
      <c r="BG184" s="20" t="e">
        <f t="shared" si="168"/>
        <v>#NUM!</v>
      </c>
      <c r="BH184" s="57" t="e">
        <f t="shared" si="116"/>
        <v>#NUM!</v>
      </c>
      <c r="BI184" s="57">
        <f ca="1">AVERAGE(OFFSET($BH$3,0,0,'Données projet'!$E$11+1,1))-AVERAGE(OFFSET($H$3,0,0,'Données projet'!$E$11+1,1))</f>
        <v>449.50723280509311</v>
      </c>
      <c r="BJ184" s="57">
        <f t="shared" si="146"/>
        <v>281.26353650058275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46.860717940371266</v>
      </c>
      <c r="BQ184" s="21">
        <f>EXP(-LN(2)/25)*BQ183+(1-EXP(-LN(2)/25))/(LN(2)/25)*Calculateur!BL184*Calculateur!BN184*VLOOKUP('Données projet'!$B$11,Paramètres!$A$1:$I$89,3,0)*0.475*44/12</f>
        <v>5.5700995471096837</v>
      </c>
      <c r="BR184" s="21">
        <f>EXP(-LN(2)/2)*BR183+(1-EXP(-LN(2)/2))/(LN(2)/2)*BL184*BO184*VLOOKUP('Données projet'!$B$11,Paramètres!$A$1:$I$89,3,0)*0.475*44/12</f>
        <v>2.7219268070578367E-11</v>
      </c>
      <c r="BS184" s="22">
        <f t="shared" si="169"/>
        <v>52.430817487508172</v>
      </c>
      <c r="BT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-1.1937117960769683E-12</v>
      </c>
      <c r="BZ184" s="13">
        <f>BY184*VLOOKUP('Données projet'!$B$12,Paramètres!$A$1:$I$89,3,0)*VLOOKUP('Données projet'!$B$12,Paramètres!$A$1:$I$89,5,0)</f>
        <v>-1.1359361451468432E-12</v>
      </c>
      <c r="CA184" s="13" t="e">
        <f t="shared" si="170"/>
        <v>#NUM!</v>
      </c>
      <c r="CB184" s="20" t="e">
        <f t="shared" si="171"/>
        <v>#NUM!</v>
      </c>
      <c r="CC184" s="57" t="e">
        <f t="shared" si="119"/>
        <v>#NUM!</v>
      </c>
      <c r="CD184" s="57">
        <f ca="1">AVERAGE(OFFSET($CC$3,0,0,'Données projet'!$E$12+1,1))-AVERAGE(OFFSET($H$3,0,0,'Données projet'!$E$12+1,1))</f>
        <v>479.4551766174892</v>
      </c>
      <c r="CE184" s="57">
        <f t="shared" si="148"/>
        <v>260.29028006191834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-2.2737367544323206E-13</v>
      </c>
      <c r="CU184" s="17">
        <f>CT184*VLOOKUP('Données projet'!$B$13,Paramètres!$A$1:$I$89,3,0)*VLOOKUP('Données projet'!$B$13,Paramètres!$A$1:$I$89,5,0)</f>
        <v>-1.2710188457276673E-13</v>
      </c>
      <c r="CV184" s="13" t="e">
        <f t="shared" si="173"/>
        <v>#NUM!</v>
      </c>
      <c r="CW184" s="20" t="e">
        <f t="shared" si="174"/>
        <v>#NUM!</v>
      </c>
      <c r="CX184" s="57" t="e">
        <f t="shared" si="122"/>
        <v>#NUM!</v>
      </c>
      <c r="CY184" s="57">
        <f ca="1">AVERAGE(OFFSET($CX$3,0,0,'Données projet'!$E$13+1,1))-AVERAGE(OFFSET($H$3,0,0,'Données projet'!$E$13+1,1))</f>
        <v>459.83870442974046</v>
      </c>
      <c r="CZ184" s="57">
        <f t="shared" si="150"/>
        <v>565.68976940602215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23.563126674685339</v>
      </c>
      <c r="DG184" s="21">
        <f>EXP(-LN(2)/25)*DG183+(1-EXP(-LN(2)/25))/(LN(2)/25)*Calculateur!DB184*Calculateur!DD184*VLOOKUP('Données projet'!$B$13,Paramètres!$A$1:$I$89,3,0)*0.475*44/12</f>
        <v>2.2493918142161733</v>
      </c>
      <c r="DH184" s="21">
        <f>EXP(-LN(2)/2)*DH183+(1-EXP(-LN(2)/2))/(LN(2)/2)*DB184*DE184*VLOOKUP('Données projet'!$B$13,Paramètres!$A$1:$I$89,3,0)*0.475*44/12</f>
        <v>3.4542555653254778E-17</v>
      </c>
      <c r="DI184" s="22">
        <f t="shared" si="175"/>
        <v>25.812518488901514</v>
      </c>
      <c r="DJ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7" t="e">
        <f t="shared" si="125"/>
        <v>#NUM!</v>
      </c>
      <c r="DT184" s="57">
        <f ca="1">AVERAGE(OFFSET($DS$3,0,0,'Données projet'!$E$14+1,1))-AVERAGE(OFFSET($H$3,0,0,'Données projet'!$E$14+1,1))</f>
        <v>315.23504986325418</v>
      </c>
      <c r="DU184" s="57">
        <f t="shared" si="152"/>
        <v>350.52837099886688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12.804541939648299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12.804541939648299</v>
      </c>
      <c r="EE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1.1368683772161603E-13</v>
      </c>
      <c r="EK184" s="17">
        <f>EJ184*VLOOKUP('Données projet'!$B$15,Paramètres!$A$1:$I$89,3,0)*VLOOKUP('Données projet'!$B$15,Paramètres!$A$1:$I$89,5,0)</f>
        <v>1.0995790944434703E-13</v>
      </c>
      <c r="EL184" s="13">
        <f t="shared" si="179"/>
        <v>1.6337280948049956E-12</v>
      </c>
      <c r="EM184" s="20">
        <f t="shared" si="180"/>
        <v>3.036919790734272E-12</v>
      </c>
      <c r="EN184" s="57">
        <f t="shared" si="128"/>
        <v>289.4733656586871</v>
      </c>
      <c r="EO184" s="57">
        <f ca="1">AVERAGE(OFFSET($EN$3,0,0,'Données projet'!$E$15+1,1))-AVERAGE(OFFSET($H$3,0,0,'Données projet'!$E$15+1,1))</f>
        <v>328.31200866623891</v>
      </c>
      <c r="EP184" s="57">
        <f t="shared" si="154"/>
        <v>195.52650232917446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76.47481549235458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76.47481549235458</v>
      </c>
      <c r="EZ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7" t="e">
        <f t="shared" si="131"/>
        <v>#NUM!</v>
      </c>
      <c r="FJ184" s="57">
        <f ca="1">AVERAGE(OFFSET($FI$3,0,0,'Données projet'!$E$16+1,1))-AVERAGE(OFFSET($H$3,0,0,'Données projet'!$E$16+1,1))</f>
        <v>142.88219003619457</v>
      </c>
      <c r="FK184" s="57">
        <f t="shared" si="156"/>
        <v>288.69704547625088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2.467802456814852</v>
      </c>
      <c r="FR184" s="21">
        <f>EXP(-LN(2)/25)*FR183+(1-EXP(-LN(2)/25))/(LN(2)/25)*Calculateur!FM184*Calculateur!FO184*VLOOKUP('Données projet'!$B$16,Paramètres!$A$1:$I$89,3,0)*0.475*44/12</f>
        <v>0.18874295686184014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2.6565454136766919</v>
      </c>
      <c r="FU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7" t="e">
        <f t="shared" si="134"/>
        <v>#N/A</v>
      </c>
      <c r="GE184" s="57" t="e">
        <f ca="1">AVERAGE(OFFSET($GD$3,0,0,'Données projet'!$E$17+1,1))-AVERAGE(OFFSET($H$3,0,0,'Données projet'!$E$17+1,1))</f>
        <v>#N/A</v>
      </c>
      <c r="GF184" s="57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7" t="e">
        <f t="shared" si="137"/>
        <v>#N/A</v>
      </c>
      <c r="GZ184" s="57" t="e">
        <f ca="1">AVERAGE(OFFSET($GY$3,0,0,'Données projet'!$E$18+1,1))-AVERAGE(OFFSET($H$3,0,0,'Données projet'!$E$18+1,1))</f>
        <v>#N/A</v>
      </c>
      <c r="HA184" s="57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1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5">
        <f t="shared" si="110"/>
        <v>183.33333333333334</v>
      </c>
      <c r="I185" s="6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-3.979039320256561E-13</v>
      </c>
      <c r="O185" s="13">
        <f>N185*VLOOKUP('Données projet'!$B$9,Paramètres!$A$1:$I$89,3,0)*VLOOKUP('Données projet'!$B$9,Paramètres!$A$1:$I$89,5,0)</f>
        <v>-3.6002347769681362E-13</v>
      </c>
      <c r="P185" s="13" t="e">
        <f t="shared" si="141"/>
        <v>#NUM!</v>
      </c>
      <c r="Q185" s="20" t="e">
        <f t="shared" si="162"/>
        <v>#NUM!</v>
      </c>
      <c r="R185" s="57" t="e">
        <f t="shared" si="109"/>
        <v>#NUM!</v>
      </c>
      <c r="S185" s="57">
        <f ca="1">AVERAGE(OFFSET($R$3,0,0,'Données projet'!$E$9+1,1))-AVERAGE(OFFSET($H$3,0,0,'Données projet'!$E$9+1,1))</f>
        <v>539.63700256763173</v>
      </c>
      <c r="T185" s="57">
        <f t="shared" si="142"/>
        <v>297.32483725004136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-3.979039320256561E-13</v>
      </c>
      <c r="AJ185" s="13">
        <f>AI185*VLOOKUP('Données projet'!$B$10,Paramètres!$A$1:$I$89,3,0)*VLOOKUP('Données projet'!$B$10,Paramètres!$A$1:$I$89,5,0)</f>
        <v>-3.3519427233841274E-13</v>
      </c>
      <c r="AK185" s="13" t="e">
        <f t="shared" si="164"/>
        <v>#NUM!</v>
      </c>
      <c r="AL185" s="20" t="e">
        <f t="shared" si="165"/>
        <v>#NUM!</v>
      </c>
      <c r="AM185" s="57" t="e">
        <f t="shared" si="113"/>
        <v>#NUM!</v>
      </c>
      <c r="AN185" s="57">
        <f ca="1">AVERAGE(OFFSET($AM$3,0,0,'Données projet'!$E$10+1,1))-AVERAGE(OFFSET($H$3,0,0,'Données projet'!$E$10+1,1))</f>
        <v>508.21188526136734</v>
      </c>
      <c r="AO185" s="57">
        <f t="shared" si="144"/>
        <v>281.06176764290592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-1.064108801074326E-13</v>
      </c>
      <c r="BF185" s="13" t="e">
        <f t="shared" si="167"/>
        <v>#NUM!</v>
      </c>
      <c r="BG185" s="20" t="e">
        <f t="shared" si="168"/>
        <v>#NUM!</v>
      </c>
      <c r="BH185" s="57" t="e">
        <f t="shared" si="116"/>
        <v>#NUM!</v>
      </c>
      <c r="BI185" s="57">
        <f ca="1">AVERAGE(OFFSET($BH$3,0,0,'Données projet'!$E$11+1,1))-AVERAGE(OFFSET($H$3,0,0,'Données projet'!$E$11+1,1))</f>
        <v>449.50723280509311</v>
      </c>
      <c r="BJ185" s="57">
        <f t="shared" si="146"/>
        <v>281.26353650058275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45.941807843776267</v>
      </c>
      <c r="BQ185" s="21">
        <f>EXP(-LN(2)/25)*BQ184+(1-EXP(-LN(2)/25))/(LN(2)/25)*Calculateur!BL185*Calculateur!BN185*VLOOKUP('Données projet'!$B$11,Paramètres!$A$1:$I$89,3,0)*0.475*44/12</f>
        <v>5.4177848820751651</v>
      </c>
      <c r="BR185" s="21">
        <f>EXP(-LN(2)/2)*BR184+(1-EXP(-LN(2)/2))/(LN(2)/2)*BL185*BO185*VLOOKUP('Données projet'!$B$11,Paramètres!$A$1:$I$89,3,0)*0.475*44/12</f>
        <v>1.9246929031640436E-11</v>
      </c>
      <c r="BS185" s="22">
        <f t="shared" si="169"/>
        <v>51.359592725870684</v>
      </c>
      <c r="BT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-1.1937117960769683E-12</v>
      </c>
      <c r="BZ185" s="13">
        <f>BY185*VLOOKUP('Données projet'!$B$12,Paramètres!$A$1:$I$89,3,0)*VLOOKUP('Données projet'!$B$12,Paramètres!$A$1:$I$89,5,0)</f>
        <v>-1.1359361451468432E-12</v>
      </c>
      <c r="CA185" s="13" t="e">
        <f t="shared" si="170"/>
        <v>#NUM!</v>
      </c>
      <c r="CB185" s="20" t="e">
        <f t="shared" si="171"/>
        <v>#NUM!</v>
      </c>
      <c r="CC185" s="57" t="e">
        <f t="shared" si="119"/>
        <v>#NUM!</v>
      </c>
      <c r="CD185" s="57">
        <f ca="1">AVERAGE(OFFSET($CC$3,0,0,'Données projet'!$E$12+1,1))-AVERAGE(OFFSET($H$3,0,0,'Données projet'!$E$12+1,1))</f>
        <v>479.4551766174892</v>
      </c>
      <c r="CE185" s="57">
        <f t="shared" si="148"/>
        <v>260.29028006191834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-2.2737367544323206E-13</v>
      </c>
      <c r="CU185" s="17">
        <f>CT185*VLOOKUP('Données projet'!$B$13,Paramètres!$A$1:$I$89,3,0)*VLOOKUP('Données projet'!$B$13,Paramètres!$A$1:$I$89,5,0)</f>
        <v>-1.2710188457276673E-13</v>
      </c>
      <c r="CV185" s="13" t="e">
        <f t="shared" si="173"/>
        <v>#NUM!</v>
      </c>
      <c r="CW185" s="20" t="e">
        <f t="shared" si="174"/>
        <v>#NUM!</v>
      </c>
      <c r="CX185" s="57" t="e">
        <f t="shared" si="122"/>
        <v>#NUM!</v>
      </c>
      <c r="CY185" s="57">
        <f ca="1">AVERAGE(OFFSET($CX$3,0,0,'Données projet'!$E$13+1,1))-AVERAGE(OFFSET($H$3,0,0,'Données projet'!$E$13+1,1))</f>
        <v>459.83870442974046</v>
      </c>
      <c r="CZ185" s="57">
        <f t="shared" si="150"/>
        <v>565.68976940602215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23.101068132682904</v>
      </c>
      <c r="DG185" s="21">
        <f>EXP(-LN(2)/25)*DG184+(1-EXP(-LN(2)/25))/(LN(2)/25)*Calculateur!DB185*Calculateur!DD185*VLOOKUP('Données projet'!$B$13,Paramètres!$A$1:$I$89,3,0)*0.475*44/12</f>
        <v>2.1878820767660576</v>
      </c>
      <c r="DH185" s="21">
        <f>EXP(-LN(2)/2)*DH184+(1-EXP(-LN(2)/2))/(LN(2)/2)*DB185*DE185*VLOOKUP('Données projet'!$B$13,Paramètres!$A$1:$I$89,3,0)*0.475*44/12</f>
        <v>2.4425275341930167E-17</v>
      </c>
      <c r="DI185" s="22">
        <f t="shared" si="175"/>
        <v>25.288950209448963</v>
      </c>
      <c r="DJ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7" t="e">
        <f t="shared" si="125"/>
        <v>#NUM!</v>
      </c>
      <c r="DT185" s="57">
        <f ca="1">AVERAGE(OFFSET($DS$3,0,0,'Données projet'!$E$14+1,1))-AVERAGE(OFFSET($H$3,0,0,'Données projet'!$E$14+1,1))</f>
        <v>315.23504986325418</v>
      </c>
      <c r="DU185" s="57">
        <f t="shared" si="152"/>
        <v>350.52837099886688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12.553452682211205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12.553452682211205</v>
      </c>
      <c r="EE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1.1368683772161603E-13</v>
      </c>
      <c r="EK185" s="17">
        <f>EJ185*VLOOKUP('Données projet'!$B$15,Paramètres!$A$1:$I$89,3,0)*VLOOKUP('Données projet'!$B$15,Paramètres!$A$1:$I$89,5,0)</f>
        <v>1.0995790944434703E-13</v>
      </c>
      <c r="EL185" s="13">
        <f t="shared" si="179"/>
        <v>1.6337280948049956E-12</v>
      </c>
      <c r="EM185" s="20">
        <f t="shared" si="180"/>
        <v>3.036919790734272E-12</v>
      </c>
      <c r="EN185" s="57">
        <f t="shared" si="128"/>
        <v>289.54032746824743</v>
      </c>
      <c r="EO185" s="57">
        <f ca="1">AVERAGE(OFFSET($EN$3,0,0,'Données projet'!$E$15+1,1))-AVERAGE(OFFSET($H$3,0,0,'Données projet'!$E$15+1,1))</f>
        <v>328.31200866623891</v>
      </c>
      <c r="EP185" s="57">
        <f t="shared" si="154"/>
        <v>195.52650232917446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74.975191005581138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74.975191005581138</v>
      </c>
      <c r="EZ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7" t="e">
        <f t="shared" si="131"/>
        <v>#NUM!</v>
      </c>
      <c r="FJ185" s="57">
        <f ca="1">AVERAGE(OFFSET($FI$3,0,0,'Données projet'!$E$16+1,1))-AVERAGE(OFFSET($H$3,0,0,'Données projet'!$E$16+1,1))</f>
        <v>142.88219003619457</v>
      </c>
      <c r="FK185" s="57">
        <f t="shared" si="156"/>
        <v>288.69704547625088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2.4194103558475843</v>
      </c>
      <c r="FR185" s="21">
        <f>EXP(-LN(2)/25)*FR184+(1-EXP(-LN(2)/25))/(LN(2)/25)*Calculateur!FM185*Calculateur!FO185*VLOOKUP('Données projet'!$B$16,Paramètres!$A$1:$I$89,3,0)*0.475*44/12</f>
        <v>0.18358177078089241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2.6029921266284766</v>
      </c>
      <c r="FU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7" t="e">
        <f t="shared" si="134"/>
        <v>#N/A</v>
      </c>
      <c r="GE185" s="57" t="e">
        <f ca="1">AVERAGE(OFFSET($GD$3,0,0,'Données projet'!$E$17+1,1))-AVERAGE(OFFSET($H$3,0,0,'Données projet'!$E$17+1,1))</f>
        <v>#N/A</v>
      </c>
      <c r="GF185" s="57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7" t="e">
        <f t="shared" si="137"/>
        <v>#N/A</v>
      </c>
      <c r="GZ185" s="57" t="e">
        <f ca="1">AVERAGE(OFFSET($GY$3,0,0,'Données projet'!$E$18+1,1))-AVERAGE(OFFSET($H$3,0,0,'Données projet'!$E$18+1,1))</f>
        <v>#N/A</v>
      </c>
      <c r="HA185" s="57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1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5">
        <f t="shared" si="110"/>
        <v>183.33333333333334</v>
      </c>
      <c r="I186" s="6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-3.979039320256561E-13</v>
      </c>
      <c r="O186" s="13">
        <f>N186*VLOOKUP('Données projet'!$B$9,Paramètres!$A$1:$I$89,3,0)*VLOOKUP('Données projet'!$B$9,Paramètres!$A$1:$I$89,5,0)</f>
        <v>-3.6002347769681362E-13</v>
      </c>
      <c r="P186" s="13" t="e">
        <f t="shared" si="141"/>
        <v>#NUM!</v>
      </c>
      <c r="Q186" s="20" t="e">
        <f t="shared" si="162"/>
        <v>#NUM!</v>
      </c>
      <c r="R186" s="57" t="e">
        <f t="shared" si="109"/>
        <v>#NUM!</v>
      </c>
      <c r="S186" s="57">
        <f ca="1">AVERAGE(OFFSET($R$3,0,0,'Données projet'!$E$9+1,1))-AVERAGE(OFFSET($H$3,0,0,'Données projet'!$E$9+1,1))</f>
        <v>539.63700256763173</v>
      </c>
      <c r="T186" s="57">
        <f t="shared" si="142"/>
        <v>297.32483725004136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-3.979039320256561E-13</v>
      </c>
      <c r="AJ186" s="13">
        <f>AI186*VLOOKUP('Données projet'!$B$10,Paramètres!$A$1:$I$89,3,0)*VLOOKUP('Données projet'!$B$10,Paramètres!$A$1:$I$89,5,0)</f>
        <v>-3.3519427233841274E-13</v>
      </c>
      <c r="AK186" s="13" t="e">
        <f t="shared" si="164"/>
        <v>#NUM!</v>
      </c>
      <c r="AL186" s="20" t="e">
        <f t="shared" si="165"/>
        <v>#NUM!</v>
      </c>
      <c r="AM186" s="57" t="e">
        <f t="shared" si="113"/>
        <v>#NUM!</v>
      </c>
      <c r="AN186" s="57">
        <f ca="1">AVERAGE(OFFSET($AM$3,0,0,'Données projet'!$E$10+1,1))-AVERAGE(OFFSET($H$3,0,0,'Données projet'!$E$10+1,1))</f>
        <v>508.21188526136734</v>
      </c>
      <c r="AO186" s="57">
        <f t="shared" si="144"/>
        <v>281.06176764290592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-1.064108801074326E-13</v>
      </c>
      <c r="BF186" s="13" t="e">
        <f t="shared" si="167"/>
        <v>#NUM!</v>
      </c>
      <c r="BG186" s="20" t="e">
        <f t="shared" si="168"/>
        <v>#NUM!</v>
      </c>
      <c r="BH186" s="57" t="e">
        <f t="shared" si="116"/>
        <v>#NUM!</v>
      </c>
      <c r="BI186" s="57">
        <f ca="1">AVERAGE(OFFSET($BH$3,0,0,'Données projet'!$E$11+1,1))-AVERAGE(OFFSET($H$3,0,0,'Données projet'!$E$11+1,1))</f>
        <v>449.50723280509311</v>
      </c>
      <c r="BJ186" s="57">
        <f t="shared" si="146"/>
        <v>281.26353650058275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45.040917013695683</v>
      </c>
      <c r="BQ186" s="21">
        <f>EXP(-LN(2)/25)*BQ185+(1-EXP(-LN(2)/25))/(LN(2)/25)*Calculateur!BL186*Calculateur!BN186*VLOOKUP('Données projet'!$B$11,Paramètres!$A$1:$I$89,3,0)*0.475*44/12</f>
        <v>5.269635269565895</v>
      </c>
      <c r="BR186" s="21">
        <f>EXP(-LN(2)/2)*BR185+(1-EXP(-LN(2)/2))/(LN(2)/2)*BL186*BO186*VLOOKUP('Données projet'!$B$11,Paramètres!$A$1:$I$89,3,0)*0.475*44/12</f>
        <v>1.3609634035289183E-11</v>
      </c>
      <c r="BS186" s="22">
        <f t="shared" si="169"/>
        <v>50.310552283275186</v>
      </c>
      <c r="BT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-1.1937117960769683E-12</v>
      </c>
      <c r="BZ186" s="13">
        <f>BY186*VLOOKUP('Données projet'!$B$12,Paramètres!$A$1:$I$89,3,0)*VLOOKUP('Données projet'!$B$12,Paramètres!$A$1:$I$89,5,0)</f>
        <v>-1.1359361451468432E-12</v>
      </c>
      <c r="CA186" s="13" t="e">
        <f t="shared" si="170"/>
        <v>#NUM!</v>
      </c>
      <c r="CB186" s="20" t="e">
        <f t="shared" si="171"/>
        <v>#NUM!</v>
      </c>
      <c r="CC186" s="57" t="e">
        <f t="shared" si="119"/>
        <v>#NUM!</v>
      </c>
      <c r="CD186" s="57">
        <f ca="1">AVERAGE(OFFSET($CC$3,0,0,'Données projet'!$E$12+1,1))-AVERAGE(OFFSET($H$3,0,0,'Données projet'!$E$12+1,1))</f>
        <v>479.4551766174892</v>
      </c>
      <c r="CE186" s="57">
        <f t="shared" si="148"/>
        <v>260.29028006191834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-2.2737367544323206E-13</v>
      </c>
      <c r="CU186" s="17">
        <f>CT186*VLOOKUP('Données projet'!$B$13,Paramètres!$A$1:$I$89,3,0)*VLOOKUP('Données projet'!$B$13,Paramètres!$A$1:$I$89,5,0)</f>
        <v>-1.2710188457276673E-13</v>
      </c>
      <c r="CV186" s="13" t="e">
        <f t="shared" si="173"/>
        <v>#NUM!</v>
      </c>
      <c r="CW186" s="20" t="e">
        <f t="shared" si="174"/>
        <v>#NUM!</v>
      </c>
      <c r="CX186" s="57" t="e">
        <f t="shared" si="122"/>
        <v>#NUM!</v>
      </c>
      <c r="CY186" s="57">
        <f ca="1">AVERAGE(OFFSET($CX$3,0,0,'Données projet'!$E$13+1,1))-AVERAGE(OFFSET($H$3,0,0,'Données projet'!$E$13+1,1))</f>
        <v>459.83870442974046</v>
      </c>
      <c r="CZ186" s="57">
        <f t="shared" si="150"/>
        <v>565.68976940602215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22.648070276861255</v>
      </c>
      <c r="DG186" s="21">
        <f>EXP(-LN(2)/25)*DG185+(1-EXP(-LN(2)/25))/(LN(2)/25)*Calculateur!DB186*Calculateur!DD186*VLOOKUP('Données projet'!$B$13,Paramètres!$A$1:$I$89,3,0)*0.475*44/12</f>
        <v>2.128054326321172</v>
      </c>
      <c r="DH186" s="21">
        <f>EXP(-LN(2)/2)*DH185+(1-EXP(-LN(2)/2))/(LN(2)/2)*DB186*DE186*VLOOKUP('Données projet'!$B$13,Paramètres!$A$1:$I$89,3,0)*0.475*44/12</f>
        <v>1.7271277826627389E-17</v>
      </c>
      <c r="DI186" s="22">
        <f t="shared" si="175"/>
        <v>24.776124603182428</v>
      </c>
      <c r="DJ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7" t="e">
        <f t="shared" si="125"/>
        <v>#NUM!</v>
      </c>
      <c r="DT186" s="57">
        <f ca="1">AVERAGE(OFFSET($DS$3,0,0,'Données projet'!$E$14+1,1))-AVERAGE(OFFSET($H$3,0,0,'Données projet'!$E$14+1,1))</f>
        <v>315.23504986325418</v>
      </c>
      <c r="DU186" s="57">
        <f t="shared" si="152"/>
        <v>350.52837099886688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12.307287131963129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12.307287131963129</v>
      </c>
      <c r="EE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1.1368683772161603E-13</v>
      </c>
      <c r="EK186" s="17">
        <f>EJ186*VLOOKUP('Données projet'!$B$15,Paramètres!$A$1:$I$89,3,0)*VLOOKUP('Données projet'!$B$15,Paramètres!$A$1:$I$89,5,0)</f>
        <v>1.0995790944434703E-13</v>
      </c>
      <c r="EL186" s="13">
        <f t="shared" si="179"/>
        <v>1.6337280948049956E-12</v>
      </c>
      <c r="EM186" s="20">
        <f t="shared" si="180"/>
        <v>3.036919790734272E-12</v>
      </c>
      <c r="EN186" s="57">
        <f t="shared" si="128"/>
        <v>289.60612764011597</v>
      </c>
      <c r="EO186" s="57">
        <f ca="1">AVERAGE(OFFSET($EN$3,0,0,'Données projet'!$E$15+1,1))-AVERAGE(OFFSET($H$3,0,0,'Données projet'!$E$15+1,1))</f>
        <v>328.31200866623891</v>
      </c>
      <c r="EP186" s="57">
        <f t="shared" si="154"/>
        <v>195.52650232917446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73.504973240312708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73.504973240312708</v>
      </c>
      <c r="EZ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7" t="e">
        <f t="shared" si="131"/>
        <v>#NUM!</v>
      </c>
      <c r="FJ186" s="57">
        <f ca="1">AVERAGE(OFFSET($FI$3,0,0,'Données projet'!$E$16+1,1))-AVERAGE(OFFSET($H$3,0,0,'Données projet'!$E$16+1,1))</f>
        <v>142.88219003619457</v>
      </c>
      <c r="FK186" s="57">
        <f t="shared" si="156"/>
        <v>288.69704547625088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2.3719671944640175</v>
      </c>
      <c r="FR186" s="21">
        <f>EXP(-LN(2)/25)*FR185+(1-EXP(-LN(2)/25))/(LN(2)/25)*Calculateur!FM186*Calculateur!FO186*VLOOKUP('Données projet'!$B$16,Paramètres!$A$1:$I$89,3,0)*0.475*44/12</f>
        <v>0.17856171760474315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2.5505289120687609</v>
      </c>
      <c r="FU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7" t="e">
        <f t="shared" si="134"/>
        <v>#N/A</v>
      </c>
      <c r="GE186" s="57" t="e">
        <f ca="1">AVERAGE(OFFSET($GD$3,0,0,'Données projet'!$E$17+1,1))-AVERAGE(OFFSET($H$3,0,0,'Données projet'!$E$17+1,1))</f>
        <v>#N/A</v>
      </c>
      <c r="GF186" s="57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7" t="e">
        <f t="shared" si="137"/>
        <v>#N/A</v>
      </c>
      <c r="GZ186" s="57" t="e">
        <f ca="1">AVERAGE(OFFSET($GY$3,0,0,'Données projet'!$E$18+1,1))-AVERAGE(OFFSET($H$3,0,0,'Données projet'!$E$18+1,1))</f>
        <v>#N/A</v>
      </c>
      <c r="HA186" s="57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1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5">
        <f t="shared" si="110"/>
        <v>183.33333333333334</v>
      </c>
      <c r="I187" s="6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-3.979039320256561E-13</v>
      </c>
      <c r="O187" s="13">
        <f>N187*VLOOKUP('Données projet'!$B$9,Paramètres!$A$1:$I$89,3,0)*VLOOKUP('Données projet'!$B$9,Paramètres!$A$1:$I$89,5,0)</f>
        <v>-3.6002347769681362E-13</v>
      </c>
      <c r="P187" s="13" t="e">
        <f t="shared" si="141"/>
        <v>#NUM!</v>
      </c>
      <c r="Q187" s="20" t="e">
        <f t="shared" si="162"/>
        <v>#NUM!</v>
      </c>
      <c r="R187" s="57" t="e">
        <f t="shared" si="109"/>
        <v>#NUM!</v>
      </c>
      <c r="S187" s="57">
        <f ca="1">AVERAGE(OFFSET($R$3,0,0,'Données projet'!$E$9+1,1))-AVERAGE(OFFSET($H$3,0,0,'Données projet'!$E$9+1,1))</f>
        <v>539.63700256763173</v>
      </c>
      <c r="T187" s="57">
        <f t="shared" si="142"/>
        <v>297.32483725004136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-3.979039320256561E-13</v>
      </c>
      <c r="AJ187" s="13">
        <f>AI187*VLOOKUP('Données projet'!$B$10,Paramètres!$A$1:$I$89,3,0)*VLOOKUP('Données projet'!$B$10,Paramètres!$A$1:$I$89,5,0)</f>
        <v>-3.3519427233841274E-13</v>
      </c>
      <c r="AK187" s="13" t="e">
        <f t="shared" si="164"/>
        <v>#NUM!</v>
      </c>
      <c r="AL187" s="20" t="e">
        <f t="shared" si="165"/>
        <v>#NUM!</v>
      </c>
      <c r="AM187" s="57" t="e">
        <f t="shared" si="113"/>
        <v>#NUM!</v>
      </c>
      <c r="AN187" s="57">
        <f ca="1">AVERAGE(OFFSET($AM$3,0,0,'Données projet'!$E$10+1,1))-AVERAGE(OFFSET($H$3,0,0,'Données projet'!$E$10+1,1))</f>
        <v>508.21188526136734</v>
      </c>
      <c r="AO187" s="57">
        <f t="shared" si="144"/>
        <v>281.06176764290592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-1.064108801074326E-13</v>
      </c>
      <c r="BF187" s="13" t="e">
        <f t="shared" si="167"/>
        <v>#NUM!</v>
      </c>
      <c r="BG187" s="20" t="e">
        <f t="shared" si="168"/>
        <v>#NUM!</v>
      </c>
      <c r="BH187" s="57" t="e">
        <f t="shared" si="116"/>
        <v>#NUM!</v>
      </c>
      <c r="BI187" s="57">
        <f ca="1">AVERAGE(OFFSET($BH$3,0,0,'Données projet'!$E$11+1,1))-AVERAGE(OFFSET($H$3,0,0,'Données projet'!$E$11+1,1))</f>
        <v>449.50723280509311</v>
      </c>
      <c r="BJ187" s="57">
        <f t="shared" si="146"/>
        <v>281.26353650058275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44.15769210330383</v>
      </c>
      <c r="BQ187" s="21">
        <f>EXP(-LN(2)/25)*BQ186+(1-EXP(-LN(2)/25))/(LN(2)/25)*Calculateur!BL187*Calculateur!BN187*VLOOKUP('Données projet'!$B$11,Paramètres!$A$1:$I$89,3,0)*0.475*44/12</f>
        <v>5.1255368160015404</v>
      </c>
      <c r="BR187" s="21">
        <f>EXP(-LN(2)/2)*BR186+(1-EXP(-LN(2)/2))/(LN(2)/2)*BL187*BO187*VLOOKUP('Données projet'!$B$11,Paramètres!$A$1:$I$89,3,0)*0.475*44/12</f>
        <v>9.6234645158202182E-12</v>
      </c>
      <c r="BS187" s="22">
        <f t="shared" si="169"/>
        <v>49.283228919314993</v>
      </c>
      <c r="BT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-1.1937117960769683E-12</v>
      </c>
      <c r="BZ187" s="13">
        <f>BY187*VLOOKUP('Données projet'!$B$12,Paramètres!$A$1:$I$89,3,0)*VLOOKUP('Données projet'!$B$12,Paramètres!$A$1:$I$89,5,0)</f>
        <v>-1.1359361451468432E-12</v>
      </c>
      <c r="CA187" s="13" t="e">
        <f t="shared" si="170"/>
        <v>#NUM!</v>
      </c>
      <c r="CB187" s="20" t="e">
        <f t="shared" si="171"/>
        <v>#NUM!</v>
      </c>
      <c r="CC187" s="57" t="e">
        <f t="shared" si="119"/>
        <v>#NUM!</v>
      </c>
      <c r="CD187" s="57">
        <f ca="1">AVERAGE(OFFSET($CC$3,0,0,'Données projet'!$E$12+1,1))-AVERAGE(OFFSET($H$3,0,0,'Données projet'!$E$12+1,1))</f>
        <v>479.4551766174892</v>
      </c>
      <c r="CE187" s="57">
        <f t="shared" si="148"/>
        <v>260.29028006191834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-2.2737367544323206E-13</v>
      </c>
      <c r="CU187" s="17">
        <f>CT187*VLOOKUP('Données projet'!$B$13,Paramètres!$A$1:$I$89,3,0)*VLOOKUP('Données projet'!$B$13,Paramètres!$A$1:$I$89,5,0)</f>
        <v>-1.2710188457276673E-13</v>
      </c>
      <c r="CV187" s="13" t="e">
        <f t="shared" si="173"/>
        <v>#NUM!</v>
      </c>
      <c r="CW187" s="20" t="e">
        <f t="shared" si="174"/>
        <v>#NUM!</v>
      </c>
      <c r="CX187" s="57" t="e">
        <f t="shared" si="122"/>
        <v>#NUM!</v>
      </c>
      <c r="CY187" s="57">
        <f ca="1">AVERAGE(OFFSET($CX$3,0,0,'Données projet'!$E$13+1,1))-AVERAGE(OFFSET($H$3,0,0,'Données projet'!$E$13+1,1))</f>
        <v>459.83870442974046</v>
      </c>
      <c r="CZ187" s="57">
        <f t="shared" si="150"/>
        <v>565.68976940602215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22.203955432690858</v>
      </c>
      <c r="DG187" s="21">
        <f>EXP(-LN(2)/25)*DG186+(1-EXP(-LN(2)/25))/(LN(2)/25)*Calculateur!DB187*Calculateur!DD187*VLOOKUP('Données projet'!$B$13,Paramètres!$A$1:$I$89,3,0)*0.475*44/12</f>
        <v>2.0698625688584062</v>
      </c>
      <c r="DH187" s="21">
        <f>EXP(-LN(2)/2)*DH186+(1-EXP(-LN(2)/2))/(LN(2)/2)*DB187*DE187*VLOOKUP('Données projet'!$B$13,Paramètres!$A$1:$I$89,3,0)*0.475*44/12</f>
        <v>1.2212637670965083E-17</v>
      </c>
      <c r="DI187" s="22">
        <f t="shared" si="175"/>
        <v>24.273818001549266</v>
      </c>
      <c r="DJ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7" t="e">
        <f t="shared" si="125"/>
        <v>#NUM!</v>
      </c>
      <c r="DT187" s="57">
        <f ca="1">AVERAGE(OFFSET($DS$3,0,0,'Données projet'!$E$14+1,1))-AVERAGE(OFFSET($H$3,0,0,'Données projet'!$E$14+1,1))</f>
        <v>315.23504986325418</v>
      </c>
      <c r="DU187" s="57">
        <f t="shared" si="152"/>
        <v>350.52837099886688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12.065948738009258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12.065948738009258</v>
      </c>
      <c r="EE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1.1368683772161603E-13</v>
      </c>
      <c r="EK187" s="17">
        <f>EJ187*VLOOKUP('Données projet'!$B$15,Paramètres!$A$1:$I$89,3,0)*VLOOKUP('Données projet'!$B$15,Paramètres!$A$1:$I$89,5,0)</f>
        <v>1.0995790944434703E-13</v>
      </c>
      <c r="EL187" s="13">
        <f t="shared" si="179"/>
        <v>1.6337280948049956E-12</v>
      </c>
      <c r="EM187" s="20">
        <f t="shared" si="180"/>
        <v>3.036919790734272E-12</v>
      </c>
      <c r="EN187" s="57">
        <f t="shared" si="128"/>
        <v>289.67078632610975</v>
      </c>
      <c r="EO187" s="57">
        <f ca="1">AVERAGE(OFFSET($EN$3,0,0,'Données projet'!$E$15+1,1))-AVERAGE(OFFSET($H$3,0,0,'Données projet'!$E$15+1,1))</f>
        <v>328.31200866623891</v>
      </c>
      <c r="EP187" s="57">
        <f t="shared" si="154"/>
        <v>195.52650232917446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72.063585548676897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72.063585548676897</v>
      </c>
      <c r="EZ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7" t="e">
        <f t="shared" si="131"/>
        <v>#NUM!</v>
      </c>
      <c r="FJ187" s="57">
        <f ca="1">AVERAGE(OFFSET($FI$3,0,0,'Données projet'!$E$16+1,1))-AVERAGE(OFFSET($H$3,0,0,'Données projet'!$E$16+1,1))</f>
        <v>142.88219003619457</v>
      </c>
      <c r="FK187" s="57">
        <f t="shared" si="156"/>
        <v>288.69704547625088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2.3254543645377113</v>
      </c>
      <c r="FR187" s="21">
        <f>EXP(-LN(2)/25)*FR186+(1-EXP(-LN(2)/25))/(LN(2)/25)*Calculateur!FM187*Calculateur!FO187*VLOOKUP('Données projet'!$B$16,Paramètres!$A$1:$I$89,3,0)*0.475*44/12</f>
        <v>0.17367893804668882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2.4991333025844003</v>
      </c>
      <c r="FU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7" t="e">
        <f t="shared" si="134"/>
        <v>#N/A</v>
      </c>
      <c r="GE187" s="57" t="e">
        <f ca="1">AVERAGE(OFFSET($GD$3,0,0,'Données projet'!$E$17+1,1))-AVERAGE(OFFSET($H$3,0,0,'Données projet'!$E$17+1,1))</f>
        <v>#N/A</v>
      </c>
      <c r="GF187" s="57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7" t="e">
        <f t="shared" si="137"/>
        <v>#N/A</v>
      </c>
      <c r="GZ187" s="57" t="e">
        <f ca="1">AVERAGE(OFFSET($GY$3,0,0,'Données projet'!$E$18+1,1))-AVERAGE(OFFSET($H$3,0,0,'Données projet'!$E$18+1,1))</f>
        <v>#N/A</v>
      </c>
      <c r="HA187" s="57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1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5">
        <f t="shared" si="110"/>
        <v>183.33333333333334</v>
      </c>
      <c r="I188" s="6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-3.979039320256561E-13</v>
      </c>
      <c r="O188" s="13">
        <f>N188*VLOOKUP('Données projet'!$B$9,Paramètres!$A$1:$I$89,3,0)*VLOOKUP('Données projet'!$B$9,Paramètres!$A$1:$I$89,5,0)</f>
        <v>-3.6002347769681362E-13</v>
      </c>
      <c r="P188" s="13" t="e">
        <f t="shared" si="141"/>
        <v>#NUM!</v>
      </c>
      <c r="Q188" s="20" t="e">
        <f t="shared" si="162"/>
        <v>#NUM!</v>
      </c>
      <c r="R188" s="57" t="e">
        <f t="shared" si="109"/>
        <v>#NUM!</v>
      </c>
      <c r="S188" s="57">
        <f ca="1">AVERAGE(OFFSET($R$3,0,0,'Données projet'!$E$9+1,1))-AVERAGE(OFFSET($H$3,0,0,'Données projet'!$E$9+1,1))</f>
        <v>539.63700256763173</v>
      </c>
      <c r="T188" s="57">
        <f t="shared" si="142"/>
        <v>297.32483725004136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-3.979039320256561E-13</v>
      </c>
      <c r="AJ188" s="13">
        <f>AI188*VLOOKUP('Données projet'!$B$10,Paramètres!$A$1:$I$89,3,0)*VLOOKUP('Données projet'!$B$10,Paramètres!$A$1:$I$89,5,0)</f>
        <v>-3.3519427233841274E-13</v>
      </c>
      <c r="AK188" s="13" t="e">
        <f t="shared" si="164"/>
        <v>#NUM!</v>
      </c>
      <c r="AL188" s="20" t="e">
        <f t="shared" si="165"/>
        <v>#NUM!</v>
      </c>
      <c r="AM188" s="57" t="e">
        <f t="shared" si="113"/>
        <v>#NUM!</v>
      </c>
      <c r="AN188" s="57">
        <f ca="1">AVERAGE(OFFSET($AM$3,0,0,'Données projet'!$E$10+1,1))-AVERAGE(OFFSET($H$3,0,0,'Données projet'!$E$10+1,1))</f>
        <v>508.21188526136734</v>
      </c>
      <c r="AO188" s="57">
        <f t="shared" si="144"/>
        <v>281.06176764290592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-1.064108801074326E-13</v>
      </c>
      <c r="BF188" s="13" t="e">
        <f t="shared" si="167"/>
        <v>#NUM!</v>
      </c>
      <c r="BG188" s="20" t="e">
        <f t="shared" si="168"/>
        <v>#NUM!</v>
      </c>
      <c r="BH188" s="57" t="e">
        <f t="shared" si="116"/>
        <v>#NUM!</v>
      </c>
      <c r="BI188" s="57">
        <f ca="1">AVERAGE(OFFSET($BH$3,0,0,'Données projet'!$E$11+1,1))-AVERAGE(OFFSET($H$3,0,0,'Données projet'!$E$11+1,1))</f>
        <v>449.50723280509311</v>
      </c>
      <c r="BJ188" s="57">
        <f t="shared" si="146"/>
        <v>281.26353650058275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43.291786694690757</v>
      </c>
      <c r="BQ188" s="21">
        <f>EXP(-LN(2)/25)*BQ187+(1-EXP(-LN(2)/25))/(LN(2)/25)*Calculateur!BL188*Calculateur!BN188*VLOOKUP('Données projet'!$B$11,Paramètres!$A$1:$I$89,3,0)*0.475*44/12</f>
        <v>4.985378742227712</v>
      </c>
      <c r="BR188" s="21">
        <f>EXP(-LN(2)/2)*BR187+(1-EXP(-LN(2)/2))/(LN(2)/2)*BL188*BO188*VLOOKUP('Données projet'!$B$11,Paramètres!$A$1:$I$89,3,0)*0.475*44/12</f>
        <v>6.8048170176445916E-12</v>
      </c>
      <c r="BS188" s="22">
        <f t="shared" si="169"/>
        <v>48.277165436925273</v>
      </c>
      <c r="BT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-1.1937117960769683E-12</v>
      </c>
      <c r="BZ188" s="13">
        <f>BY188*VLOOKUP('Données projet'!$B$12,Paramètres!$A$1:$I$89,3,0)*VLOOKUP('Données projet'!$B$12,Paramètres!$A$1:$I$89,5,0)</f>
        <v>-1.1359361451468432E-12</v>
      </c>
      <c r="CA188" s="13" t="e">
        <f t="shared" si="170"/>
        <v>#NUM!</v>
      </c>
      <c r="CB188" s="20" t="e">
        <f t="shared" si="171"/>
        <v>#NUM!</v>
      </c>
      <c r="CC188" s="57" t="e">
        <f t="shared" si="119"/>
        <v>#NUM!</v>
      </c>
      <c r="CD188" s="57">
        <f ca="1">AVERAGE(OFFSET($CC$3,0,0,'Données projet'!$E$12+1,1))-AVERAGE(OFFSET($H$3,0,0,'Données projet'!$E$12+1,1))</f>
        <v>479.4551766174892</v>
      </c>
      <c r="CE188" s="57">
        <f t="shared" si="148"/>
        <v>260.29028006191834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-2.2737367544323206E-13</v>
      </c>
      <c r="CU188" s="17">
        <f>CT188*VLOOKUP('Données projet'!$B$13,Paramètres!$A$1:$I$89,3,0)*VLOOKUP('Données projet'!$B$13,Paramètres!$A$1:$I$89,5,0)</f>
        <v>-1.2710188457276673E-13</v>
      </c>
      <c r="CV188" s="13" t="e">
        <f t="shared" si="173"/>
        <v>#NUM!</v>
      </c>
      <c r="CW188" s="20" t="e">
        <f t="shared" si="174"/>
        <v>#NUM!</v>
      </c>
      <c r="CX188" s="57" t="e">
        <f t="shared" si="122"/>
        <v>#NUM!</v>
      </c>
      <c r="CY188" s="57">
        <f ca="1">AVERAGE(OFFSET($CX$3,0,0,'Données projet'!$E$13+1,1))-AVERAGE(OFFSET($H$3,0,0,'Données projet'!$E$13+1,1))</f>
        <v>459.83870442974046</v>
      </c>
      <c r="CZ188" s="57">
        <f t="shared" si="150"/>
        <v>565.68976940602215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21.768549409731335</v>
      </c>
      <c r="DG188" s="21">
        <f>EXP(-LN(2)/25)*DG187+(1-EXP(-LN(2)/25))/(LN(2)/25)*Calculateur!DB188*Calculateur!DD188*VLOOKUP('Données projet'!$B$13,Paramètres!$A$1:$I$89,3,0)*0.475*44/12</f>
        <v>2.0132620680636313</v>
      </c>
      <c r="DH188" s="21">
        <f>EXP(-LN(2)/2)*DH187+(1-EXP(-LN(2)/2))/(LN(2)/2)*DB188*DE188*VLOOKUP('Données projet'!$B$13,Paramètres!$A$1:$I$89,3,0)*0.475*44/12</f>
        <v>8.6356389133136944E-18</v>
      </c>
      <c r="DI188" s="22">
        <f t="shared" si="175"/>
        <v>23.781811477794967</v>
      </c>
      <c r="DJ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7" t="e">
        <f t="shared" si="125"/>
        <v>#NUM!</v>
      </c>
      <c r="DT188" s="57">
        <f ca="1">AVERAGE(OFFSET($DS$3,0,0,'Données projet'!$E$14+1,1))-AVERAGE(OFFSET($H$3,0,0,'Données projet'!$E$14+1,1))</f>
        <v>315.23504986325418</v>
      </c>
      <c r="DU188" s="57">
        <f t="shared" si="152"/>
        <v>350.52837099886688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11.829342842758937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11.829342842758937</v>
      </c>
      <c r="EE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1.1368683772161603E-13</v>
      </c>
      <c r="EK188" s="17">
        <f>EJ188*VLOOKUP('Données projet'!$B$15,Paramètres!$A$1:$I$89,3,0)*VLOOKUP('Données projet'!$B$15,Paramètres!$A$1:$I$89,5,0)</f>
        <v>1.0995790944434703E-13</v>
      </c>
      <c r="EL188" s="13">
        <f t="shared" si="179"/>
        <v>1.6337280948049956E-12</v>
      </c>
      <c r="EM188" s="20">
        <f t="shared" si="180"/>
        <v>3.036919790734272E-12</v>
      </c>
      <c r="EN188" s="57">
        <f t="shared" si="128"/>
        <v>289.73432332845675</v>
      </c>
      <c r="EO188" s="57">
        <f ca="1">AVERAGE(OFFSET($EN$3,0,0,'Données projet'!$E$15+1,1))-AVERAGE(OFFSET($H$3,0,0,'Données projet'!$E$15+1,1))</f>
        <v>328.31200866623891</v>
      </c>
      <c r="EP188" s="57">
        <f t="shared" si="154"/>
        <v>195.52650232917446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70.650462590514394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70.650462590514394</v>
      </c>
      <c r="EZ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7" t="e">
        <f t="shared" si="131"/>
        <v>#NUM!</v>
      </c>
      <c r="FJ188" s="57">
        <f ca="1">AVERAGE(OFFSET($FI$3,0,0,'Données projet'!$E$16+1,1))-AVERAGE(OFFSET($H$3,0,0,'Données projet'!$E$16+1,1))</f>
        <v>142.88219003619457</v>
      </c>
      <c r="FK188" s="57">
        <f t="shared" si="156"/>
        <v>288.69704547625088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2.2798536228362352</v>
      </c>
      <c r="FR188" s="21">
        <f>EXP(-LN(2)/25)*FR187+(1-EXP(-LN(2)/25))/(LN(2)/25)*Calculateur!FM188*Calculateur!FO188*VLOOKUP('Données projet'!$B$16,Paramètres!$A$1:$I$89,3,0)*0.475*44/12</f>
        <v>0.16892967835242373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2.4487833011886591</v>
      </c>
      <c r="FU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7" t="e">
        <f t="shared" si="134"/>
        <v>#N/A</v>
      </c>
      <c r="GE188" s="57" t="e">
        <f ca="1">AVERAGE(OFFSET($GD$3,0,0,'Données projet'!$E$17+1,1))-AVERAGE(OFFSET($H$3,0,0,'Données projet'!$E$17+1,1))</f>
        <v>#N/A</v>
      </c>
      <c r="GF188" s="57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7" t="e">
        <f t="shared" si="137"/>
        <v>#N/A</v>
      </c>
      <c r="GZ188" s="57" t="e">
        <f ca="1">AVERAGE(OFFSET($GY$3,0,0,'Données projet'!$E$18+1,1))-AVERAGE(OFFSET($H$3,0,0,'Données projet'!$E$18+1,1))</f>
        <v>#N/A</v>
      </c>
      <c r="HA188" s="57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1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5">
        <f t="shared" si="110"/>
        <v>183.33333333333334</v>
      </c>
      <c r="I189" s="6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-3.979039320256561E-13</v>
      </c>
      <c r="O189" s="13">
        <f>N189*VLOOKUP('Données projet'!$B$9,Paramètres!$A$1:$I$89,3,0)*VLOOKUP('Données projet'!$B$9,Paramètres!$A$1:$I$89,5,0)</f>
        <v>-3.6002347769681362E-13</v>
      </c>
      <c r="P189" s="13" t="e">
        <f t="shared" si="141"/>
        <v>#NUM!</v>
      </c>
      <c r="Q189" s="20" t="e">
        <f t="shared" si="162"/>
        <v>#NUM!</v>
      </c>
      <c r="R189" s="57" t="e">
        <f t="shared" si="109"/>
        <v>#NUM!</v>
      </c>
      <c r="S189" s="57">
        <f ca="1">AVERAGE(OFFSET($R$3,0,0,'Données projet'!$E$9+1,1))-AVERAGE(OFFSET($H$3,0,0,'Données projet'!$E$9+1,1))</f>
        <v>539.63700256763173</v>
      </c>
      <c r="T189" s="57">
        <f t="shared" si="142"/>
        <v>297.32483725004136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-3.979039320256561E-13</v>
      </c>
      <c r="AJ189" s="13">
        <f>AI189*VLOOKUP('Données projet'!$B$10,Paramètres!$A$1:$I$89,3,0)*VLOOKUP('Données projet'!$B$10,Paramètres!$A$1:$I$89,5,0)</f>
        <v>-3.3519427233841274E-13</v>
      </c>
      <c r="AK189" s="13" t="e">
        <f t="shared" si="164"/>
        <v>#NUM!</v>
      </c>
      <c r="AL189" s="20" t="e">
        <f t="shared" si="165"/>
        <v>#NUM!</v>
      </c>
      <c r="AM189" s="57" t="e">
        <f t="shared" si="113"/>
        <v>#NUM!</v>
      </c>
      <c r="AN189" s="57">
        <f ca="1">AVERAGE(OFFSET($AM$3,0,0,'Données projet'!$E$10+1,1))-AVERAGE(OFFSET($H$3,0,0,'Données projet'!$E$10+1,1))</f>
        <v>508.21188526136734</v>
      </c>
      <c r="AO189" s="57">
        <f t="shared" si="144"/>
        <v>281.06176764290592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-1.064108801074326E-13</v>
      </c>
      <c r="BF189" s="13" t="e">
        <f t="shared" si="167"/>
        <v>#NUM!</v>
      </c>
      <c r="BG189" s="20" t="e">
        <f t="shared" si="168"/>
        <v>#NUM!</v>
      </c>
      <c r="BH189" s="57" t="e">
        <f t="shared" si="116"/>
        <v>#NUM!</v>
      </c>
      <c r="BI189" s="57">
        <f ca="1">AVERAGE(OFFSET($BH$3,0,0,'Données projet'!$E$11+1,1))-AVERAGE(OFFSET($H$3,0,0,'Données projet'!$E$11+1,1))</f>
        <v>449.50723280509311</v>
      </c>
      <c r="BJ189" s="57">
        <f t="shared" si="146"/>
        <v>281.26353650058275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42.44286116299044</v>
      </c>
      <c r="BQ189" s="21">
        <f>EXP(-LN(2)/25)*BQ188+(1-EXP(-LN(2)/25))/(LN(2)/25)*Calculateur!BL189*Calculateur!BN189*VLOOKUP('Données projet'!$B$11,Paramètres!$A$1:$I$89,3,0)*0.475*44/12</f>
        <v>4.8490532983518211</v>
      </c>
      <c r="BR189" s="21">
        <f>EXP(-LN(2)/2)*BR188+(1-EXP(-LN(2)/2))/(LN(2)/2)*BL189*BO189*VLOOKUP('Données projet'!$B$11,Paramètres!$A$1:$I$89,3,0)*0.475*44/12</f>
        <v>4.8117322579101091E-12</v>
      </c>
      <c r="BS189" s="22">
        <f t="shared" si="169"/>
        <v>47.291914461347069</v>
      </c>
      <c r="BT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-1.1937117960769683E-12</v>
      </c>
      <c r="BZ189" s="13">
        <f>BY189*VLOOKUP('Données projet'!$B$12,Paramètres!$A$1:$I$89,3,0)*VLOOKUP('Données projet'!$B$12,Paramètres!$A$1:$I$89,5,0)</f>
        <v>-1.1359361451468432E-12</v>
      </c>
      <c r="CA189" s="13" t="e">
        <f t="shared" si="170"/>
        <v>#NUM!</v>
      </c>
      <c r="CB189" s="20" t="e">
        <f t="shared" si="171"/>
        <v>#NUM!</v>
      </c>
      <c r="CC189" s="57" t="e">
        <f t="shared" si="119"/>
        <v>#NUM!</v>
      </c>
      <c r="CD189" s="57">
        <f ca="1">AVERAGE(OFFSET($CC$3,0,0,'Données projet'!$E$12+1,1))-AVERAGE(OFFSET($H$3,0,0,'Données projet'!$E$12+1,1))</f>
        <v>479.4551766174892</v>
      </c>
      <c r="CE189" s="57">
        <f t="shared" si="148"/>
        <v>260.29028006191834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-2.2737367544323206E-13</v>
      </c>
      <c r="CU189" s="17">
        <f>CT189*VLOOKUP('Données projet'!$B$13,Paramètres!$A$1:$I$89,3,0)*VLOOKUP('Données projet'!$B$13,Paramètres!$A$1:$I$89,5,0)</f>
        <v>-1.2710188457276673E-13</v>
      </c>
      <c r="CV189" s="13" t="e">
        <f t="shared" si="173"/>
        <v>#NUM!</v>
      </c>
      <c r="CW189" s="20" t="e">
        <f t="shared" si="174"/>
        <v>#NUM!</v>
      </c>
      <c r="CX189" s="57" t="e">
        <f t="shared" si="122"/>
        <v>#NUM!</v>
      </c>
      <c r="CY189" s="57">
        <f ca="1">AVERAGE(OFFSET($CX$3,0,0,'Données projet'!$E$13+1,1))-AVERAGE(OFFSET($H$3,0,0,'Données projet'!$E$13+1,1))</f>
        <v>459.83870442974046</v>
      </c>
      <c r="CZ189" s="57">
        <f t="shared" si="150"/>
        <v>565.68976940602215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21.341681433310598</v>
      </c>
      <c r="DG189" s="21">
        <f>EXP(-LN(2)/25)*DG188+(1-EXP(-LN(2)/25))/(LN(2)/25)*Calculateur!DB189*Calculateur!DD189*VLOOKUP('Données projet'!$B$13,Paramètres!$A$1:$I$89,3,0)*0.475*44/12</f>
        <v>1.9582093109395804</v>
      </c>
      <c r="DH189" s="21">
        <f>EXP(-LN(2)/2)*DH188+(1-EXP(-LN(2)/2))/(LN(2)/2)*DB189*DE189*VLOOKUP('Données projet'!$B$13,Paramètres!$A$1:$I$89,3,0)*0.475*44/12</f>
        <v>6.1063188354825417E-18</v>
      </c>
      <c r="DI189" s="22">
        <f t="shared" si="175"/>
        <v>23.299890744250177</v>
      </c>
      <c r="DJ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7" t="e">
        <f t="shared" si="125"/>
        <v>#NUM!</v>
      </c>
      <c r="DT189" s="57">
        <f ca="1">AVERAGE(OFFSET($DS$3,0,0,'Données projet'!$E$14+1,1))-AVERAGE(OFFSET($H$3,0,0,'Données projet'!$E$14+1,1))</f>
        <v>315.23504986325418</v>
      </c>
      <c r="DU189" s="57">
        <f t="shared" si="152"/>
        <v>350.52837099886688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11.597376644799128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11.597376644799128</v>
      </c>
      <c r="EE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1.1368683772161603E-13</v>
      </c>
      <c r="EK189" s="17">
        <f>EJ189*VLOOKUP('Données projet'!$B$15,Paramètres!$A$1:$I$89,3,0)*VLOOKUP('Données projet'!$B$15,Paramètres!$A$1:$I$89,5,0)</f>
        <v>1.0995790944434703E-13</v>
      </c>
      <c r="EL189" s="13">
        <f t="shared" si="179"/>
        <v>1.6337280948049956E-12</v>
      </c>
      <c r="EM189" s="20">
        <f t="shared" si="180"/>
        <v>3.036919790734272E-12</v>
      </c>
      <c r="EN189" s="57">
        <f t="shared" si="128"/>
        <v>289.79675810586042</v>
      </c>
      <c r="EO189" s="57">
        <f ca="1">AVERAGE(OFFSET($EN$3,0,0,'Données projet'!$E$15+1,1))-AVERAGE(OFFSET($H$3,0,0,'Données projet'!$E$15+1,1))</f>
        <v>328.31200866623891</v>
      </c>
      <c r="EP189" s="57">
        <f t="shared" si="154"/>
        <v>195.52650232917446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69.265050111641557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69.265050111641557</v>
      </c>
      <c r="EZ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7" t="e">
        <f t="shared" si="131"/>
        <v>#NUM!</v>
      </c>
      <c r="FJ189" s="57">
        <f ca="1">AVERAGE(OFFSET($FI$3,0,0,'Données projet'!$E$16+1,1))-AVERAGE(OFFSET($H$3,0,0,'Données projet'!$E$16+1,1))</f>
        <v>142.88219003619457</v>
      </c>
      <c r="FK189" s="57">
        <f t="shared" si="156"/>
        <v>288.69704547625088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2.2351470838658187</v>
      </c>
      <c r="FR189" s="21">
        <f>EXP(-LN(2)/25)*FR188+(1-EXP(-LN(2)/25))/(LN(2)/25)*Calculateur!FM189*Calculateur!FO189*VLOOKUP('Données projet'!$B$16,Paramètres!$A$1:$I$89,3,0)*0.475*44/12</f>
        <v>0.16431028741425102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2.3994573712800698</v>
      </c>
      <c r="FU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7" t="e">
        <f t="shared" si="134"/>
        <v>#N/A</v>
      </c>
      <c r="GE189" s="57" t="e">
        <f ca="1">AVERAGE(OFFSET($GD$3,0,0,'Données projet'!$E$17+1,1))-AVERAGE(OFFSET($H$3,0,0,'Données projet'!$E$17+1,1))</f>
        <v>#N/A</v>
      </c>
      <c r="GF189" s="57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7" t="e">
        <f t="shared" si="137"/>
        <v>#N/A</v>
      </c>
      <c r="GZ189" s="57" t="e">
        <f ca="1">AVERAGE(OFFSET($GY$3,0,0,'Données projet'!$E$18+1,1))-AVERAGE(OFFSET($H$3,0,0,'Données projet'!$E$18+1,1))</f>
        <v>#N/A</v>
      </c>
      <c r="HA189" s="57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1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5">
        <f t="shared" si="110"/>
        <v>183.33333333333334</v>
      </c>
      <c r="I190" s="6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-3.979039320256561E-13</v>
      </c>
      <c r="O190" s="13">
        <f>N190*VLOOKUP('Données projet'!$B$9,Paramètres!$A$1:$I$89,3,0)*VLOOKUP('Données projet'!$B$9,Paramètres!$A$1:$I$89,5,0)</f>
        <v>-3.6002347769681362E-13</v>
      </c>
      <c r="P190" s="13" t="e">
        <f t="shared" si="141"/>
        <v>#NUM!</v>
      </c>
      <c r="Q190" s="20" t="e">
        <f t="shared" si="162"/>
        <v>#NUM!</v>
      </c>
      <c r="R190" s="57" t="e">
        <f t="shared" si="109"/>
        <v>#NUM!</v>
      </c>
      <c r="S190" s="57">
        <f ca="1">AVERAGE(OFFSET($R$3,0,0,'Données projet'!$E$9+1,1))-AVERAGE(OFFSET($H$3,0,0,'Données projet'!$E$9+1,1))</f>
        <v>539.63700256763173</v>
      </c>
      <c r="T190" s="57">
        <f t="shared" si="142"/>
        <v>297.32483725004136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-3.979039320256561E-13</v>
      </c>
      <c r="AJ190" s="13">
        <f>AI190*VLOOKUP('Données projet'!$B$10,Paramètres!$A$1:$I$89,3,0)*VLOOKUP('Données projet'!$B$10,Paramètres!$A$1:$I$89,5,0)</f>
        <v>-3.3519427233841274E-13</v>
      </c>
      <c r="AK190" s="13" t="e">
        <f t="shared" si="164"/>
        <v>#NUM!</v>
      </c>
      <c r="AL190" s="20" t="e">
        <f t="shared" si="165"/>
        <v>#NUM!</v>
      </c>
      <c r="AM190" s="57" t="e">
        <f t="shared" si="113"/>
        <v>#NUM!</v>
      </c>
      <c r="AN190" s="57">
        <f ca="1">AVERAGE(OFFSET($AM$3,0,0,'Données projet'!$E$10+1,1))-AVERAGE(OFFSET($H$3,0,0,'Données projet'!$E$10+1,1))</f>
        <v>508.21188526136734</v>
      </c>
      <c r="AO190" s="57">
        <f t="shared" si="144"/>
        <v>281.06176764290592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-1.064108801074326E-13</v>
      </c>
      <c r="BF190" s="13" t="e">
        <f t="shared" si="167"/>
        <v>#NUM!</v>
      </c>
      <c r="BG190" s="20" t="e">
        <f t="shared" si="168"/>
        <v>#NUM!</v>
      </c>
      <c r="BH190" s="57" t="e">
        <f t="shared" si="116"/>
        <v>#NUM!</v>
      </c>
      <c r="BI190" s="57">
        <f ca="1">AVERAGE(OFFSET($BH$3,0,0,'Données projet'!$E$11+1,1))-AVERAGE(OFFSET($H$3,0,0,'Données projet'!$E$11+1,1))</f>
        <v>449.50723280509311</v>
      </c>
      <c r="BJ190" s="57">
        <f t="shared" si="146"/>
        <v>281.26353650058275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41.610582543173322</v>
      </c>
      <c r="BQ190" s="21">
        <f>EXP(-LN(2)/25)*BQ189+(1-EXP(-LN(2)/25))/(LN(2)/25)*Calculateur!BL190*Calculateur!BN190*VLOOKUP('Données projet'!$B$11,Paramètres!$A$1:$I$89,3,0)*0.475*44/12</f>
        <v>4.7164556809077602</v>
      </c>
      <c r="BR190" s="21">
        <f>EXP(-LN(2)/2)*BR189+(1-EXP(-LN(2)/2))/(LN(2)/2)*BL190*BO190*VLOOKUP('Données projet'!$B$11,Paramètres!$A$1:$I$89,3,0)*0.475*44/12</f>
        <v>3.4024085088222958E-12</v>
      </c>
      <c r="BS190" s="22">
        <f t="shared" si="169"/>
        <v>46.327038224084482</v>
      </c>
      <c r="BT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-1.1937117960769683E-12</v>
      </c>
      <c r="BZ190" s="13">
        <f>BY190*VLOOKUP('Données projet'!$B$12,Paramètres!$A$1:$I$89,3,0)*VLOOKUP('Données projet'!$B$12,Paramètres!$A$1:$I$89,5,0)</f>
        <v>-1.1359361451468432E-12</v>
      </c>
      <c r="CA190" s="13" t="e">
        <f t="shared" si="170"/>
        <v>#NUM!</v>
      </c>
      <c r="CB190" s="20" t="e">
        <f t="shared" si="171"/>
        <v>#NUM!</v>
      </c>
      <c r="CC190" s="57" t="e">
        <f t="shared" si="119"/>
        <v>#NUM!</v>
      </c>
      <c r="CD190" s="57">
        <f ca="1">AVERAGE(OFFSET($CC$3,0,0,'Données projet'!$E$12+1,1))-AVERAGE(OFFSET($H$3,0,0,'Données projet'!$E$12+1,1))</f>
        <v>479.4551766174892</v>
      </c>
      <c r="CE190" s="57">
        <f t="shared" si="148"/>
        <v>260.29028006191834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-2.2737367544323206E-13</v>
      </c>
      <c r="CU190" s="17">
        <f>CT190*VLOOKUP('Données projet'!$B$13,Paramètres!$A$1:$I$89,3,0)*VLOOKUP('Données projet'!$B$13,Paramètres!$A$1:$I$89,5,0)</f>
        <v>-1.2710188457276673E-13</v>
      </c>
      <c r="CV190" s="13" t="e">
        <f t="shared" si="173"/>
        <v>#NUM!</v>
      </c>
      <c r="CW190" s="20" t="e">
        <f t="shared" si="174"/>
        <v>#NUM!</v>
      </c>
      <c r="CX190" s="57" t="e">
        <f t="shared" si="122"/>
        <v>#NUM!</v>
      </c>
      <c r="CY190" s="57">
        <f ca="1">AVERAGE(OFFSET($CX$3,0,0,'Données projet'!$E$13+1,1))-AVERAGE(OFFSET($H$3,0,0,'Données projet'!$E$13+1,1))</f>
        <v>459.83870442974046</v>
      </c>
      <c r="CZ190" s="57">
        <f t="shared" si="150"/>
        <v>565.68976940602215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20.923184077543716</v>
      </c>
      <c r="DG190" s="21">
        <f>EXP(-LN(2)/25)*DG189+(1-EXP(-LN(2)/25))/(LN(2)/25)*Calculateur!DB190*Calculateur!DD190*VLOOKUP('Données projet'!$B$13,Paramètres!$A$1:$I$89,3,0)*0.475*44/12</f>
        <v>1.9046619743541855</v>
      </c>
      <c r="DH190" s="21">
        <f>EXP(-LN(2)/2)*DH189+(1-EXP(-LN(2)/2))/(LN(2)/2)*DB190*DE190*VLOOKUP('Données projet'!$B$13,Paramètres!$A$1:$I$89,3,0)*0.475*44/12</f>
        <v>4.3178194566568472E-18</v>
      </c>
      <c r="DI190" s="22">
        <f t="shared" si="175"/>
        <v>22.8278460518979</v>
      </c>
      <c r="DJ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7" t="e">
        <f t="shared" si="125"/>
        <v>#NUM!</v>
      </c>
      <c r="DT190" s="57">
        <f ca="1">AVERAGE(OFFSET($DS$3,0,0,'Données projet'!$E$14+1,1))-AVERAGE(OFFSET($H$3,0,0,'Données projet'!$E$14+1,1))</f>
        <v>315.23504986325418</v>
      </c>
      <c r="DU190" s="57">
        <f t="shared" si="152"/>
        <v>350.52837099886688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11.369959162495901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11.369959162495901</v>
      </c>
      <c r="EE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1.1368683772161603E-13</v>
      </c>
      <c r="EK190" s="17">
        <f>EJ190*VLOOKUP('Données projet'!$B$15,Paramètres!$A$1:$I$89,3,0)*VLOOKUP('Données projet'!$B$15,Paramètres!$A$1:$I$89,5,0)</f>
        <v>1.0995790944434703E-13</v>
      </c>
      <c r="EL190" s="13">
        <f t="shared" si="179"/>
        <v>1.6337280948049956E-12</v>
      </c>
      <c r="EM190" s="20">
        <f t="shared" si="180"/>
        <v>3.036919790734272E-12</v>
      </c>
      <c r="EN190" s="57">
        <f t="shared" si="128"/>
        <v>289.85810977945943</v>
      </c>
      <c r="EO190" s="57">
        <f ca="1">AVERAGE(OFFSET($EN$3,0,0,'Données projet'!$E$15+1,1))-AVERAGE(OFFSET($H$3,0,0,'Données projet'!$E$15+1,1))</f>
        <v>328.31200866623891</v>
      </c>
      <c r="EP190" s="57">
        <f t="shared" si="154"/>
        <v>195.52650232917446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67.906804726461246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67.906804726461246</v>
      </c>
      <c r="EZ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7" t="e">
        <f t="shared" si="131"/>
        <v>#NUM!</v>
      </c>
      <c r="FJ190" s="57">
        <f ca="1">AVERAGE(OFFSET($FI$3,0,0,'Données projet'!$E$16+1,1))-AVERAGE(OFFSET($H$3,0,0,'Données projet'!$E$16+1,1))</f>
        <v>142.88219003619457</v>
      </c>
      <c r="FK190" s="57">
        <f t="shared" si="156"/>
        <v>288.69704547625088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2.1913172128563159</v>
      </c>
      <c r="FR190" s="21">
        <f>EXP(-LN(2)/25)*FR189+(1-EXP(-LN(2)/25))/(LN(2)/25)*Calculateur!FM190*Calculateur!FO190*VLOOKUP('Données projet'!$B$16,Paramètres!$A$1:$I$89,3,0)*0.475*44/12</f>
        <v>0.15981721396420584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2.3511344268205217</v>
      </c>
      <c r="FU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7" t="e">
        <f t="shared" si="134"/>
        <v>#N/A</v>
      </c>
      <c r="GE190" s="57" t="e">
        <f ca="1">AVERAGE(OFFSET($GD$3,0,0,'Données projet'!$E$17+1,1))-AVERAGE(OFFSET($H$3,0,0,'Données projet'!$E$17+1,1))</f>
        <v>#N/A</v>
      </c>
      <c r="GF190" s="57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7" t="e">
        <f t="shared" si="137"/>
        <v>#N/A</v>
      </c>
      <c r="GZ190" s="57" t="e">
        <f ca="1">AVERAGE(OFFSET($GY$3,0,0,'Données projet'!$E$18+1,1))-AVERAGE(OFFSET($H$3,0,0,'Données projet'!$E$18+1,1))</f>
        <v>#N/A</v>
      </c>
      <c r="HA190" s="57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1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5">
        <f t="shared" si="110"/>
        <v>183.33333333333334</v>
      </c>
      <c r="I191" s="6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-3.979039320256561E-13</v>
      </c>
      <c r="O191" s="13">
        <f>N191*VLOOKUP('Données projet'!$B$9,Paramètres!$A$1:$I$89,3,0)*VLOOKUP('Données projet'!$B$9,Paramètres!$A$1:$I$89,5,0)</f>
        <v>-3.6002347769681362E-13</v>
      </c>
      <c r="P191" s="13" t="e">
        <f t="shared" si="141"/>
        <v>#NUM!</v>
      </c>
      <c r="Q191" s="20" t="e">
        <f t="shared" si="162"/>
        <v>#NUM!</v>
      </c>
      <c r="R191" s="57" t="e">
        <f t="shared" si="109"/>
        <v>#NUM!</v>
      </c>
      <c r="S191" s="57">
        <f ca="1">AVERAGE(OFFSET($R$3,0,0,'Données projet'!$E$9+1,1))-AVERAGE(OFFSET($H$3,0,0,'Données projet'!$E$9+1,1))</f>
        <v>539.63700256763173</v>
      </c>
      <c r="T191" s="57">
        <f t="shared" si="142"/>
        <v>297.32483725004136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-3.979039320256561E-13</v>
      </c>
      <c r="AJ191" s="13">
        <f>AI191*VLOOKUP('Données projet'!$B$10,Paramètres!$A$1:$I$89,3,0)*VLOOKUP('Données projet'!$B$10,Paramètres!$A$1:$I$89,5,0)</f>
        <v>-3.3519427233841274E-13</v>
      </c>
      <c r="AK191" s="13" t="e">
        <f t="shared" si="164"/>
        <v>#NUM!</v>
      </c>
      <c r="AL191" s="20" t="e">
        <f t="shared" si="165"/>
        <v>#NUM!</v>
      </c>
      <c r="AM191" s="57" t="e">
        <f t="shared" si="113"/>
        <v>#NUM!</v>
      </c>
      <c r="AN191" s="57">
        <f ca="1">AVERAGE(OFFSET($AM$3,0,0,'Données projet'!$E$10+1,1))-AVERAGE(OFFSET($H$3,0,0,'Données projet'!$E$10+1,1))</f>
        <v>508.21188526136734</v>
      </c>
      <c r="AO191" s="57">
        <f t="shared" si="144"/>
        <v>281.06176764290592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-1.064108801074326E-13</v>
      </c>
      <c r="BF191" s="13" t="e">
        <f t="shared" si="167"/>
        <v>#NUM!</v>
      </c>
      <c r="BG191" s="20" t="e">
        <f t="shared" si="168"/>
        <v>#NUM!</v>
      </c>
      <c r="BH191" s="57" t="e">
        <f t="shared" si="116"/>
        <v>#NUM!</v>
      </c>
      <c r="BI191" s="57">
        <f ca="1">AVERAGE(OFFSET($BH$3,0,0,'Données projet'!$E$11+1,1))-AVERAGE(OFFSET($H$3,0,0,'Données projet'!$E$11+1,1))</f>
        <v>449.50723280509311</v>
      </c>
      <c r="BJ191" s="57">
        <f t="shared" si="146"/>
        <v>281.26353650058275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40.794624399450981</v>
      </c>
      <c r="BQ191" s="21">
        <f>EXP(-LN(2)/25)*BQ190+(1-EXP(-LN(2)/25))/(LN(2)/25)*Calculateur!BL191*Calculateur!BN191*VLOOKUP('Données projet'!$B$11,Paramètres!$A$1:$I$89,3,0)*0.475*44/12</f>
        <v>4.5874839522857132</v>
      </c>
      <c r="BR191" s="21">
        <f>EXP(-LN(2)/2)*BR190+(1-EXP(-LN(2)/2))/(LN(2)/2)*BL191*BO191*VLOOKUP('Données projet'!$B$11,Paramètres!$A$1:$I$89,3,0)*0.475*44/12</f>
        <v>2.4058661289550546E-12</v>
      </c>
      <c r="BS191" s="22">
        <f t="shared" si="169"/>
        <v>45.382108351739106</v>
      </c>
      <c r="BT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-1.1937117960769683E-12</v>
      </c>
      <c r="BZ191" s="13">
        <f>BY191*VLOOKUP('Données projet'!$B$12,Paramètres!$A$1:$I$89,3,0)*VLOOKUP('Données projet'!$B$12,Paramètres!$A$1:$I$89,5,0)</f>
        <v>-1.1359361451468432E-12</v>
      </c>
      <c r="CA191" s="13" t="e">
        <f t="shared" si="170"/>
        <v>#NUM!</v>
      </c>
      <c r="CB191" s="20" t="e">
        <f t="shared" si="171"/>
        <v>#NUM!</v>
      </c>
      <c r="CC191" s="57" t="e">
        <f t="shared" si="119"/>
        <v>#NUM!</v>
      </c>
      <c r="CD191" s="57">
        <f ca="1">AVERAGE(OFFSET($CC$3,0,0,'Données projet'!$E$12+1,1))-AVERAGE(OFFSET($H$3,0,0,'Données projet'!$E$12+1,1))</f>
        <v>479.4551766174892</v>
      </c>
      <c r="CE191" s="57">
        <f t="shared" si="148"/>
        <v>260.29028006191834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-2.2737367544323206E-13</v>
      </c>
      <c r="CU191" s="17">
        <f>CT191*VLOOKUP('Données projet'!$B$13,Paramètres!$A$1:$I$89,3,0)*VLOOKUP('Données projet'!$B$13,Paramètres!$A$1:$I$89,5,0)</f>
        <v>-1.2710188457276673E-13</v>
      </c>
      <c r="CV191" s="13" t="e">
        <f t="shared" si="173"/>
        <v>#NUM!</v>
      </c>
      <c r="CW191" s="20" t="e">
        <f t="shared" si="174"/>
        <v>#NUM!</v>
      </c>
      <c r="CX191" s="57" t="e">
        <f t="shared" si="122"/>
        <v>#NUM!</v>
      </c>
      <c r="CY191" s="57">
        <f ca="1">AVERAGE(OFFSET($CX$3,0,0,'Données projet'!$E$13+1,1))-AVERAGE(OFFSET($H$3,0,0,'Données projet'!$E$13+1,1))</f>
        <v>459.83870442974046</v>
      </c>
      <c r="CZ191" s="57">
        <f t="shared" si="150"/>
        <v>565.68976940602215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20.512893199665239</v>
      </c>
      <c r="DG191" s="21">
        <f>EXP(-LN(2)/25)*DG190+(1-EXP(-LN(2)/25))/(LN(2)/25)*Calculateur!DB191*Calculateur!DD191*VLOOKUP('Données projet'!$B$13,Paramètres!$A$1:$I$89,3,0)*0.475*44/12</f>
        <v>1.8525788925036502</v>
      </c>
      <c r="DH191" s="21">
        <f>EXP(-LN(2)/2)*DH190+(1-EXP(-LN(2)/2))/(LN(2)/2)*DB191*DE191*VLOOKUP('Données projet'!$B$13,Paramètres!$A$1:$I$89,3,0)*0.475*44/12</f>
        <v>3.0531594177412708E-18</v>
      </c>
      <c r="DI191" s="22">
        <f t="shared" si="175"/>
        <v>22.36547209216889</v>
      </c>
      <c r="DJ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7" t="e">
        <f t="shared" si="125"/>
        <v>#NUM!</v>
      </c>
      <c r="DT191" s="57">
        <f ca="1">AVERAGE(OFFSET($DS$3,0,0,'Données projet'!$E$14+1,1))-AVERAGE(OFFSET($H$3,0,0,'Données projet'!$E$14+1,1))</f>
        <v>315.23504986325418</v>
      </c>
      <c r="DU191" s="57">
        <f t="shared" si="152"/>
        <v>350.52837099886688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11.147001198309672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11.147001198309672</v>
      </c>
      <c r="EE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1.1368683772161603E-13</v>
      </c>
      <c r="EK191" s="17">
        <f>EJ191*VLOOKUP('Données projet'!$B$15,Paramètres!$A$1:$I$89,3,0)*VLOOKUP('Données projet'!$B$15,Paramètres!$A$1:$I$89,5,0)</f>
        <v>1.0995790944434703E-13</v>
      </c>
      <c r="EL191" s="13">
        <f t="shared" si="179"/>
        <v>1.6337280948049956E-12</v>
      </c>
      <c r="EM191" s="20">
        <f t="shared" si="180"/>
        <v>3.036919790734272E-12</v>
      </c>
      <c r="EN191" s="57">
        <f t="shared" si="128"/>
        <v>289.91839713868325</v>
      </c>
      <c r="EO191" s="57">
        <f ca="1">AVERAGE(OFFSET($EN$3,0,0,'Données projet'!$E$15+1,1))-AVERAGE(OFFSET($H$3,0,0,'Données projet'!$E$15+1,1))</f>
        <v>328.31200866623891</v>
      </c>
      <c r="EP191" s="57">
        <f t="shared" si="154"/>
        <v>195.52650232917446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66.575193704836437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66.575193704836437</v>
      </c>
      <c r="EZ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7" t="e">
        <f t="shared" si="131"/>
        <v>#NUM!</v>
      </c>
      <c r="FJ191" s="57">
        <f ca="1">AVERAGE(OFFSET($FI$3,0,0,'Données projet'!$E$16+1,1))-AVERAGE(OFFSET($H$3,0,0,'Données projet'!$E$16+1,1))</f>
        <v>142.88219003619457</v>
      </c>
      <c r="FK191" s="57">
        <f t="shared" si="156"/>
        <v>288.69704547625088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2.148346818883728</v>
      </c>
      <c r="FR191" s="21">
        <f>EXP(-LN(2)/25)*FR190+(1-EXP(-LN(2)/25))/(LN(2)/25)*Calculateur!FM191*Calculateur!FO191*VLOOKUP('Données projet'!$B$16,Paramètres!$A$1:$I$89,3,0)*0.475*44/12</f>
        <v>0.15544700384393262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2.3037938227276609</v>
      </c>
      <c r="FU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7" t="e">
        <f t="shared" si="134"/>
        <v>#N/A</v>
      </c>
      <c r="GE191" s="57" t="e">
        <f ca="1">AVERAGE(OFFSET($GD$3,0,0,'Données projet'!$E$17+1,1))-AVERAGE(OFFSET($H$3,0,0,'Données projet'!$E$17+1,1))</f>
        <v>#N/A</v>
      </c>
      <c r="GF191" s="57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7" t="e">
        <f t="shared" si="137"/>
        <v>#N/A</v>
      </c>
      <c r="GZ191" s="57" t="e">
        <f ca="1">AVERAGE(OFFSET($GY$3,0,0,'Données projet'!$E$18+1,1))-AVERAGE(OFFSET($H$3,0,0,'Données projet'!$E$18+1,1))</f>
        <v>#N/A</v>
      </c>
      <c r="HA191" s="57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1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5">
        <f t="shared" si="110"/>
        <v>183.33333333333334</v>
      </c>
      <c r="I192" s="6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-3.979039320256561E-13</v>
      </c>
      <c r="O192" s="13">
        <f>N192*VLOOKUP('Données projet'!$B$9,Paramètres!$A$1:$I$89,3,0)*VLOOKUP('Données projet'!$B$9,Paramètres!$A$1:$I$89,5,0)</f>
        <v>-3.6002347769681362E-13</v>
      </c>
      <c r="P192" s="13" t="e">
        <f t="shared" si="141"/>
        <v>#NUM!</v>
      </c>
      <c r="Q192" s="20" t="e">
        <f t="shared" si="162"/>
        <v>#NUM!</v>
      </c>
      <c r="R192" s="57" t="e">
        <f t="shared" si="109"/>
        <v>#NUM!</v>
      </c>
      <c r="S192" s="57">
        <f ca="1">AVERAGE(OFFSET($R$3,0,0,'Données projet'!$E$9+1,1))-AVERAGE(OFFSET($H$3,0,0,'Données projet'!$E$9+1,1))</f>
        <v>539.63700256763173</v>
      </c>
      <c r="T192" s="57">
        <f t="shared" si="142"/>
        <v>297.32483725004136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-3.979039320256561E-13</v>
      </c>
      <c r="AJ192" s="13">
        <f>AI192*VLOOKUP('Données projet'!$B$10,Paramètres!$A$1:$I$89,3,0)*VLOOKUP('Données projet'!$B$10,Paramètres!$A$1:$I$89,5,0)</f>
        <v>-3.3519427233841274E-13</v>
      </c>
      <c r="AK192" s="13" t="e">
        <f t="shared" si="164"/>
        <v>#NUM!</v>
      </c>
      <c r="AL192" s="20" t="e">
        <f t="shared" si="165"/>
        <v>#NUM!</v>
      </c>
      <c r="AM192" s="57" t="e">
        <f t="shared" si="113"/>
        <v>#NUM!</v>
      </c>
      <c r="AN192" s="57">
        <f ca="1">AVERAGE(OFFSET($AM$3,0,0,'Données projet'!$E$10+1,1))-AVERAGE(OFFSET($H$3,0,0,'Données projet'!$E$10+1,1))</f>
        <v>508.21188526136734</v>
      </c>
      <c r="AO192" s="57">
        <f t="shared" si="144"/>
        <v>281.06176764290592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-1.064108801074326E-13</v>
      </c>
      <c r="BF192" s="13" t="e">
        <f t="shared" si="167"/>
        <v>#NUM!</v>
      </c>
      <c r="BG192" s="20" t="e">
        <f t="shared" si="168"/>
        <v>#NUM!</v>
      </c>
      <c r="BH192" s="57" t="e">
        <f t="shared" si="116"/>
        <v>#NUM!</v>
      </c>
      <c r="BI192" s="57">
        <f ca="1">AVERAGE(OFFSET($BH$3,0,0,'Données projet'!$E$11+1,1))-AVERAGE(OFFSET($H$3,0,0,'Données projet'!$E$11+1,1))</f>
        <v>449.50723280509311</v>
      </c>
      <c r="BJ192" s="57">
        <f t="shared" si="146"/>
        <v>281.26353650058275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39.994666697241712</v>
      </c>
      <c r="BQ192" s="21">
        <f>EXP(-LN(2)/25)*BQ191+(1-EXP(-LN(2)/25))/(LN(2)/25)*Calculateur!BL192*Calculateur!BN192*VLOOKUP('Données projet'!$B$11,Paramètres!$A$1:$I$89,3,0)*0.475*44/12</f>
        <v>4.4620389623651642</v>
      </c>
      <c r="BR192" s="21">
        <f>EXP(-LN(2)/2)*BR191+(1-EXP(-LN(2)/2))/(LN(2)/2)*BL192*BO192*VLOOKUP('Données projet'!$B$11,Paramètres!$A$1:$I$89,3,0)*0.475*44/12</f>
        <v>1.7012042544111479E-12</v>
      </c>
      <c r="BS192" s="22">
        <f t="shared" si="169"/>
        <v>44.456705659608573</v>
      </c>
      <c r="BT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-1.1937117960769683E-12</v>
      </c>
      <c r="BZ192" s="13">
        <f>BY192*VLOOKUP('Données projet'!$B$12,Paramètres!$A$1:$I$89,3,0)*VLOOKUP('Données projet'!$B$12,Paramètres!$A$1:$I$89,5,0)</f>
        <v>-1.1359361451468432E-12</v>
      </c>
      <c r="CA192" s="13" t="e">
        <f t="shared" si="170"/>
        <v>#NUM!</v>
      </c>
      <c r="CB192" s="20" t="e">
        <f t="shared" si="171"/>
        <v>#NUM!</v>
      </c>
      <c r="CC192" s="57" t="e">
        <f t="shared" si="119"/>
        <v>#NUM!</v>
      </c>
      <c r="CD192" s="57">
        <f ca="1">AVERAGE(OFFSET($CC$3,0,0,'Données projet'!$E$12+1,1))-AVERAGE(OFFSET($H$3,0,0,'Données projet'!$E$12+1,1))</f>
        <v>479.4551766174892</v>
      </c>
      <c r="CE192" s="57">
        <f t="shared" si="148"/>
        <v>260.29028006191834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-2.2737367544323206E-13</v>
      </c>
      <c r="CU192" s="17">
        <f>CT192*VLOOKUP('Données projet'!$B$13,Paramètres!$A$1:$I$89,3,0)*VLOOKUP('Données projet'!$B$13,Paramètres!$A$1:$I$89,5,0)</f>
        <v>-1.2710188457276673E-13</v>
      </c>
      <c r="CV192" s="13" t="e">
        <f t="shared" si="173"/>
        <v>#NUM!</v>
      </c>
      <c r="CW192" s="20" t="e">
        <f t="shared" si="174"/>
        <v>#NUM!</v>
      </c>
      <c r="CX192" s="57" t="e">
        <f t="shared" si="122"/>
        <v>#NUM!</v>
      </c>
      <c r="CY192" s="57">
        <f ca="1">AVERAGE(OFFSET($CX$3,0,0,'Données projet'!$E$13+1,1))-AVERAGE(OFFSET($H$3,0,0,'Données projet'!$E$13+1,1))</f>
        <v>459.83870442974046</v>
      </c>
      <c r="CZ192" s="57">
        <f t="shared" si="150"/>
        <v>565.68976940602215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20.110647875649235</v>
      </c>
      <c r="DG192" s="21">
        <f>EXP(-LN(2)/25)*DG191+(1-EXP(-LN(2)/25))/(LN(2)/25)*Calculateur!DB192*Calculateur!DD192*VLOOKUP('Données projet'!$B$13,Paramètres!$A$1:$I$89,3,0)*0.475*44/12</f>
        <v>1.8019200252652481</v>
      </c>
      <c r="DH192" s="21">
        <f>EXP(-LN(2)/2)*DH191+(1-EXP(-LN(2)/2))/(LN(2)/2)*DB192*DE192*VLOOKUP('Données projet'!$B$13,Paramètres!$A$1:$I$89,3,0)*0.475*44/12</f>
        <v>2.1589097283284236E-18</v>
      </c>
      <c r="DI192" s="22">
        <f t="shared" si="175"/>
        <v>21.912567900914482</v>
      </c>
      <c r="DJ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7" t="e">
        <f t="shared" si="125"/>
        <v>#NUM!</v>
      </c>
      <c r="DT192" s="57">
        <f ca="1">AVERAGE(OFFSET($DS$3,0,0,'Données projet'!$E$14+1,1))-AVERAGE(OFFSET($H$3,0,0,'Données projet'!$E$14+1,1))</f>
        <v>315.23504986325418</v>
      </c>
      <c r="DU192" s="57">
        <f t="shared" si="152"/>
        <v>350.52837099886688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10.928415303810205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10.928415303810205</v>
      </c>
      <c r="EE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1.1368683772161603E-13</v>
      </c>
      <c r="EK192" s="17">
        <f>EJ192*VLOOKUP('Données projet'!$B$15,Paramètres!$A$1:$I$89,3,0)*VLOOKUP('Données projet'!$B$15,Paramètres!$A$1:$I$89,5,0)</f>
        <v>1.0995790944434703E-13</v>
      </c>
      <c r="EL192" s="13">
        <f t="shared" si="179"/>
        <v>1.6337280948049956E-12</v>
      </c>
      <c r="EM192" s="20">
        <f t="shared" si="180"/>
        <v>3.036919790734272E-12</v>
      </c>
      <c r="EN192" s="57">
        <f t="shared" si="128"/>
        <v>289.97763864700687</v>
      </c>
      <c r="EO192" s="57">
        <f ca="1">AVERAGE(OFFSET($EN$3,0,0,'Données projet'!$E$15+1,1))-AVERAGE(OFFSET($H$3,0,0,'Données projet'!$E$15+1,1))</f>
        <v>328.31200866623891</v>
      </c>
      <c r="EP192" s="57">
        <f t="shared" si="154"/>
        <v>195.52650232917446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65.269694763143164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65.269694763143164</v>
      </c>
      <c r="EZ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7" t="e">
        <f t="shared" si="131"/>
        <v>#NUM!</v>
      </c>
      <c r="FJ192" s="57">
        <f ca="1">AVERAGE(OFFSET($FI$3,0,0,'Données projet'!$E$16+1,1))-AVERAGE(OFFSET($H$3,0,0,'Données projet'!$E$16+1,1))</f>
        <v>142.88219003619457</v>
      </c>
      <c r="FK192" s="57">
        <f t="shared" si="156"/>
        <v>288.69704547625088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2.1062190481275902</v>
      </c>
      <c r="FR192" s="21">
        <f>EXP(-LN(2)/25)*FR191+(1-EXP(-LN(2)/25))/(LN(2)/25)*Calculateur!FM192*Calculateur!FO192*VLOOKUP('Données projet'!$B$16,Paramètres!$A$1:$I$89,3,0)*0.475*44/12</f>
        <v>0.15119629734921763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2.257415345476808</v>
      </c>
      <c r="FU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7" t="e">
        <f t="shared" si="134"/>
        <v>#N/A</v>
      </c>
      <c r="GE192" s="57" t="e">
        <f ca="1">AVERAGE(OFFSET($GD$3,0,0,'Données projet'!$E$17+1,1))-AVERAGE(OFFSET($H$3,0,0,'Données projet'!$E$17+1,1))</f>
        <v>#N/A</v>
      </c>
      <c r="GF192" s="57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7" t="e">
        <f t="shared" si="137"/>
        <v>#N/A</v>
      </c>
      <c r="GZ192" s="57" t="e">
        <f ca="1">AVERAGE(OFFSET($GY$3,0,0,'Données projet'!$E$18+1,1))-AVERAGE(OFFSET($H$3,0,0,'Données projet'!$E$18+1,1))</f>
        <v>#N/A</v>
      </c>
      <c r="HA192" s="57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1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5">
        <f t="shared" si="110"/>
        <v>183.33333333333334</v>
      </c>
      <c r="I193" s="6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-3.979039320256561E-13</v>
      </c>
      <c r="O193" s="13">
        <f>N193*VLOOKUP('Données projet'!$B$9,Paramètres!$A$1:$I$89,3,0)*VLOOKUP('Données projet'!$B$9,Paramètres!$A$1:$I$89,5,0)</f>
        <v>-3.6002347769681362E-13</v>
      </c>
      <c r="P193" s="13" t="e">
        <f t="shared" si="141"/>
        <v>#NUM!</v>
      </c>
      <c r="Q193" s="20" t="e">
        <f t="shared" si="162"/>
        <v>#NUM!</v>
      </c>
      <c r="R193" s="57" t="e">
        <f t="shared" si="109"/>
        <v>#NUM!</v>
      </c>
      <c r="S193" s="57">
        <f ca="1">AVERAGE(OFFSET($R$3,0,0,'Données projet'!$E$9+1,1))-AVERAGE(OFFSET($H$3,0,0,'Données projet'!$E$9+1,1))</f>
        <v>539.63700256763173</v>
      </c>
      <c r="T193" s="57">
        <f t="shared" si="142"/>
        <v>297.32483725004136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-3.979039320256561E-13</v>
      </c>
      <c r="AJ193" s="13">
        <f>AI193*VLOOKUP('Données projet'!$B$10,Paramètres!$A$1:$I$89,3,0)*VLOOKUP('Données projet'!$B$10,Paramètres!$A$1:$I$89,5,0)</f>
        <v>-3.3519427233841274E-13</v>
      </c>
      <c r="AK193" s="13" t="e">
        <f t="shared" si="164"/>
        <v>#NUM!</v>
      </c>
      <c r="AL193" s="20" t="e">
        <f t="shared" si="165"/>
        <v>#NUM!</v>
      </c>
      <c r="AM193" s="57" t="e">
        <f t="shared" si="113"/>
        <v>#NUM!</v>
      </c>
      <c r="AN193" s="57">
        <f ca="1">AVERAGE(OFFSET($AM$3,0,0,'Données projet'!$E$10+1,1))-AVERAGE(OFFSET($H$3,0,0,'Données projet'!$E$10+1,1))</f>
        <v>508.21188526136734</v>
      </c>
      <c r="AO193" s="57">
        <f t="shared" si="144"/>
        <v>281.06176764290592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-1.064108801074326E-13</v>
      </c>
      <c r="BF193" s="13" t="e">
        <f t="shared" si="167"/>
        <v>#NUM!</v>
      </c>
      <c r="BG193" s="20" t="e">
        <f t="shared" si="168"/>
        <v>#NUM!</v>
      </c>
      <c r="BH193" s="57" t="e">
        <f t="shared" si="116"/>
        <v>#NUM!</v>
      </c>
      <c r="BI193" s="57">
        <f ca="1">AVERAGE(OFFSET($BH$3,0,0,'Données projet'!$E$11+1,1))-AVERAGE(OFFSET($H$3,0,0,'Données projet'!$E$11+1,1))</f>
        <v>449.50723280509311</v>
      </c>
      <c r="BJ193" s="57">
        <f t="shared" si="146"/>
        <v>281.26353650058275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39.210395677646744</v>
      </c>
      <c r="BQ193" s="21">
        <f>EXP(-LN(2)/25)*BQ192+(1-EXP(-LN(2)/25))/(LN(2)/25)*Calculateur!BL193*Calculateur!BN193*VLOOKUP('Données projet'!$B$11,Paramètres!$A$1:$I$89,3,0)*0.475*44/12</f>
        <v>4.340024272290858</v>
      </c>
      <c r="BR193" s="21">
        <f>EXP(-LN(2)/2)*BR192+(1-EXP(-LN(2)/2))/(LN(2)/2)*BL193*BO193*VLOOKUP('Données projet'!$B$11,Paramètres!$A$1:$I$89,3,0)*0.475*44/12</f>
        <v>1.2029330644775273E-12</v>
      </c>
      <c r="BS193" s="22">
        <f t="shared" si="169"/>
        <v>43.550419949938806</v>
      </c>
      <c r="BT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-1.1937117960769683E-12</v>
      </c>
      <c r="BZ193" s="13">
        <f>BY193*VLOOKUP('Données projet'!$B$12,Paramètres!$A$1:$I$89,3,0)*VLOOKUP('Données projet'!$B$12,Paramètres!$A$1:$I$89,5,0)</f>
        <v>-1.1359361451468432E-12</v>
      </c>
      <c r="CA193" s="13" t="e">
        <f t="shared" si="170"/>
        <v>#NUM!</v>
      </c>
      <c r="CB193" s="20" t="e">
        <f t="shared" si="171"/>
        <v>#NUM!</v>
      </c>
      <c r="CC193" s="57" t="e">
        <f t="shared" si="119"/>
        <v>#NUM!</v>
      </c>
      <c r="CD193" s="57">
        <f ca="1">AVERAGE(OFFSET($CC$3,0,0,'Données projet'!$E$12+1,1))-AVERAGE(OFFSET($H$3,0,0,'Données projet'!$E$12+1,1))</f>
        <v>479.4551766174892</v>
      </c>
      <c r="CE193" s="57">
        <f t="shared" si="148"/>
        <v>260.29028006191834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-2.2737367544323206E-13</v>
      </c>
      <c r="CU193" s="17">
        <f>CT193*VLOOKUP('Données projet'!$B$13,Paramètres!$A$1:$I$89,3,0)*VLOOKUP('Données projet'!$B$13,Paramètres!$A$1:$I$89,5,0)</f>
        <v>-1.2710188457276673E-13</v>
      </c>
      <c r="CV193" s="13" t="e">
        <f t="shared" si="173"/>
        <v>#NUM!</v>
      </c>
      <c r="CW193" s="20" t="e">
        <f t="shared" si="174"/>
        <v>#NUM!</v>
      </c>
      <c r="CX193" s="57" t="e">
        <f t="shared" si="122"/>
        <v>#NUM!</v>
      </c>
      <c r="CY193" s="57">
        <f ca="1">AVERAGE(OFFSET($CX$3,0,0,'Données projet'!$E$13+1,1))-AVERAGE(OFFSET($H$3,0,0,'Données projet'!$E$13+1,1))</f>
        <v>459.83870442974046</v>
      </c>
      <c r="CZ193" s="57">
        <f t="shared" si="150"/>
        <v>565.68976940602215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19.716290337091763</v>
      </c>
      <c r="DG193" s="21">
        <f>EXP(-LN(2)/25)*DG192+(1-EXP(-LN(2)/25))/(LN(2)/25)*Calculateur!DB193*Calculateur!DD193*VLOOKUP('Données projet'!$B$13,Paramètres!$A$1:$I$89,3,0)*0.475*44/12</f>
        <v>1.752646427415514</v>
      </c>
      <c r="DH193" s="21">
        <f>EXP(-LN(2)/2)*DH192+(1-EXP(-LN(2)/2))/(LN(2)/2)*DB193*DE193*VLOOKUP('Données projet'!$B$13,Paramètres!$A$1:$I$89,3,0)*0.475*44/12</f>
        <v>1.5265797088706354E-18</v>
      </c>
      <c r="DI193" s="22">
        <f t="shared" si="175"/>
        <v>21.468936764507276</v>
      </c>
      <c r="DJ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7" t="e">
        <f t="shared" si="125"/>
        <v>#NUM!</v>
      </c>
      <c r="DT193" s="57">
        <f ca="1">AVERAGE(OFFSET($DS$3,0,0,'Données projet'!$E$14+1,1))-AVERAGE(OFFSET($H$3,0,0,'Données projet'!$E$14+1,1))</f>
        <v>315.23504986325418</v>
      </c>
      <c r="DU193" s="57">
        <f t="shared" si="152"/>
        <v>350.52837099886688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10.714115745377642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10.714115745377642</v>
      </c>
      <c r="EE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1.1368683772161603E-13</v>
      </c>
      <c r="EK193" s="17">
        <f>EJ193*VLOOKUP('Données projet'!$B$15,Paramètres!$A$1:$I$89,3,0)*VLOOKUP('Données projet'!$B$15,Paramètres!$A$1:$I$89,5,0)</f>
        <v>1.0995790944434703E-13</v>
      </c>
      <c r="EL193" s="13">
        <f t="shared" si="179"/>
        <v>1.6337280948049956E-12</v>
      </c>
      <c r="EM193" s="20">
        <f t="shared" si="180"/>
        <v>3.036919790734272E-12</v>
      </c>
      <c r="EN193" s="57">
        <f t="shared" si="128"/>
        <v>290.03585244760529</v>
      </c>
      <c r="EO193" s="57">
        <f ca="1">AVERAGE(OFFSET($EN$3,0,0,'Données projet'!$E$15+1,1))-AVERAGE(OFFSET($H$3,0,0,'Données projet'!$E$15+1,1))</f>
        <v>328.31200866623891</v>
      </c>
      <c r="EP193" s="57">
        <f t="shared" si="154"/>
        <v>195.52650232917446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63.989795859420767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63.989795859420767</v>
      </c>
      <c r="EZ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7" t="e">
        <f t="shared" si="131"/>
        <v>#NUM!</v>
      </c>
      <c r="FJ193" s="57">
        <f ca="1">AVERAGE(OFFSET($FI$3,0,0,'Données projet'!$E$16+1,1))-AVERAGE(OFFSET($H$3,0,0,'Données projet'!$E$16+1,1))</f>
        <v>142.88219003619457</v>
      </c>
      <c r="FK193" s="57">
        <f t="shared" si="156"/>
        <v>288.69704547625088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2.0649173772605773</v>
      </c>
      <c r="FR193" s="21">
        <f>EXP(-LN(2)/25)*FR192+(1-EXP(-LN(2)/25))/(LN(2)/25)*Calculateur!FM193*Calculateur!FO193*VLOOKUP('Données projet'!$B$16,Paramètres!$A$1:$I$89,3,0)*0.475*44/12</f>
        <v>0.14706182664713557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2.2119792039077129</v>
      </c>
      <c r="FU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7" t="e">
        <f t="shared" si="134"/>
        <v>#N/A</v>
      </c>
      <c r="GE193" s="57" t="e">
        <f ca="1">AVERAGE(OFFSET($GD$3,0,0,'Données projet'!$E$17+1,1))-AVERAGE(OFFSET($H$3,0,0,'Données projet'!$E$17+1,1))</f>
        <v>#N/A</v>
      </c>
      <c r="GF193" s="57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7" t="e">
        <f t="shared" si="137"/>
        <v>#N/A</v>
      </c>
      <c r="GZ193" s="57" t="e">
        <f ca="1">AVERAGE(OFFSET($GY$3,0,0,'Données projet'!$E$18+1,1))-AVERAGE(OFFSET($H$3,0,0,'Données projet'!$E$18+1,1))</f>
        <v>#N/A</v>
      </c>
      <c r="HA193" s="57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1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5">
        <f t="shared" si="110"/>
        <v>183.33333333333334</v>
      </c>
      <c r="I194" s="6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-3.979039320256561E-13</v>
      </c>
      <c r="O194" s="13">
        <f>N194*VLOOKUP('Données projet'!$B$9,Paramètres!$A$1:$I$89,3,0)*VLOOKUP('Données projet'!$B$9,Paramètres!$A$1:$I$89,5,0)</f>
        <v>-3.6002347769681362E-13</v>
      </c>
      <c r="P194" s="13" t="e">
        <f t="shared" si="141"/>
        <v>#NUM!</v>
      </c>
      <c r="Q194" s="20" t="e">
        <f t="shared" si="162"/>
        <v>#NUM!</v>
      </c>
      <c r="R194" s="57" t="e">
        <f t="shared" si="109"/>
        <v>#NUM!</v>
      </c>
      <c r="S194" s="57">
        <f ca="1">AVERAGE(OFFSET($R$3,0,0,'Données projet'!$E$9+1,1))-AVERAGE(OFFSET($H$3,0,0,'Données projet'!$E$9+1,1))</f>
        <v>539.63700256763173</v>
      </c>
      <c r="T194" s="57">
        <f t="shared" si="142"/>
        <v>297.32483725004136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-3.979039320256561E-13</v>
      </c>
      <c r="AJ194" s="13">
        <f>AI194*VLOOKUP('Données projet'!$B$10,Paramètres!$A$1:$I$89,3,0)*VLOOKUP('Données projet'!$B$10,Paramètres!$A$1:$I$89,5,0)</f>
        <v>-3.3519427233841274E-13</v>
      </c>
      <c r="AK194" s="13" t="e">
        <f t="shared" si="164"/>
        <v>#NUM!</v>
      </c>
      <c r="AL194" s="20" t="e">
        <f t="shared" si="165"/>
        <v>#NUM!</v>
      </c>
      <c r="AM194" s="57" t="e">
        <f t="shared" si="113"/>
        <v>#NUM!</v>
      </c>
      <c r="AN194" s="57">
        <f ca="1">AVERAGE(OFFSET($AM$3,0,0,'Données projet'!$E$10+1,1))-AVERAGE(OFFSET($H$3,0,0,'Données projet'!$E$10+1,1))</f>
        <v>508.21188526136734</v>
      </c>
      <c r="AO194" s="57">
        <f t="shared" si="144"/>
        <v>281.06176764290592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-1.064108801074326E-13</v>
      </c>
      <c r="BF194" s="13" t="e">
        <f t="shared" si="167"/>
        <v>#NUM!</v>
      </c>
      <c r="BG194" s="20" t="e">
        <f t="shared" si="168"/>
        <v>#NUM!</v>
      </c>
      <c r="BH194" s="57" t="e">
        <f t="shared" si="116"/>
        <v>#NUM!</v>
      </c>
      <c r="BI194" s="57">
        <f ca="1">AVERAGE(OFFSET($BH$3,0,0,'Données projet'!$E$11+1,1))-AVERAGE(OFFSET($H$3,0,0,'Données projet'!$E$11+1,1))</f>
        <v>449.50723280509311</v>
      </c>
      <c r="BJ194" s="57">
        <f t="shared" si="146"/>
        <v>281.26353650058275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38.44150373438795</v>
      </c>
      <c r="BQ194" s="21">
        <f>EXP(-LN(2)/25)*BQ193+(1-EXP(-LN(2)/25))/(LN(2)/25)*Calculateur!BL194*Calculateur!BN194*VLOOKUP('Données projet'!$B$11,Paramètres!$A$1:$I$89,3,0)*0.475*44/12</f>
        <v>4.2213460803331069</v>
      </c>
      <c r="BR194" s="21">
        <f>EXP(-LN(2)/2)*BR193+(1-EXP(-LN(2)/2))/(LN(2)/2)*BL194*BO194*VLOOKUP('Données projet'!$B$11,Paramètres!$A$1:$I$89,3,0)*0.475*44/12</f>
        <v>8.5060212720557395E-13</v>
      </c>
      <c r="BS194" s="22">
        <f t="shared" si="169"/>
        <v>42.662849814721909</v>
      </c>
      <c r="BT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-1.1937117960769683E-12</v>
      </c>
      <c r="BZ194" s="13">
        <f>BY194*VLOOKUP('Données projet'!$B$12,Paramètres!$A$1:$I$89,3,0)*VLOOKUP('Données projet'!$B$12,Paramètres!$A$1:$I$89,5,0)</f>
        <v>-1.1359361451468432E-12</v>
      </c>
      <c r="CA194" s="13" t="e">
        <f t="shared" si="170"/>
        <v>#NUM!</v>
      </c>
      <c r="CB194" s="20" t="e">
        <f t="shared" si="171"/>
        <v>#NUM!</v>
      </c>
      <c r="CC194" s="57" t="e">
        <f t="shared" si="119"/>
        <v>#NUM!</v>
      </c>
      <c r="CD194" s="57">
        <f ca="1">AVERAGE(OFFSET($CC$3,0,0,'Données projet'!$E$12+1,1))-AVERAGE(OFFSET($H$3,0,0,'Données projet'!$E$12+1,1))</f>
        <v>479.4551766174892</v>
      </c>
      <c r="CE194" s="57">
        <f t="shared" si="148"/>
        <v>260.29028006191834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-2.2737367544323206E-13</v>
      </c>
      <c r="CU194" s="17">
        <f>CT194*VLOOKUP('Données projet'!$B$13,Paramètres!$A$1:$I$89,3,0)*VLOOKUP('Données projet'!$B$13,Paramètres!$A$1:$I$89,5,0)</f>
        <v>-1.2710188457276673E-13</v>
      </c>
      <c r="CV194" s="13" t="e">
        <f t="shared" si="173"/>
        <v>#NUM!</v>
      </c>
      <c r="CW194" s="20" t="e">
        <f t="shared" si="174"/>
        <v>#NUM!</v>
      </c>
      <c r="CX194" s="57" t="e">
        <f t="shared" si="122"/>
        <v>#NUM!</v>
      </c>
      <c r="CY194" s="57">
        <f ca="1">AVERAGE(OFFSET($CX$3,0,0,'Données projet'!$E$13+1,1))-AVERAGE(OFFSET($H$3,0,0,'Données projet'!$E$13+1,1))</f>
        <v>459.83870442974046</v>
      </c>
      <c r="CZ194" s="57">
        <f t="shared" si="150"/>
        <v>565.68976940602215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19.329665909331055</v>
      </c>
      <c r="DG194" s="21">
        <f>EXP(-LN(2)/25)*DG193+(1-EXP(-LN(2)/25))/(LN(2)/25)*Calculateur!DB194*Calculateur!DD194*VLOOKUP('Données projet'!$B$13,Paramètres!$A$1:$I$89,3,0)*0.475*44/12</f>
        <v>1.7047202186901669</v>
      </c>
      <c r="DH194" s="21">
        <f>EXP(-LN(2)/2)*DH193+(1-EXP(-LN(2)/2))/(LN(2)/2)*DB194*DE194*VLOOKUP('Données projet'!$B$13,Paramètres!$A$1:$I$89,3,0)*0.475*44/12</f>
        <v>1.0794548641642118E-18</v>
      </c>
      <c r="DI194" s="22">
        <f t="shared" si="175"/>
        <v>21.034386128021222</v>
      </c>
      <c r="DJ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7" t="e">
        <f t="shared" si="125"/>
        <v>#NUM!</v>
      </c>
      <c r="DT194" s="57">
        <f ca="1">AVERAGE(OFFSET($DS$3,0,0,'Données projet'!$E$14+1,1))-AVERAGE(OFFSET($H$3,0,0,'Données projet'!$E$14+1,1))</f>
        <v>315.23504986325418</v>
      </c>
      <c r="DU194" s="57">
        <f t="shared" si="152"/>
        <v>350.52837099886688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10.504018470576117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10.504018470576117</v>
      </c>
      <c r="EE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1.1368683772161603E-13</v>
      </c>
      <c r="EK194" s="17">
        <f>EJ194*VLOOKUP('Données projet'!$B$15,Paramètres!$A$1:$I$89,3,0)*VLOOKUP('Données projet'!$B$15,Paramètres!$A$1:$I$89,5,0)</f>
        <v>1.0995790944434703E-13</v>
      </c>
      <c r="EL194" s="13">
        <f t="shared" si="179"/>
        <v>1.6337280948049956E-12</v>
      </c>
      <c r="EM194" s="20">
        <f t="shared" si="180"/>
        <v>3.036919790734272E-12</v>
      </c>
      <c r="EN194" s="57">
        <f t="shared" si="128"/>
        <v>290.09305636890986</v>
      </c>
      <c r="EO194" s="57">
        <f ca="1">AVERAGE(OFFSET($EN$3,0,0,'Données projet'!$E$15+1,1))-AVERAGE(OFFSET($H$3,0,0,'Données projet'!$E$15+1,1))</f>
        <v>328.31200866623891</v>
      </c>
      <c r="EP194" s="57">
        <f t="shared" si="154"/>
        <v>195.52650232917446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62.734994992539114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62.734994992539114</v>
      </c>
      <c r="EZ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7" t="e">
        <f t="shared" si="131"/>
        <v>#NUM!</v>
      </c>
      <c r="FJ194" s="57">
        <f ca="1">AVERAGE(OFFSET($FI$3,0,0,'Données projet'!$E$16+1,1))-AVERAGE(OFFSET($H$3,0,0,'Données projet'!$E$16+1,1))</f>
        <v>142.88219003619457</v>
      </c>
      <c r="FK194" s="57">
        <f t="shared" si="156"/>
        <v>288.69704547625088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2.0244256069677347</v>
      </c>
      <c r="FR194" s="21">
        <f>EXP(-LN(2)/25)*FR193+(1-EXP(-LN(2)/25))/(LN(2)/25)*Calculateur!FM194*Calculateur!FO194*VLOOKUP('Données projet'!$B$16,Paramètres!$A$1:$I$89,3,0)*0.475*44/12</f>
        <v>0.1430404132638243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2.1674660202315588</v>
      </c>
      <c r="FU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7" t="e">
        <f t="shared" si="134"/>
        <v>#N/A</v>
      </c>
      <c r="GE194" s="57" t="e">
        <f ca="1">AVERAGE(OFFSET($GD$3,0,0,'Données projet'!$E$17+1,1))-AVERAGE(OFFSET($H$3,0,0,'Données projet'!$E$17+1,1))</f>
        <v>#N/A</v>
      </c>
      <c r="GF194" s="57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7" t="e">
        <f t="shared" si="137"/>
        <v>#N/A</v>
      </c>
      <c r="GZ194" s="57" t="e">
        <f ca="1">AVERAGE(OFFSET($GY$3,0,0,'Données projet'!$E$18+1,1))-AVERAGE(OFFSET($H$3,0,0,'Données projet'!$E$18+1,1))</f>
        <v>#N/A</v>
      </c>
      <c r="HA194" s="57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1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5">
        <f t="shared" si="110"/>
        <v>183.33333333333334</v>
      </c>
      <c r="I195" s="6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-3.979039320256561E-13</v>
      </c>
      <c r="O195" s="13">
        <f>N195*VLOOKUP('Données projet'!$B$9,Paramètres!$A$1:$I$89,3,0)*VLOOKUP('Données projet'!$B$9,Paramètres!$A$1:$I$89,5,0)</f>
        <v>-3.6002347769681362E-13</v>
      </c>
      <c r="P195" s="13" t="e">
        <f t="shared" si="141"/>
        <v>#NUM!</v>
      </c>
      <c r="Q195" s="20" t="e">
        <f t="shared" si="162"/>
        <v>#NUM!</v>
      </c>
      <c r="R195" s="57" t="e">
        <f t="shared" ref="R195:R203" si="191">Q195+(I195+J195)*44/12</f>
        <v>#NUM!</v>
      </c>
      <c r="S195" s="57">
        <f ca="1">AVERAGE(OFFSET($R$3,0,0,'Données projet'!$E$9+1,1))-AVERAGE(OFFSET($H$3,0,0,'Données projet'!$E$9+1,1))</f>
        <v>539.63700256763173</v>
      </c>
      <c r="T195" s="57">
        <f t="shared" si="142"/>
        <v>297.32483725004136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-3.979039320256561E-13</v>
      </c>
      <c r="AJ195" s="13">
        <f>AI195*VLOOKUP('Données projet'!$B$10,Paramètres!$A$1:$I$89,3,0)*VLOOKUP('Données projet'!$B$10,Paramètres!$A$1:$I$89,5,0)</f>
        <v>-3.3519427233841274E-13</v>
      </c>
      <c r="AK195" s="13" t="e">
        <f t="shared" si="164"/>
        <v>#NUM!</v>
      </c>
      <c r="AL195" s="20" t="e">
        <f t="shared" si="165"/>
        <v>#NUM!</v>
      </c>
      <c r="AM195" s="57" t="e">
        <f t="shared" si="113"/>
        <v>#NUM!</v>
      </c>
      <c r="AN195" s="57">
        <f ca="1">AVERAGE(OFFSET($AM$3,0,0,'Données projet'!$E$10+1,1))-AVERAGE(OFFSET($H$3,0,0,'Données projet'!$E$10+1,1))</f>
        <v>508.21188526136734</v>
      </c>
      <c r="AO195" s="57">
        <f t="shared" si="144"/>
        <v>281.06176764290592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-1.064108801074326E-13</v>
      </c>
      <c r="BF195" s="13" t="e">
        <f t="shared" si="167"/>
        <v>#NUM!</v>
      </c>
      <c r="BG195" s="20" t="e">
        <f t="shared" si="168"/>
        <v>#NUM!</v>
      </c>
      <c r="BH195" s="57" t="e">
        <f t="shared" si="116"/>
        <v>#NUM!</v>
      </c>
      <c r="BI195" s="57">
        <f ca="1">AVERAGE(OFFSET($BH$3,0,0,'Données projet'!$E$11+1,1))-AVERAGE(OFFSET($H$3,0,0,'Données projet'!$E$11+1,1))</f>
        <v>449.50723280509311</v>
      </c>
      <c r="BJ195" s="57">
        <f t="shared" si="146"/>
        <v>281.26353650058275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37.687689293158684</v>
      </c>
      <c r="BQ195" s="21">
        <f>EXP(-LN(2)/25)*BQ194+(1-EXP(-LN(2)/25))/(LN(2)/25)*Calculateur!BL195*Calculateur!BN195*VLOOKUP('Données projet'!$B$11,Paramètres!$A$1:$I$89,3,0)*0.475*44/12</f>
        <v>4.1059131497754553</v>
      </c>
      <c r="BR195" s="21">
        <f>EXP(-LN(2)/2)*BR194+(1-EXP(-LN(2)/2))/(LN(2)/2)*BL195*BO195*VLOOKUP('Données projet'!$B$11,Paramètres!$A$1:$I$89,3,0)*0.475*44/12</f>
        <v>6.0146653223876364E-13</v>
      </c>
      <c r="BS195" s="22">
        <f t="shared" si="169"/>
        <v>41.793602442934741</v>
      </c>
      <c r="BT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-1.1937117960769683E-12</v>
      </c>
      <c r="BZ195" s="13">
        <f>BY195*VLOOKUP('Données projet'!$B$12,Paramètres!$A$1:$I$89,3,0)*VLOOKUP('Données projet'!$B$12,Paramètres!$A$1:$I$89,5,0)</f>
        <v>-1.1359361451468432E-12</v>
      </c>
      <c r="CA195" s="13" t="e">
        <f t="shared" si="170"/>
        <v>#NUM!</v>
      </c>
      <c r="CB195" s="20" t="e">
        <f t="shared" si="171"/>
        <v>#NUM!</v>
      </c>
      <c r="CC195" s="57" t="e">
        <f t="shared" si="119"/>
        <v>#NUM!</v>
      </c>
      <c r="CD195" s="57">
        <f ca="1">AVERAGE(OFFSET($CC$3,0,0,'Données projet'!$E$12+1,1))-AVERAGE(OFFSET($H$3,0,0,'Données projet'!$E$12+1,1))</f>
        <v>479.4551766174892</v>
      </c>
      <c r="CE195" s="57">
        <f t="shared" si="148"/>
        <v>260.29028006191834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-2.2737367544323206E-13</v>
      </c>
      <c r="CU195" s="17">
        <f>CT195*VLOOKUP('Données projet'!$B$13,Paramètres!$A$1:$I$89,3,0)*VLOOKUP('Données projet'!$B$13,Paramètres!$A$1:$I$89,5,0)</f>
        <v>-1.2710188457276673E-13</v>
      </c>
      <c r="CV195" s="13" t="e">
        <f t="shared" si="173"/>
        <v>#NUM!</v>
      </c>
      <c r="CW195" s="20" t="e">
        <f t="shared" si="174"/>
        <v>#NUM!</v>
      </c>
      <c r="CX195" s="57" t="e">
        <f t="shared" si="122"/>
        <v>#NUM!</v>
      </c>
      <c r="CY195" s="57">
        <f ca="1">AVERAGE(OFFSET($CX$3,0,0,'Données projet'!$E$13+1,1))-AVERAGE(OFFSET($H$3,0,0,'Données projet'!$E$13+1,1))</f>
        <v>459.83870442974046</v>
      </c>
      <c r="CZ195" s="57">
        <f t="shared" si="150"/>
        <v>565.68976940602215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18.950622950781121</v>
      </c>
      <c r="DG195" s="21">
        <f>EXP(-LN(2)/25)*DG194+(1-EXP(-LN(2)/25))/(LN(2)/25)*Calculateur!DB195*Calculateur!DD195*VLOOKUP('Données projet'!$B$13,Paramètres!$A$1:$I$89,3,0)*0.475*44/12</f>
        <v>1.6581045546627442</v>
      </c>
      <c r="DH195" s="21">
        <f>EXP(-LN(2)/2)*DH194+(1-EXP(-LN(2)/2))/(LN(2)/2)*DB195*DE195*VLOOKUP('Données projet'!$B$13,Paramètres!$A$1:$I$89,3,0)*0.475*44/12</f>
        <v>7.6328985443531771E-19</v>
      </c>
      <c r="DI195" s="22">
        <f t="shared" si="175"/>
        <v>20.608727505443866</v>
      </c>
      <c r="DJ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7" t="e">
        <f t="shared" si="125"/>
        <v>#NUM!</v>
      </c>
      <c r="DT195" s="57">
        <f ca="1">AVERAGE(OFFSET($DS$3,0,0,'Données projet'!$E$14+1,1))-AVERAGE(OFFSET($H$3,0,0,'Données projet'!$E$14+1,1))</f>
        <v>315.23504986325418</v>
      </c>
      <c r="DU195" s="57">
        <f t="shared" si="152"/>
        <v>350.52837099886688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10.298041075186765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10.298041075186765</v>
      </c>
      <c r="EE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1.1368683772161603E-13</v>
      </c>
      <c r="EK195" s="17">
        <f>EJ195*VLOOKUP('Données projet'!$B$15,Paramètres!$A$1:$I$89,3,0)*VLOOKUP('Données projet'!$B$15,Paramètres!$A$1:$I$89,5,0)</f>
        <v>1.0995790944434703E-13</v>
      </c>
      <c r="EL195" s="13">
        <f t="shared" si="179"/>
        <v>1.6337280948049956E-12</v>
      </c>
      <c r="EM195" s="20">
        <f t="shared" si="180"/>
        <v>3.036919790734272E-12</v>
      </c>
      <c r="EN195" s="57">
        <f t="shared" si="128"/>
        <v>290.14926793006867</v>
      </c>
      <c r="EO195" s="57">
        <f ca="1">AVERAGE(OFFSET($EN$3,0,0,'Données projet'!$E$15+1,1))-AVERAGE(OFFSET($H$3,0,0,'Données projet'!$E$15+1,1))</f>
        <v>328.31200866623891</v>
      </c>
      <c r="EP195" s="57">
        <f t="shared" si="154"/>
        <v>195.52650232917446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61.504800005304055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61.504800005304055</v>
      </c>
      <c r="EZ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7" t="e">
        <f t="shared" si="131"/>
        <v>#NUM!</v>
      </c>
      <c r="FJ195" s="57">
        <f ca="1">AVERAGE(OFFSET($FI$3,0,0,'Données projet'!$E$16+1,1))-AVERAGE(OFFSET($H$3,0,0,'Données projet'!$E$16+1,1))</f>
        <v>142.88219003619457</v>
      </c>
      <c r="FK195" s="57">
        <f t="shared" si="156"/>
        <v>288.69704547625088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1.9847278555927934</v>
      </c>
      <c r="FR195" s="21">
        <f>EXP(-LN(2)/25)*FR194+(1-EXP(-LN(2)/25))/(LN(2)/25)*Calculateur!FM195*Calculateur!FO195*VLOOKUP('Données projet'!$B$16,Paramètres!$A$1:$I$89,3,0)*0.475*44/12</f>
        <v>0.13912896564095661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2.1238568212337499</v>
      </c>
      <c r="FU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7" t="e">
        <f t="shared" si="134"/>
        <v>#N/A</v>
      </c>
      <c r="GE195" s="57" t="e">
        <f ca="1">AVERAGE(OFFSET($GD$3,0,0,'Données projet'!$E$17+1,1))-AVERAGE(OFFSET($H$3,0,0,'Données projet'!$E$17+1,1))</f>
        <v>#N/A</v>
      </c>
      <c r="GF195" s="57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7" t="e">
        <f t="shared" si="137"/>
        <v>#N/A</v>
      </c>
      <c r="GZ195" s="57" t="e">
        <f ca="1">AVERAGE(OFFSET($GY$3,0,0,'Données projet'!$E$18+1,1))-AVERAGE(OFFSET($H$3,0,0,'Données projet'!$E$18+1,1))</f>
        <v>#N/A</v>
      </c>
      <c r="HA195" s="57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1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5">
        <f t="shared" ref="H196:H203" si="192">(B196+E196+F196)*44/12+(C196+D196)*0.475*44/12</f>
        <v>183.33333333333334</v>
      </c>
      <c r="I196" s="6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-3.979039320256561E-13</v>
      </c>
      <c r="O196" s="13">
        <f>N196*VLOOKUP('Données projet'!$B$9,Paramètres!$A$1:$I$89,3,0)*VLOOKUP('Données projet'!$B$9,Paramètres!$A$1:$I$89,5,0)</f>
        <v>-3.6002347769681362E-13</v>
      </c>
      <c r="P196" s="13" t="e">
        <f t="shared" si="141"/>
        <v>#NUM!</v>
      </c>
      <c r="Q196" s="20" t="e">
        <f t="shared" si="162"/>
        <v>#NUM!</v>
      </c>
      <c r="R196" s="57" t="e">
        <f t="shared" si="191"/>
        <v>#NUM!</v>
      </c>
      <c r="S196" s="57">
        <f ca="1">AVERAGE(OFFSET($R$3,0,0,'Données projet'!$E$9+1,1))-AVERAGE(OFFSET($H$3,0,0,'Données projet'!$E$9+1,1))</f>
        <v>539.63700256763173</v>
      </c>
      <c r="T196" s="57">
        <f t="shared" si="142"/>
        <v>297.32483725004136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-3.979039320256561E-13</v>
      </c>
      <c r="AJ196" s="13">
        <f>AI196*VLOOKUP('Données projet'!$B$10,Paramètres!$A$1:$I$89,3,0)*VLOOKUP('Données projet'!$B$10,Paramètres!$A$1:$I$89,5,0)</f>
        <v>-3.3519427233841274E-13</v>
      </c>
      <c r="AK196" s="13" t="e">
        <f t="shared" si="164"/>
        <v>#NUM!</v>
      </c>
      <c r="AL196" s="20" t="e">
        <f t="shared" si="165"/>
        <v>#NUM!</v>
      </c>
      <c r="AM196" s="57" t="e">
        <f t="shared" ref="AM196:AM203" si="193">AL196+(AD196+AE196)*44/12</f>
        <v>#NUM!</v>
      </c>
      <c r="AN196" s="57">
        <f ca="1">AVERAGE(OFFSET($AM$3,0,0,'Données projet'!$E$10+1,1))-AVERAGE(OFFSET($H$3,0,0,'Données projet'!$E$10+1,1))</f>
        <v>508.21188526136734</v>
      </c>
      <c r="AO196" s="57">
        <f t="shared" si="144"/>
        <v>281.06176764290592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-1.064108801074326E-13</v>
      </c>
      <c r="BF196" s="13" t="e">
        <f t="shared" si="167"/>
        <v>#NUM!</v>
      </c>
      <c r="BG196" s="20" t="e">
        <f t="shared" si="168"/>
        <v>#NUM!</v>
      </c>
      <c r="BH196" s="57" t="e">
        <f t="shared" ref="BH196:BH203" si="194">BG196+(AY196+AZ196)*44/12</f>
        <v>#NUM!</v>
      </c>
      <c r="BI196" s="57">
        <f ca="1">AVERAGE(OFFSET($BH$3,0,0,'Données projet'!$E$11+1,1))-AVERAGE(OFFSET($H$3,0,0,'Données projet'!$E$11+1,1))</f>
        <v>449.50723280509311</v>
      </c>
      <c r="BJ196" s="57">
        <f t="shared" si="146"/>
        <v>281.26353650058275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36.94865669334051</v>
      </c>
      <c r="BQ196" s="21">
        <f>EXP(-LN(2)/25)*BQ195+(1-EXP(-LN(2)/25))/(LN(2)/25)*Calculateur!BL196*Calculateur!BN196*VLOOKUP('Données projet'!$B$11,Paramètres!$A$1:$I$89,3,0)*0.475*44/12</f>
        <v>3.9936367387742573</v>
      </c>
      <c r="BR196" s="21">
        <f>EXP(-LN(2)/2)*BR195+(1-EXP(-LN(2)/2))/(LN(2)/2)*BL196*BO196*VLOOKUP('Données projet'!$B$11,Paramètres!$A$1:$I$89,3,0)*0.475*44/12</f>
        <v>4.2530106360278698E-13</v>
      </c>
      <c r="BS196" s="22">
        <f t="shared" si="169"/>
        <v>40.942293432115193</v>
      </c>
      <c r="BT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-1.1937117960769683E-12</v>
      </c>
      <c r="BZ196" s="13">
        <f>BY196*VLOOKUP('Données projet'!$B$12,Paramètres!$A$1:$I$89,3,0)*VLOOKUP('Données projet'!$B$12,Paramètres!$A$1:$I$89,5,0)</f>
        <v>-1.1359361451468432E-12</v>
      </c>
      <c r="CA196" s="13" t="e">
        <f t="shared" si="170"/>
        <v>#NUM!</v>
      </c>
      <c r="CB196" s="20" t="e">
        <f t="shared" si="171"/>
        <v>#NUM!</v>
      </c>
      <c r="CC196" s="57" t="e">
        <f t="shared" ref="CC196:CC203" si="195">CB196+(BT196+BU196)*44/12</f>
        <v>#NUM!</v>
      </c>
      <c r="CD196" s="57">
        <f ca="1">AVERAGE(OFFSET($CC$3,0,0,'Données projet'!$E$12+1,1))-AVERAGE(OFFSET($H$3,0,0,'Données projet'!$E$12+1,1))</f>
        <v>479.4551766174892</v>
      </c>
      <c r="CE196" s="57">
        <f t="shared" si="148"/>
        <v>260.29028006191834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-2.2737367544323206E-13</v>
      </c>
      <c r="CU196" s="17">
        <f>CT196*VLOOKUP('Données projet'!$B$13,Paramètres!$A$1:$I$89,3,0)*VLOOKUP('Données projet'!$B$13,Paramètres!$A$1:$I$89,5,0)</f>
        <v>-1.2710188457276673E-13</v>
      </c>
      <c r="CV196" s="13" t="e">
        <f t="shared" si="173"/>
        <v>#NUM!</v>
      </c>
      <c r="CW196" s="20" t="e">
        <f t="shared" si="174"/>
        <v>#NUM!</v>
      </c>
      <c r="CX196" s="57" t="e">
        <f t="shared" ref="CX196:CX203" si="196">CW196+(CO196+CP196)*44/12</f>
        <v>#NUM!</v>
      </c>
      <c r="CY196" s="57">
        <f ca="1">AVERAGE(OFFSET($CX$3,0,0,'Données projet'!$E$13+1,1))-AVERAGE(OFFSET($H$3,0,0,'Données projet'!$E$13+1,1))</f>
        <v>459.83870442974046</v>
      </c>
      <c r="CZ196" s="57">
        <f t="shared" si="150"/>
        <v>565.68976940602215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18.579012793454972</v>
      </c>
      <c r="DG196" s="21">
        <f>EXP(-LN(2)/25)*DG195+(1-EXP(-LN(2)/25))/(LN(2)/25)*Calculateur!DB196*Calculateur!DD196*VLOOKUP('Données projet'!$B$13,Paramètres!$A$1:$I$89,3,0)*0.475*44/12</f>
        <v>1.6127635984195625</v>
      </c>
      <c r="DH196" s="21">
        <f>EXP(-LN(2)/2)*DH195+(1-EXP(-LN(2)/2))/(LN(2)/2)*DB196*DE196*VLOOKUP('Données projet'!$B$13,Paramètres!$A$1:$I$89,3,0)*0.475*44/12</f>
        <v>5.397274320821059E-19</v>
      </c>
      <c r="DI196" s="22">
        <f t="shared" si="175"/>
        <v>20.191776391874534</v>
      </c>
      <c r="DJ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7" t="e">
        <f t="shared" ref="DS196:DS203" si="197">DR196+(DJ196+DK196)*44/12</f>
        <v>#NUM!</v>
      </c>
      <c r="DT196" s="57">
        <f ca="1">AVERAGE(OFFSET($DS$3,0,0,'Données projet'!$E$14+1,1))-AVERAGE(OFFSET($H$3,0,0,'Données projet'!$E$14+1,1))</f>
        <v>315.23504986325418</v>
      </c>
      <c r="DU196" s="57">
        <f t="shared" si="152"/>
        <v>350.52837099886688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10.096102770887192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10.096102770887192</v>
      </c>
      <c r="EE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1.1368683772161603E-13</v>
      </c>
      <c r="EK196" s="17">
        <f>EJ196*VLOOKUP('Données projet'!$B$15,Paramètres!$A$1:$I$89,3,0)*VLOOKUP('Données projet'!$B$15,Paramètres!$A$1:$I$89,5,0)</f>
        <v>1.0995790944434703E-13</v>
      </c>
      <c r="EL196" s="13">
        <f t="shared" si="179"/>
        <v>1.6337280948049956E-12</v>
      </c>
      <c r="EM196" s="20">
        <f t="shared" si="180"/>
        <v>3.036919790734272E-12</v>
      </c>
      <c r="EN196" s="57">
        <f t="shared" ref="EN196:EN203" si="198">EM196+(EE196+EF196)*44/12</f>
        <v>290.20450434631152</v>
      </c>
      <c r="EO196" s="57">
        <f ca="1">AVERAGE(OFFSET($EN$3,0,0,'Données projet'!$E$15+1,1))-AVERAGE(OFFSET($H$3,0,0,'Données projet'!$E$15+1,1))</f>
        <v>328.31200866623891</v>
      </c>
      <c r="EP196" s="57">
        <f t="shared" si="154"/>
        <v>195.52650232917446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60.298728391423822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60.298728391423822</v>
      </c>
      <c r="EZ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7" t="e">
        <f t="shared" ref="FI196:FI203" si="199">FH196+(EZ196+FA196)*44/12</f>
        <v>#NUM!</v>
      </c>
      <c r="FJ196" s="57">
        <f ca="1">AVERAGE(OFFSET($FI$3,0,0,'Données projet'!$E$16+1,1))-AVERAGE(OFFSET($H$3,0,0,'Données projet'!$E$16+1,1))</f>
        <v>142.88219003619457</v>
      </c>
      <c r="FK196" s="57">
        <f t="shared" si="156"/>
        <v>288.69704547625088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1.9458085529090774</v>
      </c>
      <c r="FR196" s="21">
        <f>EXP(-LN(2)/25)*FR195+(1-EXP(-LN(2)/25))/(LN(2)/25)*Calculateur!FM196*Calculateur!FO196*VLOOKUP('Données projet'!$B$16,Paramètres!$A$1:$I$89,3,0)*0.475*44/12</f>
        <v>0.13532447675903034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2.0811330296681079</v>
      </c>
      <c r="FU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7" t="e">
        <f t="shared" ref="GD196:GD203" si="200">GC196+(FU196+FV196)*44/12</f>
        <v>#N/A</v>
      </c>
      <c r="GE196" s="57" t="e">
        <f ca="1">AVERAGE(OFFSET($GD$3,0,0,'Données projet'!$E$17+1,1))-AVERAGE(OFFSET($H$3,0,0,'Données projet'!$E$17+1,1))</f>
        <v>#N/A</v>
      </c>
      <c r="GF196" s="57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7" t="e">
        <f t="shared" ref="GY196:GY203" si="201">GX196+(GP196+GQ196)*44/12</f>
        <v>#N/A</v>
      </c>
      <c r="GZ196" s="57" t="e">
        <f ca="1">AVERAGE(OFFSET($GY$3,0,0,'Données projet'!$E$18+1,1))-AVERAGE(OFFSET($H$3,0,0,'Données projet'!$E$18+1,1))</f>
        <v>#N/A</v>
      </c>
      <c r="HA196" s="57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1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5">
        <f t="shared" si="192"/>
        <v>183.33333333333334</v>
      </c>
      <c r="I197" s="6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-3.979039320256561E-13</v>
      </c>
      <c r="O197" s="13">
        <f>N197*VLOOKUP('Données projet'!$B$9,Paramètres!$A$1:$I$89,3,0)*VLOOKUP('Données projet'!$B$9,Paramètres!$A$1:$I$89,5,0)</f>
        <v>-3.6002347769681362E-13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7" t="e">
        <f t="shared" si="191"/>
        <v>#NUM!</v>
      </c>
      <c r="S197" s="57">
        <f ca="1">AVERAGE(OFFSET($R$3,0,0,'Données projet'!$E$9+1,1))-AVERAGE(OFFSET($H$3,0,0,'Données projet'!$E$9+1,1))</f>
        <v>539.63700256763173</v>
      </c>
      <c r="T197" s="57">
        <f t="shared" ref="T197:T203" si="204">$T$3</f>
        <v>297.32483725004136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-3.979039320256561E-13</v>
      </c>
      <c r="AJ197" s="13">
        <f>AI197*VLOOKUP('Données projet'!$B$10,Paramètres!$A$1:$I$89,3,0)*VLOOKUP('Données projet'!$B$10,Paramètres!$A$1:$I$89,5,0)</f>
        <v>-3.3519427233841274E-13</v>
      </c>
      <c r="AK197" s="13" t="e">
        <f t="shared" si="164"/>
        <v>#NUM!</v>
      </c>
      <c r="AL197" s="20" t="e">
        <f t="shared" si="165"/>
        <v>#NUM!</v>
      </c>
      <c r="AM197" s="57" t="e">
        <f t="shared" si="193"/>
        <v>#NUM!</v>
      </c>
      <c r="AN197" s="57">
        <f ca="1">AVERAGE(OFFSET($AM$3,0,0,'Données projet'!$E$10+1,1))-AVERAGE(OFFSET($H$3,0,0,'Données projet'!$E$10+1,1))</f>
        <v>508.21188526136734</v>
      </c>
      <c r="AO197" s="57">
        <f t="shared" ref="AO197:AO203" si="205">$AO$3</f>
        <v>281.06176764290592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-1.064108801074326E-13</v>
      </c>
      <c r="BF197" s="13" t="e">
        <f t="shared" si="167"/>
        <v>#NUM!</v>
      </c>
      <c r="BG197" s="20" t="e">
        <f t="shared" si="168"/>
        <v>#NUM!</v>
      </c>
      <c r="BH197" s="57" t="e">
        <f t="shared" si="194"/>
        <v>#NUM!</v>
      </c>
      <c r="BI197" s="57">
        <f ca="1">AVERAGE(OFFSET($BH$3,0,0,'Données projet'!$E$11+1,1))-AVERAGE(OFFSET($H$3,0,0,'Données projet'!$E$11+1,1))</f>
        <v>449.50723280509311</v>
      </c>
      <c r="BJ197" s="57">
        <f t="shared" ref="BJ197:BJ203" si="206">$BJ$3</f>
        <v>281.26353650058275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36.224116072039394</v>
      </c>
      <c r="BQ197" s="21">
        <f>EXP(-LN(2)/25)*BQ196+(1-EXP(-LN(2)/25))/(LN(2)/25)*Calculateur!BL197*Calculateur!BN197*VLOOKUP('Données projet'!$B$11,Paramètres!$A$1:$I$89,3,0)*0.475*44/12</f>
        <v>3.8844305321362467</v>
      </c>
      <c r="BR197" s="21">
        <f>EXP(-LN(2)/2)*BR196+(1-EXP(-LN(2)/2))/(LN(2)/2)*BL197*BO197*VLOOKUP('Données projet'!$B$11,Paramètres!$A$1:$I$89,3,0)*0.475*44/12</f>
        <v>3.0073326611938182E-13</v>
      </c>
      <c r="BS197" s="22">
        <f t="shared" si="169"/>
        <v>40.108546604175942</v>
      </c>
      <c r="BT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-1.1937117960769683E-12</v>
      </c>
      <c r="BZ197" s="13">
        <f>BY197*VLOOKUP('Données projet'!$B$12,Paramètres!$A$1:$I$89,3,0)*VLOOKUP('Données projet'!$B$12,Paramètres!$A$1:$I$89,5,0)</f>
        <v>-1.1359361451468432E-12</v>
      </c>
      <c r="CA197" s="13" t="e">
        <f t="shared" si="170"/>
        <v>#NUM!</v>
      </c>
      <c r="CB197" s="20" t="e">
        <f t="shared" si="171"/>
        <v>#NUM!</v>
      </c>
      <c r="CC197" s="57" t="e">
        <f t="shared" si="195"/>
        <v>#NUM!</v>
      </c>
      <c r="CD197" s="57">
        <f ca="1">AVERAGE(OFFSET($CC$3,0,0,'Données projet'!$E$12+1,1))-AVERAGE(OFFSET($H$3,0,0,'Données projet'!$E$12+1,1))</f>
        <v>479.4551766174892</v>
      </c>
      <c r="CE197" s="57">
        <f t="shared" ref="CE197:CE203" si="207">$CE$3</f>
        <v>260.29028006191834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-2.2737367544323206E-13</v>
      </c>
      <c r="CU197" s="17">
        <f>CT197*VLOOKUP('Données projet'!$B$13,Paramètres!$A$1:$I$89,3,0)*VLOOKUP('Données projet'!$B$13,Paramètres!$A$1:$I$89,5,0)</f>
        <v>-1.2710188457276673E-13</v>
      </c>
      <c r="CV197" s="13" t="e">
        <f t="shared" si="173"/>
        <v>#NUM!</v>
      </c>
      <c r="CW197" s="20" t="e">
        <f t="shared" si="174"/>
        <v>#NUM!</v>
      </c>
      <c r="CX197" s="57" t="e">
        <f t="shared" si="196"/>
        <v>#NUM!</v>
      </c>
      <c r="CY197" s="57">
        <f ca="1">AVERAGE(OFFSET($CX$3,0,0,'Données projet'!$E$13+1,1))-AVERAGE(OFFSET($H$3,0,0,'Données projet'!$E$13+1,1))</f>
        <v>459.83870442974046</v>
      </c>
      <c r="CZ197" s="57">
        <f t="shared" ref="CZ197:CZ203" si="208">$CZ$3</f>
        <v>565.68976940602215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18.214689684654175</v>
      </c>
      <c r="DG197" s="21">
        <f>EXP(-LN(2)/25)*DG196+(1-EXP(-LN(2)/25))/(LN(2)/25)*Calculateur!DB197*Calculateur!DD197*VLOOKUP('Données projet'!$B$13,Paramètres!$A$1:$I$89,3,0)*0.475*44/12</f>
        <v>1.5686624930092279</v>
      </c>
      <c r="DH197" s="21">
        <f>EXP(-LN(2)/2)*DH196+(1-EXP(-LN(2)/2))/(LN(2)/2)*DB197*DE197*VLOOKUP('Données projet'!$B$13,Paramètres!$A$1:$I$89,3,0)*0.475*44/12</f>
        <v>3.8164492721765885E-19</v>
      </c>
      <c r="DI197" s="22">
        <f t="shared" si="175"/>
        <v>19.783352177663403</v>
      </c>
      <c r="DJ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7" t="e">
        <f t="shared" si="197"/>
        <v>#NUM!</v>
      </c>
      <c r="DT197" s="57">
        <f ca="1">AVERAGE(OFFSET($DS$3,0,0,'Données projet'!$E$14+1,1))-AVERAGE(OFFSET($H$3,0,0,'Données projet'!$E$14+1,1))</f>
        <v>315.23504986325418</v>
      </c>
      <c r="DU197" s="57">
        <f t="shared" ref="DU197:DU203" si="209">$DU$3</f>
        <v>350.52837099886688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9.8981243535647305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9.8981243535647305</v>
      </c>
      <c r="EE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1.1368683772161603E-13</v>
      </c>
      <c r="EK197" s="17">
        <f>EJ197*VLOOKUP('Données projet'!$B$15,Paramètres!$A$1:$I$89,3,0)*VLOOKUP('Données projet'!$B$15,Paramètres!$A$1:$I$89,5,0)</f>
        <v>1.0995790944434703E-13</v>
      </c>
      <c r="EL197" s="13">
        <f t="shared" si="179"/>
        <v>1.6337280948049956E-12</v>
      </c>
      <c r="EM197" s="20">
        <f t="shared" si="180"/>
        <v>3.036919790734272E-12</v>
      </c>
      <c r="EN197" s="57">
        <f t="shared" si="198"/>
        <v>290.25878253422275</v>
      </c>
      <c r="EO197" s="57">
        <f ca="1">AVERAGE(OFFSET($EN$3,0,0,'Données projet'!$E$15+1,1))-AVERAGE(OFFSET($H$3,0,0,'Données projet'!$E$15+1,1))</f>
        <v>328.31200866623891</v>
      </c>
      <c r="EP197" s="57">
        <f t="shared" ref="EP197:EP203" si="210">$EP$3</f>
        <v>195.52650232917446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59.116307106260734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59.116307106260734</v>
      </c>
      <c r="EZ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7" t="e">
        <f t="shared" si="199"/>
        <v>#NUM!</v>
      </c>
      <c r="FJ197" s="57">
        <f ca="1">AVERAGE(OFFSET($FI$3,0,0,'Données projet'!$E$16+1,1))-AVERAGE(OFFSET($H$3,0,0,'Données projet'!$E$16+1,1))</f>
        <v>142.88219003619457</v>
      </c>
      <c r="FK197" s="57">
        <f t="shared" ref="FK197:FK203" si="211">$FK$3</f>
        <v>288.69704547625088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1.9076524340125582</v>
      </c>
      <c r="FR197" s="21">
        <f>EXP(-LN(2)/25)*FR196+(1-EXP(-LN(2)/25))/(LN(2)/25)*Calculateur!FM197*Calculateur!FO197*VLOOKUP('Données projet'!$B$16,Paramètres!$A$1:$I$89,3,0)*0.475*44/12</f>
        <v>0.1316240218256497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2.0392764558382082</v>
      </c>
      <c r="FU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7" t="e">
        <f t="shared" si="200"/>
        <v>#N/A</v>
      </c>
      <c r="GE197" s="57" t="e">
        <f ca="1">AVERAGE(OFFSET($GD$3,0,0,'Données projet'!$E$17+1,1))-AVERAGE(OFFSET($H$3,0,0,'Données projet'!$E$17+1,1))</f>
        <v>#N/A</v>
      </c>
      <c r="GF197" s="57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7" t="e">
        <f t="shared" si="201"/>
        <v>#N/A</v>
      </c>
      <c r="GZ197" s="57" t="e">
        <f ca="1">AVERAGE(OFFSET($GY$3,0,0,'Données projet'!$E$18+1,1))-AVERAGE(OFFSET($H$3,0,0,'Données projet'!$E$18+1,1))</f>
        <v>#N/A</v>
      </c>
      <c r="HA197" s="57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1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5">
        <f t="shared" si="192"/>
        <v>183.33333333333334</v>
      </c>
      <c r="I198" s="6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-3.979039320256561E-13</v>
      </c>
      <c r="O198" s="13">
        <f>N198*VLOOKUP('Données projet'!$B$9,Paramètres!$A$1:$I$89,3,0)*VLOOKUP('Données projet'!$B$9,Paramètres!$A$1:$I$89,5,0)</f>
        <v>-3.6002347769681362E-13</v>
      </c>
      <c r="P198" s="13" t="e">
        <f t="shared" si="203"/>
        <v>#NUM!</v>
      </c>
      <c r="Q198" s="20" t="e">
        <f t="shared" si="162"/>
        <v>#NUM!</v>
      </c>
      <c r="R198" s="57" t="e">
        <f t="shared" si="191"/>
        <v>#NUM!</v>
      </c>
      <c r="S198" s="57">
        <f ca="1">AVERAGE(OFFSET($R$3,0,0,'Données projet'!$E$9+1,1))-AVERAGE(OFFSET($H$3,0,0,'Données projet'!$E$9+1,1))</f>
        <v>539.63700256763173</v>
      </c>
      <c r="T198" s="57">
        <f t="shared" si="204"/>
        <v>297.32483725004136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-3.979039320256561E-13</v>
      </c>
      <c r="AJ198" s="13">
        <f>AI198*VLOOKUP('Données projet'!$B$10,Paramètres!$A$1:$I$89,3,0)*VLOOKUP('Données projet'!$B$10,Paramètres!$A$1:$I$89,5,0)</f>
        <v>-3.3519427233841274E-13</v>
      </c>
      <c r="AK198" s="13" t="e">
        <f t="shared" si="164"/>
        <v>#NUM!</v>
      </c>
      <c r="AL198" s="20" t="e">
        <f t="shared" si="165"/>
        <v>#NUM!</v>
      </c>
      <c r="AM198" s="57" t="e">
        <f t="shared" si="193"/>
        <v>#NUM!</v>
      </c>
      <c r="AN198" s="57">
        <f ca="1">AVERAGE(OFFSET($AM$3,0,0,'Données projet'!$E$10+1,1))-AVERAGE(OFFSET($H$3,0,0,'Données projet'!$E$10+1,1))</f>
        <v>508.21188526136734</v>
      </c>
      <c r="AO198" s="57">
        <f t="shared" si="205"/>
        <v>281.06176764290592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-1.064108801074326E-13</v>
      </c>
      <c r="BF198" s="13" t="e">
        <f t="shared" si="167"/>
        <v>#NUM!</v>
      </c>
      <c r="BG198" s="20" t="e">
        <f t="shared" si="168"/>
        <v>#NUM!</v>
      </c>
      <c r="BH198" s="57" t="e">
        <f t="shared" si="194"/>
        <v>#NUM!</v>
      </c>
      <c r="BI198" s="57">
        <f ca="1">AVERAGE(OFFSET($BH$3,0,0,'Données projet'!$E$11+1,1))-AVERAGE(OFFSET($H$3,0,0,'Données projet'!$E$11+1,1))</f>
        <v>449.50723280509311</v>
      </c>
      <c r="BJ198" s="57">
        <f t="shared" si="206"/>
        <v>281.26353650058275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35.513783250395853</v>
      </c>
      <c r="BQ198" s="21">
        <f>EXP(-LN(2)/25)*BQ197+(1-EXP(-LN(2)/25))/(LN(2)/25)*Calculateur!BL198*Calculateur!BN198*VLOOKUP('Données projet'!$B$11,Paramètres!$A$1:$I$89,3,0)*0.475*44/12</f>
        <v>3.7782105749616575</v>
      </c>
      <c r="BR198" s="21">
        <f>EXP(-LN(2)/2)*BR197+(1-EXP(-LN(2)/2))/(LN(2)/2)*BL198*BO198*VLOOKUP('Données projet'!$B$11,Paramètres!$A$1:$I$89,3,0)*0.475*44/12</f>
        <v>2.1265053180139349E-13</v>
      </c>
      <c r="BS198" s="22">
        <f t="shared" si="169"/>
        <v>39.291993825357721</v>
      </c>
      <c r="BT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-1.1937117960769683E-12</v>
      </c>
      <c r="BZ198" s="13">
        <f>BY198*VLOOKUP('Données projet'!$B$12,Paramètres!$A$1:$I$89,3,0)*VLOOKUP('Données projet'!$B$12,Paramètres!$A$1:$I$89,5,0)</f>
        <v>-1.1359361451468432E-12</v>
      </c>
      <c r="CA198" s="13" t="e">
        <f t="shared" si="170"/>
        <v>#NUM!</v>
      </c>
      <c r="CB198" s="20" t="e">
        <f t="shared" si="171"/>
        <v>#NUM!</v>
      </c>
      <c r="CC198" s="57" t="e">
        <f t="shared" si="195"/>
        <v>#NUM!</v>
      </c>
      <c r="CD198" s="57">
        <f ca="1">AVERAGE(OFFSET($CC$3,0,0,'Données projet'!$E$12+1,1))-AVERAGE(OFFSET($H$3,0,0,'Données projet'!$E$12+1,1))</f>
        <v>479.4551766174892</v>
      </c>
      <c r="CE198" s="57">
        <f t="shared" si="207"/>
        <v>260.29028006191834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-2.2737367544323206E-13</v>
      </c>
      <c r="CU198" s="17">
        <f>CT198*VLOOKUP('Données projet'!$B$13,Paramètres!$A$1:$I$89,3,0)*VLOOKUP('Données projet'!$B$13,Paramètres!$A$1:$I$89,5,0)</f>
        <v>-1.2710188457276673E-13</v>
      </c>
      <c r="CV198" s="13" t="e">
        <f t="shared" si="173"/>
        <v>#NUM!</v>
      </c>
      <c r="CW198" s="20" t="e">
        <f t="shared" si="174"/>
        <v>#NUM!</v>
      </c>
      <c r="CX198" s="57" t="e">
        <f t="shared" si="196"/>
        <v>#NUM!</v>
      </c>
      <c r="CY198" s="57">
        <f ca="1">AVERAGE(OFFSET($CX$3,0,0,'Données projet'!$E$13+1,1))-AVERAGE(OFFSET($H$3,0,0,'Données projet'!$E$13+1,1))</f>
        <v>459.83870442974046</v>
      </c>
      <c r="CZ198" s="57">
        <f t="shared" si="208"/>
        <v>565.68976940602215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17.857510729801806</v>
      </c>
      <c r="DG198" s="21">
        <f>EXP(-LN(2)/25)*DG197+(1-EXP(-LN(2)/25))/(LN(2)/25)*Calculateur!DB198*Calculateur!DD198*VLOOKUP('Données projet'!$B$13,Paramètres!$A$1:$I$89,3,0)*0.475*44/12</f>
        <v>1.5257673346455152</v>
      </c>
      <c r="DH198" s="21">
        <f>EXP(-LN(2)/2)*DH197+(1-EXP(-LN(2)/2))/(LN(2)/2)*DB198*DE198*VLOOKUP('Données projet'!$B$13,Paramètres!$A$1:$I$89,3,0)*0.475*44/12</f>
        <v>2.6986371604105295E-19</v>
      </c>
      <c r="DI198" s="22">
        <f t="shared" si="175"/>
        <v>19.383278064447321</v>
      </c>
      <c r="DJ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7" t="e">
        <f t="shared" si="197"/>
        <v>#NUM!</v>
      </c>
      <c r="DT198" s="57">
        <f ca="1">AVERAGE(OFFSET($DS$3,0,0,'Données projet'!$E$14+1,1))-AVERAGE(OFFSET($H$3,0,0,'Données projet'!$E$14+1,1))</f>
        <v>315.23504986325418</v>
      </c>
      <c r="DU198" s="57">
        <f t="shared" si="209"/>
        <v>350.52837099886688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9.7040281722510517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9.7040281722510517</v>
      </c>
      <c r="EE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1.1368683772161603E-13</v>
      </c>
      <c r="EK198" s="17">
        <f>EJ198*VLOOKUP('Données projet'!$B$15,Paramètres!$A$1:$I$89,3,0)*VLOOKUP('Données projet'!$B$15,Paramètres!$A$1:$I$89,5,0)</f>
        <v>1.0995790944434703E-13</v>
      </c>
      <c r="EL198" s="13">
        <f t="shared" si="179"/>
        <v>1.6337280948049956E-12</v>
      </c>
      <c r="EM198" s="20">
        <f t="shared" si="180"/>
        <v>3.036919790734272E-12</v>
      </c>
      <c r="EN198" s="57">
        <f t="shared" si="198"/>
        <v>290.31211911692151</v>
      </c>
      <c r="EO198" s="57">
        <f ca="1">AVERAGE(OFFSET($EN$3,0,0,'Données projet'!$E$15+1,1))-AVERAGE(OFFSET($H$3,0,0,'Données projet'!$E$15+1,1))</f>
        <v>328.31200866623891</v>
      </c>
      <c r="EP198" s="57">
        <f t="shared" si="210"/>
        <v>195.52650232917446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57.957072381293926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57.957072381293926</v>
      </c>
      <c r="EZ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7" t="e">
        <f t="shared" si="199"/>
        <v>#NUM!</v>
      </c>
      <c r="FJ198" s="57">
        <f ca="1">AVERAGE(OFFSET($FI$3,0,0,'Données projet'!$E$16+1,1))-AVERAGE(OFFSET($H$3,0,0,'Données projet'!$E$16+1,1))</f>
        <v>142.88219003619457</v>
      </c>
      <c r="FK198" s="57">
        <f t="shared" si="211"/>
        <v>288.69704547625088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1.8702445333346653</v>
      </c>
      <c r="FR198" s="21">
        <f>EXP(-LN(2)/25)*FR197+(1-EXP(-LN(2)/25))/(LN(2)/25)*Calculateur!FM198*Calculateur!FO198*VLOOKUP('Données projet'!$B$16,Paramètres!$A$1:$I$89,3,0)*0.475*44/12</f>
        <v>0.12802475602702082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1.9982692893616862</v>
      </c>
      <c r="FU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7" t="e">
        <f t="shared" si="200"/>
        <v>#N/A</v>
      </c>
      <c r="GE198" s="57" t="e">
        <f ca="1">AVERAGE(OFFSET($GD$3,0,0,'Données projet'!$E$17+1,1))-AVERAGE(OFFSET($H$3,0,0,'Données projet'!$E$17+1,1))</f>
        <v>#N/A</v>
      </c>
      <c r="GF198" s="57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7" t="e">
        <f t="shared" si="201"/>
        <v>#N/A</v>
      </c>
      <c r="GZ198" s="57" t="e">
        <f ca="1">AVERAGE(OFFSET($GY$3,0,0,'Données projet'!$E$18+1,1))-AVERAGE(OFFSET($H$3,0,0,'Données projet'!$E$18+1,1))</f>
        <v>#N/A</v>
      </c>
      <c r="HA198" s="57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1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5">
        <f t="shared" si="192"/>
        <v>183.33333333333334</v>
      </c>
      <c r="I199" s="6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-3.979039320256561E-13</v>
      </c>
      <c r="O199" s="13">
        <f>N199*VLOOKUP('Données projet'!$B$9,Paramètres!$A$1:$I$89,3,0)*VLOOKUP('Données projet'!$B$9,Paramètres!$A$1:$I$89,5,0)</f>
        <v>-3.6002347769681362E-13</v>
      </c>
      <c r="P199" s="13" t="e">
        <f t="shared" si="203"/>
        <v>#NUM!</v>
      </c>
      <c r="Q199" s="20" t="e">
        <f t="shared" si="162"/>
        <v>#NUM!</v>
      </c>
      <c r="R199" s="57" t="e">
        <f t="shared" si="191"/>
        <v>#NUM!</v>
      </c>
      <c r="S199" s="57">
        <f ca="1">AVERAGE(OFFSET($R$3,0,0,'Données projet'!$E$9+1,1))-AVERAGE(OFFSET($H$3,0,0,'Données projet'!$E$9+1,1))</f>
        <v>539.63700256763173</v>
      </c>
      <c r="T199" s="57">
        <f t="shared" si="204"/>
        <v>297.32483725004136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-3.979039320256561E-13</v>
      </c>
      <c r="AJ199" s="13">
        <f>AI199*VLOOKUP('Données projet'!$B$10,Paramètres!$A$1:$I$89,3,0)*VLOOKUP('Données projet'!$B$10,Paramètres!$A$1:$I$89,5,0)</f>
        <v>-3.3519427233841274E-13</v>
      </c>
      <c r="AK199" s="13" t="e">
        <f t="shared" si="164"/>
        <v>#NUM!</v>
      </c>
      <c r="AL199" s="20" t="e">
        <f t="shared" si="165"/>
        <v>#NUM!</v>
      </c>
      <c r="AM199" s="57" t="e">
        <f t="shared" si="193"/>
        <v>#NUM!</v>
      </c>
      <c r="AN199" s="57">
        <f ca="1">AVERAGE(OFFSET($AM$3,0,0,'Données projet'!$E$10+1,1))-AVERAGE(OFFSET($H$3,0,0,'Données projet'!$E$10+1,1))</f>
        <v>508.21188526136734</v>
      </c>
      <c r="AO199" s="57">
        <f t="shared" si="205"/>
        <v>281.06176764290592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-1.064108801074326E-13</v>
      </c>
      <c r="BF199" s="13" t="e">
        <f t="shared" si="167"/>
        <v>#NUM!</v>
      </c>
      <c r="BG199" s="20" t="e">
        <f t="shared" si="168"/>
        <v>#NUM!</v>
      </c>
      <c r="BH199" s="57" t="e">
        <f t="shared" si="194"/>
        <v>#NUM!</v>
      </c>
      <c r="BI199" s="57">
        <f ca="1">AVERAGE(OFFSET($BH$3,0,0,'Données projet'!$E$11+1,1))-AVERAGE(OFFSET($H$3,0,0,'Données projet'!$E$11+1,1))</f>
        <v>449.50723280509311</v>
      </c>
      <c r="BJ199" s="57">
        <f t="shared" si="206"/>
        <v>281.26353650058275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34.817379622124498</v>
      </c>
      <c r="BQ199" s="21">
        <f>EXP(-LN(2)/25)*BQ198+(1-EXP(-LN(2)/25))/(LN(2)/25)*Calculateur!BL199*Calculateur!BN199*VLOOKUP('Données projet'!$B$11,Paramètres!$A$1:$I$89,3,0)*0.475*44/12</f>
        <v>3.674895208101872</v>
      </c>
      <c r="BR199" s="21">
        <f>EXP(-LN(2)/2)*BR198+(1-EXP(-LN(2)/2))/(LN(2)/2)*BL199*BO199*VLOOKUP('Données projet'!$B$11,Paramètres!$A$1:$I$89,3,0)*0.475*44/12</f>
        <v>1.5036663305969091E-13</v>
      </c>
      <c r="BS199" s="22">
        <f t="shared" si="169"/>
        <v>38.492274830226521</v>
      </c>
      <c r="BT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-1.1937117960769683E-12</v>
      </c>
      <c r="BZ199" s="13">
        <f>BY199*VLOOKUP('Données projet'!$B$12,Paramètres!$A$1:$I$89,3,0)*VLOOKUP('Données projet'!$B$12,Paramètres!$A$1:$I$89,5,0)</f>
        <v>-1.1359361451468432E-12</v>
      </c>
      <c r="CA199" s="13" t="e">
        <f t="shared" si="170"/>
        <v>#NUM!</v>
      </c>
      <c r="CB199" s="20" t="e">
        <f t="shared" si="171"/>
        <v>#NUM!</v>
      </c>
      <c r="CC199" s="57" t="e">
        <f t="shared" si="195"/>
        <v>#NUM!</v>
      </c>
      <c r="CD199" s="57">
        <f ca="1">AVERAGE(OFFSET($CC$3,0,0,'Données projet'!$E$12+1,1))-AVERAGE(OFFSET($H$3,0,0,'Données projet'!$E$12+1,1))</f>
        <v>479.4551766174892</v>
      </c>
      <c r="CE199" s="57">
        <f t="shared" si="207"/>
        <v>260.29028006191834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-2.2737367544323206E-13</v>
      </c>
      <c r="CU199" s="17">
        <f>CT199*VLOOKUP('Données projet'!$B$13,Paramètres!$A$1:$I$89,3,0)*VLOOKUP('Données projet'!$B$13,Paramètres!$A$1:$I$89,5,0)</f>
        <v>-1.2710188457276673E-13</v>
      </c>
      <c r="CV199" s="13" t="e">
        <f t="shared" si="173"/>
        <v>#NUM!</v>
      </c>
      <c r="CW199" s="20" t="e">
        <f t="shared" si="174"/>
        <v>#NUM!</v>
      </c>
      <c r="CX199" s="57" t="e">
        <f t="shared" si="196"/>
        <v>#NUM!</v>
      </c>
      <c r="CY199" s="57">
        <f ca="1">AVERAGE(OFFSET($CX$3,0,0,'Données projet'!$E$13+1,1))-AVERAGE(OFFSET($H$3,0,0,'Données projet'!$E$13+1,1))</f>
        <v>459.83870442974046</v>
      </c>
      <c r="CZ199" s="57">
        <f t="shared" si="208"/>
        <v>565.68976940602215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17.507335836396443</v>
      </c>
      <c r="DG199" s="21">
        <f>EXP(-LN(2)/25)*DG198+(1-EXP(-LN(2)/25))/(LN(2)/25)*Calculateur!DB199*Calculateur!DD199*VLOOKUP('Données projet'!$B$13,Paramètres!$A$1:$I$89,3,0)*0.475*44/12</f>
        <v>1.4840451466430167</v>
      </c>
      <c r="DH199" s="21">
        <f>EXP(-LN(2)/2)*DH198+(1-EXP(-LN(2)/2))/(LN(2)/2)*DB199*DE199*VLOOKUP('Données projet'!$B$13,Paramètres!$A$1:$I$89,3,0)*0.475*44/12</f>
        <v>1.9082246360882943E-19</v>
      </c>
      <c r="DI199" s="22">
        <f t="shared" si="175"/>
        <v>18.991380983039459</v>
      </c>
      <c r="DJ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7" t="e">
        <f t="shared" si="197"/>
        <v>#NUM!</v>
      </c>
      <c r="DT199" s="57">
        <f ca="1">AVERAGE(OFFSET($DS$3,0,0,'Données projet'!$E$14+1,1))-AVERAGE(OFFSET($H$3,0,0,'Données projet'!$E$14+1,1))</f>
        <v>315.23504986325418</v>
      </c>
      <c r="DU199" s="57">
        <f t="shared" si="209"/>
        <v>350.52837099886688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9.5137380986659537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9.5137380986659537</v>
      </c>
      <c r="EE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1.1368683772161603E-13</v>
      </c>
      <c r="EK199" s="17">
        <f>EJ199*VLOOKUP('Données projet'!$B$15,Paramètres!$A$1:$I$89,3,0)*VLOOKUP('Données projet'!$B$15,Paramètres!$A$1:$I$89,5,0)</f>
        <v>1.0995790944434703E-13</v>
      </c>
      <c r="EL199" s="13">
        <f t="shared" si="179"/>
        <v>1.6337280948049956E-12</v>
      </c>
      <c r="EM199" s="20">
        <f t="shared" si="180"/>
        <v>3.036919790734272E-12</v>
      </c>
      <c r="EN199" s="57">
        <f t="shared" si="198"/>
        <v>290.36453042915321</v>
      </c>
      <c r="EO199" s="57">
        <f ca="1">AVERAGE(OFFSET($EN$3,0,0,'Données projet'!$E$15+1,1))-AVERAGE(OFFSET($H$3,0,0,'Données projet'!$E$15+1,1))</f>
        <v>328.31200866623891</v>
      </c>
      <c r="EP199" s="57">
        <f t="shared" si="210"/>
        <v>195.52650232917446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56.820569542220348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56.820569542220348</v>
      </c>
      <c r="EZ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7" t="e">
        <f t="shared" si="199"/>
        <v>#NUM!</v>
      </c>
      <c r="FJ199" s="57">
        <f ca="1">AVERAGE(OFFSET($FI$3,0,0,'Données projet'!$E$16+1,1))-AVERAGE(OFFSET($H$3,0,0,'Données projet'!$E$16+1,1))</f>
        <v>142.88219003619457</v>
      </c>
      <c r="FK199" s="57">
        <f t="shared" si="211"/>
        <v>288.69704547625088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1.8335701787724996</v>
      </c>
      <c r="FR199" s="21">
        <f>EXP(-LN(2)/25)*FR198+(1-EXP(-LN(2)/25))/(LN(2)/25)*Calculateur!FM199*Calculateur!FO199*VLOOKUP('Données projet'!$B$16,Paramètres!$A$1:$I$89,3,0)*0.475*44/12</f>
        <v>0.12452391234093262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1.9580940911134321</v>
      </c>
      <c r="FU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7" t="e">
        <f t="shared" si="200"/>
        <v>#N/A</v>
      </c>
      <c r="GE199" s="57" t="e">
        <f ca="1">AVERAGE(OFFSET($GD$3,0,0,'Données projet'!$E$17+1,1))-AVERAGE(OFFSET($H$3,0,0,'Données projet'!$E$17+1,1))</f>
        <v>#N/A</v>
      </c>
      <c r="GF199" s="57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7" t="e">
        <f t="shared" si="201"/>
        <v>#N/A</v>
      </c>
      <c r="GZ199" s="57" t="e">
        <f ca="1">AVERAGE(OFFSET($GY$3,0,0,'Données projet'!$E$18+1,1))-AVERAGE(OFFSET($H$3,0,0,'Données projet'!$E$18+1,1))</f>
        <v>#N/A</v>
      </c>
      <c r="HA199" s="57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1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5">
        <f t="shared" si="192"/>
        <v>183.33333333333334</v>
      </c>
      <c r="I200" s="6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-3.979039320256561E-13</v>
      </c>
      <c r="O200" s="13">
        <f>N200*VLOOKUP('Données projet'!$B$9,Paramètres!$A$1:$I$89,3,0)*VLOOKUP('Données projet'!$B$9,Paramètres!$A$1:$I$89,5,0)</f>
        <v>-3.6002347769681362E-13</v>
      </c>
      <c r="P200" s="13" t="e">
        <f t="shared" si="203"/>
        <v>#NUM!</v>
      </c>
      <c r="Q200" s="20" t="e">
        <f t="shared" si="162"/>
        <v>#NUM!</v>
      </c>
      <c r="R200" s="57" t="e">
        <f t="shared" si="191"/>
        <v>#NUM!</v>
      </c>
      <c r="S200" s="57">
        <f ca="1">AVERAGE(OFFSET($R$3,0,0,'Données projet'!$E$9+1,1))-AVERAGE(OFFSET($H$3,0,0,'Données projet'!$E$9+1,1))</f>
        <v>539.63700256763173</v>
      </c>
      <c r="T200" s="57">
        <f t="shared" si="204"/>
        <v>297.32483725004136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-3.979039320256561E-13</v>
      </c>
      <c r="AJ200" s="13">
        <f>AI200*VLOOKUP('Données projet'!$B$10,Paramètres!$A$1:$I$89,3,0)*VLOOKUP('Données projet'!$B$10,Paramètres!$A$1:$I$89,5,0)</f>
        <v>-3.3519427233841274E-13</v>
      </c>
      <c r="AK200" s="13" t="e">
        <f t="shared" si="164"/>
        <v>#NUM!</v>
      </c>
      <c r="AL200" s="20" t="e">
        <f t="shared" si="165"/>
        <v>#NUM!</v>
      </c>
      <c r="AM200" s="57" t="e">
        <f t="shared" si="193"/>
        <v>#NUM!</v>
      </c>
      <c r="AN200" s="57">
        <f ca="1">AVERAGE(OFFSET($AM$3,0,0,'Données projet'!$E$10+1,1))-AVERAGE(OFFSET($H$3,0,0,'Données projet'!$E$10+1,1))</f>
        <v>508.21188526136734</v>
      </c>
      <c r="AO200" s="57">
        <f t="shared" si="205"/>
        <v>281.06176764290592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-1.064108801074326E-13</v>
      </c>
      <c r="BF200" s="13" t="e">
        <f t="shared" si="167"/>
        <v>#NUM!</v>
      </c>
      <c r="BG200" s="20" t="e">
        <f t="shared" si="168"/>
        <v>#NUM!</v>
      </c>
      <c r="BH200" s="57" t="e">
        <f t="shared" si="194"/>
        <v>#NUM!</v>
      </c>
      <c r="BI200" s="57">
        <f ca="1">AVERAGE(OFFSET($BH$3,0,0,'Données projet'!$E$11+1,1))-AVERAGE(OFFSET($H$3,0,0,'Données projet'!$E$11+1,1))</f>
        <v>449.50723280509311</v>
      </c>
      <c r="BJ200" s="57">
        <f t="shared" si="206"/>
        <v>281.26353650058275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34.134632044239275</v>
      </c>
      <c r="BQ200" s="21">
        <f>EXP(-LN(2)/25)*BQ199+(1-EXP(-LN(2)/25))/(LN(2)/25)*Calculateur!BL200*Calculateur!BN200*VLOOKUP('Données projet'!$B$11,Paramètres!$A$1:$I$89,3,0)*0.475*44/12</f>
        <v>3.5744050053819865</v>
      </c>
      <c r="BR200" s="21">
        <f>EXP(-LN(2)/2)*BR199+(1-EXP(-LN(2)/2))/(LN(2)/2)*BL200*BO200*VLOOKUP('Données projet'!$B$11,Paramètres!$A$1:$I$89,3,0)*0.475*44/12</f>
        <v>1.0632526590069674E-13</v>
      </c>
      <c r="BS200" s="22">
        <f t="shared" si="169"/>
        <v>37.709037049621365</v>
      </c>
      <c r="BT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-1.1937117960769683E-12</v>
      </c>
      <c r="BZ200" s="13">
        <f>BY200*VLOOKUP('Données projet'!$B$12,Paramètres!$A$1:$I$89,3,0)*VLOOKUP('Données projet'!$B$12,Paramètres!$A$1:$I$89,5,0)</f>
        <v>-1.1359361451468432E-12</v>
      </c>
      <c r="CA200" s="13" t="e">
        <f t="shared" si="170"/>
        <v>#NUM!</v>
      </c>
      <c r="CB200" s="20" t="e">
        <f t="shared" si="171"/>
        <v>#NUM!</v>
      </c>
      <c r="CC200" s="57" t="e">
        <f t="shared" si="195"/>
        <v>#NUM!</v>
      </c>
      <c r="CD200" s="57">
        <f ca="1">AVERAGE(OFFSET($CC$3,0,0,'Données projet'!$E$12+1,1))-AVERAGE(OFFSET($H$3,0,0,'Données projet'!$E$12+1,1))</f>
        <v>479.4551766174892</v>
      </c>
      <c r="CE200" s="57">
        <f t="shared" si="207"/>
        <v>260.29028006191834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-2.2737367544323206E-13</v>
      </c>
      <c r="CU200" s="17">
        <f>CT200*VLOOKUP('Données projet'!$B$13,Paramètres!$A$1:$I$89,3,0)*VLOOKUP('Données projet'!$B$13,Paramètres!$A$1:$I$89,5,0)</f>
        <v>-1.2710188457276673E-13</v>
      </c>
      <c r="CV200" s="13" t="e">
        <f t="shared" si="173"/>
        <v>#NUM!</v>
      </c>
      <c r="CW200" s="20" t="e">
        <f t="shared" si="174"/>
        <v>#NUM!</v>
      </c>
      <c r="CX200" s="57" t="e">
        <f t="shared" si="196"/>
        <v>#NUM!</v>
      </c>
      <c r="CY200" s="57">
        <f ca="1">AVERAGE(OFFSET($CX$3,0,0,'Données projet'!$E$13+1,1))-AVERAGE(OFFSET($H$3,0,0,'Données projet'!$E$13+1,1))</f>
        <v>459.83870442974046</v>
      </c>
      <c r="CZ200" s="57">
        <f t="shared" si="208"/>
        <v>565.68976940602215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17.164027659065162</v>
      </c>
      <c r="DG200" s="21">
        <f>EXP(-LN(2)/25)*DG199+(1-EXP(-LN(2)/25))/(LN(2)/25)*Calculateur!DB200*Calculateur!DD200*VLOOKUP('Données projet'!$B$13,Paramètres!$A$1:$I$89,3,0)*0.475*44/12</f>
        <v>1.4434638540655209</v>
      </c>
      <c r="DH200" s="21">
        <f>EXP(-LN(2)/2)*DH199+(1-EXP(-LN(2)/2))/(LN(2)/2)*DB200*DE200*VLOOKUP('Données projet'!$B$13,Paramètres!$A$1:$I$89,3,0)*0.475*44/12</f>
        <v>1.3493185802052647E-19</v>
      </c>
      <c r="DI200" s="22">
        <f t="shared" si="175"/>
        <v>18.607491513130682</v>
      </c>
      <c r="DJ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7" t="e">
        <f t="shared" si="197"/>
        <v>#NUM!</v>
      </c>
      <c r="DT200" s="57">
        <f ca="1">AVERAGE(OFFSET($DS$3,0,0,'Données projet'!$E$14+1,1))-AVERAGE(OFFSET($H$3,0,0,'Données projet'!$E$14+1,1))</f>
        <v>315.23504986325418</v>
      </c>
      <c r="DU200" s="57">
        <f t="shared" si="209"/>
        <v>350.52837099886688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9.3271794973583741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9.3271794973583741</v>
      </c>
      <c r="EE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1.1368683772161603E-13</v>
      </c>
      <c r="EK200" s="17">
        <f>EJ200*VLOOKUP('Données projet'!$B$15,Paramètres!$A$1:$I$89,3,0)*VLOOKUP('Données projet'!$B$15,Paramètres!$A$1:$I$89,5,0)</f>
        <v>1.0995790944434703E-13</v>
      </c>
      <c r="EL200" s="13">
        <f t="shared" si="179"/>
        <v>1.6337280948049956E-12</v>
      </c>
      <c r="EM200" s="20">
        <f t="shared" si="180"/>
        <v>3.036919790734272E-12</v>
      </c>
      <c r="EN200" s="57">
        <f t="shared" si="198"/>
        <v>290.4160325222918</v>
      </c>
      <c r="EO200" s="57">
        <f ca="1">AVERAGE(OFFSET($EN$3,0,0,'Données projet'!$E$15+1,1))-AVERAGE(OFFSET($H$3,0,0,'Données projet'!$E$15+1,1))</f>
        <v>328.31200866623891</v>
      </c>
      <c r="EP200" s="57">
        <f t="shared" si="210"/>
        <v>195.52650232917446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55.70635283062272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55.70635283062272</v>
      </c>
      <c r="EZ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7" t="e">
        <f t="shared" si="199"/>
        <v>#NUM!</v>
      </c>
      <c r="FJ200" s="57">
        <f ca="1">AVERAGE(OFFSET($FI$3,0,0,'Données projet'!$E$16+1,1))-AVERAGE(OFFSET($H$3,0,0,'Données projet'!$E$16+1,1))</f>
        <v>142.88219003619457</v>
      </c>
      <c r="FK200" s="57">
        <f t="shared" si="211"/>
        <v>288.69704547625088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1.7976149859341504</v>
      </c>
      <c r="FR200" s="21">
        <f>EXP(-LN(2)/25)*FR199+(1-EXP(-LN(2)/25))/(LN(2)/25)*Calculateur!FM200*Calculateur!FO200*VLOOKUP('Données projet'!$B$16,Paramètres!$A$1:$I$89,3,0)*0.475*44/12</f>
        <v>0.12111879940954187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1.9187337853436923</v>
      </c>
      <c r="FU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7" t="e">
        <f t="shared" si="200"/>
        <v>#N/A</v>
      </c>
      <c r="GE200" s="57" t="e">
        <f ca="1">AVERAGE(OFFSET($GD$3,0,0,'Données projet'!$E$17+1,1))-AVERAGE(OFFSET($H$3,0,0,'Données projet'!$E$17+1,1))</f>
        <v>#N/A</v>
      </c>
      <c r="GF200" s="57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7" t="e">
        <f t="shared" si="201"/>
        <v>#N/A</v>
      </c>
      <c r="GZ200" s="57" t="e">
        <f ca="1">AVERAGE(OFFSET($GY$3,0,0,'Données projet'!$E$18+1,1))-AVERAGE(OFFSET($H$3,0,0,'Données projet'!$E$18+1,1))</f>
        <v>#N/A</v>
      </c>
      <c r="HA200" s="57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1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5">
        <f t="shared" si="192"/>
        <v>183.33333333333334</v>
      </c>
      <c r="I201" s="6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-3.979039320256561E-13</v>
      </c>
      <c r="O201" s="13">
        <f>N201*VLOOKUP('Données projet'!$B$9,Paramètres!$A$1:$I$89,3,0)*VLOOKUP('Données projet'!$B$9,Paramètres!$A$1:$I$89,5,0)</f>
        <v>-3.6002347769681362E-13</v>
      </c>
      <c r="P201" s="13" t="e">
        <f t="shared" si="203"/>
        <v>#NUM!</v>
      </c>
      <c r="Q201" s="20" t="e">
        <f t="shared" si="162"/>
        <v>#NUM!</v>
      </c>
      <c r="R201" s="57" t="e">
        <f t="shared" si="191"/>
        <v>#NUM!</v>
      </c>
      <c r="S201" s="57">
        <f ca="1">AVERAGE(OFFSET($R$3,0,0,'Données projet'!$E$9+1,1))-AVERAGE(OFFSET($H$3,0,0,'Données projet'!$E$9+1,1))</f>
        <v>539.63700256763173</v>
      </c>
      <c r="T201" s="57">
        <f t="shared" si="204"/>
        <v>297.32483725004136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-3.979039320256561E-13</v>
      </c>
      <c r="AJ201" s="13">
        <f>AI201*VLOOKUP('Données projet'!$B$10,Paramètres!$A$1:$I$89,3,0)*VLOOKUP('Données projet'!$B$10,Paramètres!$A$1:$I$89,5,0)</f>
        <v>-3.3519427233841274E-13</v>
      </c>
      <c r="AK201" s="13" t="e">
        <f t="shared" si="164"/>
        <v>#NUM!</v>
      </c>
      <c r="AL201" s="20" t="e">
        <f t="shared" si="165"/>
        <v>#NUM!</v>
      </c>
      <c r="AM201" s="57" t="e">
        <f t="shared" si="193"/>
        <v>#NUM!</v>
      </c>
      <c r="AN201" s="57">
        <f ca="1">AVERAGE(OFFSET($AM$3,0,0,'Données projet'!$E$10+1,1))-AVERAGE(OFFSET($H$3,0,0,'Données projet'!$E$10+1,1))</f>
        <v>508.21188526136734</v>
      </c>
      <c r="AO201" s="57">
        <f t="shared" si="205"/>
        <v>281.06176764290592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-1.064108801074326E-13</v>
      </c>
      <c r="BF201" s="13" t="e">
        <f t="shared" si="167"/>
        <v>#NUM!</v>
      </c>
      <c r="BG201" s="20" t="e">
        <f t="shared" si="168"/>
        <v>#NUM!</v>
      </c>
      <c r="BH201" s="57" t="e">
        <f t="shared" si="194"/>
        <v>#NUM!</v>
      </c>
      <c r="BI201" s="57">
        <f ca="1">AVERAGE(OFFSET($BH$3,0,0,'Données projet'!$E$11+1,1))-AVERAGE(OFFSET($H$3,0,0,'Données projet'!$E$11+1,1))</f>
        <v>449.50723280509311</v>
      </c>
      <c r="BJ201" s="57">
        <f t="shared" si="206"/>
        <v>281.26353650058275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33.46527272992148</v>
      </c>
      <c r="BQ201" s="21">
        <f>EXP(-LN(2)/25)*BQ200+(1-EXP(-LN(2)/25))/(LN(2)/25)*Calculateur!BL201*Calculateur!BN201*VLOOKUP('Données projet'!$B$11,Paramètres!$A$1:$I$89,3,0)*0.475*44/12</f>
        <v>3.4766627125400262</v>
      </c>
      <c r="BR201" s="21">
        <f>EXP(-LN(2)/2)*BR200+(1-EXP(-LN(2)/2))/(LN(2)/2)*BL201*BO201*VLOOKUP('Données projet'!$B$11,Paramètres!$A$1:$I$89,3,0)*0.475*44/12</f>
        <v>7.5183316529845455E-14</v>
      </c>
      <c r="BS201" s="22">
        <f t="shared" si="169"/>
        <v>36.941935442461585</v>
      </c>
      <c r="BT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-1.1937117960769683E-12</v>
      </c>
      <c r="BZ201" s="13">
        <f>BY201*VLOOKUP('Données projet'!$B$12,Paramètres!$A$1:$I$89,3,0)*VLOOKUP('Données projet'!$B$12,Paramètres!$A$1:$I$89,5,0)</f>
        <v>-1.1359361451468432E-12</v>
      </c>
      <c r="CA201" s="13" t="e">
        <f t="shared" si="170"/>
        <v>#NUM!</v>
      </c>
      <c r="CB201" s="20" t="e">
        <f t="shared" si="171"/>
        <v>#NUM!</v>
      </c>
      <c r="CC201" s="57" t="e">
        <f t="shared" si="195"/>
        <v>#NUM!</v>
      </c>
      <c r="CD201" s="57">
        <f ca="1">AVERAGE(OFFSET($CC$3,0,0,'Données projet'!$E$12+1,1))-AVERAGE(OFFSET($H$3,0,0,'Données projet'!$E$12+1,1))</f>
        <v>479.4551766174892</v>
      </c>
      <c r="CE201" s="57">
        <f t="shared" si="207"/>
        <v>260.29028006191834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-2.2737367544323206E-13</v>
      </c>
      <c r="CU201" s="17">
        <f>CT201*VLOOKUP('Données projet'!$B$13,Paramètres!$A$1:$I$89,3,0)*VLOOKUP('Données projet'!$B$13,Paramètres!$A$1:$I$89,5,0)</f>
        <v>-1.2710188457276673E-13</v>
      </c>
      <c r="CV201" s="13" t="e">
        <f t="shared" si="173"/>
        <v>#NUM!</v>
      </c>
      <c r="CW201" s="20" t="e">
        <f t="shared" si="174"/>
        <v>#NUM!</v>
      </c>
      <c r="CX201" s="57" t="e">
        <f t="shared" si="196"/>
        <v>#NUM!</v>
      </c>
      <c r="CY201" s="57">
        <f ca="1">AVERAGE(OFFSET($CX$3,0,0,'Données projet'!$E$13+1,1))-AVERAGE(OFFSET($H$3,0,0,'Données projet'!$E$13+1,1))</f>
        <v>459.83870442974046</v>
      </c>
      <c r="CZ201" s="57">
        <f t="shared" si="208"/>
        <v>565.68976940602215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16.827451545694036</v>
      </c>
      <c r="DG201" s="21">
        <f>EXP(-LN(2)/25)*DG200+(1-EXP(-LN(2)/25))/(LN(2)/25)*Calculateur!DB201*Calculateur!DD201*VLOOKUP('Données projet'!$B$13,Paramètres!$A$1:$I$89,3,0)*0.475*44/12</f>
        <v>1.4039922590676341</v>
      </c>
      <c r="DH201" s="21">
        <f>EXP(-LN(2)/2)*DH200+(1-EXP(-LN(2)/2))/(LN(2)/2)*DB201*DE201*VLOOKUP('Données projet'!$B$13,Paramètres!$A$1:$I$89,3,0)*0.475*44/12</f>
        <v>9.5411231804414713E-20</v>
      </c>
      <c r="DI201" s="22">
        <f t="shared" si="175"/>
        <v>18.231443804761671</v>
      </c>
      <c r="DJ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7" t="e">
        <f t="shared" si="197"/>
        <v>#NUM!</v>
      </c>
      <c r="DT201" s="57">
        <f ca="1">AVERAGE(OFFSET($DS$3,0,0,'Données projet'!$E$14+1,1))-AVERAGE(OFFSET($H$3,0,0,'Données projet'!$E$14+1,1))</f>
        <v>315.23504986325418</v>
      </c>
      <c r="DU201" s="57">
        <f t="shared" si="209"/>
        <v>350.52837099886688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9.144279196432926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9.144279196432926</v>
      </c>
      <c r="EE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1.1368683772161603E-13</v>
      </c>
      <c r="EK201" s="17">
        <f>EJ201*VLOOKUP('Données projet'!$B$15,Paramètres!$A$1:$I$89,3,0)*VLOOKUP('Données projet'!$B$15,Paramètres!$A$1:$I$89,5,0)</f>
        <v>1.0995790944434703E-13</v>
      </c>
      <c r="EL201" s="13">
        <f t="shared" si="179"/>
        <v>1.6337280948049956E-12</v>
      </c>
      <c r="EM201" s="20">
        <f t="shared" si="180"/>
        <v>3.036919790734272E-12</v>
      </c>
      <c r="EN201" s="57">
        <f t="shared" si="198"/>
        <v>290.46664116925592</v>
      </c>
      <c r="EO201" s="57">
        <f ca="1">AVERAGE(OFFSET($EN$3,0,0,'Données projet'!$E$15+1,1))-AVERAGE(OFFSET($H$3,0,0,'Données projet'!$E$15+1,1))</f>
        <v>328.31200866623891</v>
      </c>
      <c r="EP201" s="57">
        <f t="shared" si="210"/>
        <v>195.52650232917446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54.613985229134435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54.613985229134435</v>
      </c>
      <c r="EZ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7" t="e">
        <f t="shared" si="199"/>
        <v>#NUM!</v>
      </c>
      <c r="FJ201" s="57">
        <f ca="1">AVERAGE(OFFSET($FI$3,0,0,'Données projet'!$E$16+1,1))-AVERAGE(OFFSET($H$3,0,0,'Données projet'!$E$16+1,1))</f>
        <v>142.88219003619457</v>
      </c>
      <c r="FK201" s="57">
        <f t="shared" si="211"/>
        <v>288.69704547625088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1.7623648524968589</v>
      </c>
      <c r="FR201" s="21">
        <f>EXP(-LN(2)/25)*FR200+(1-EXP(-LN(2)/25))/(LN(2)/25)*Calculateur!FM201*Calculateur!FO201*VLOOKUP('Données projet'!$B$16,Paramètres!$A$1:$I$89,3,0)*0.475*44/12</f>
        <v>0.11780679947032711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1.8801716519671861</v>
      </c>
      <c r="FU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7" t="e">
        <f t="shared" si="200"/>
        <v>#N/A</v>
      </c>
      <c r="GE201" s="57" t="e">
        <f ca="1">AVERAGE(OFFSET($GD$3,0,0,'Données projet'!$E$17+1,1))-AVERAGE(OFFSET($H$3,0,0,'Données projet'!$E$17+1,1))</f>
        <v>#N/A</v>
      </c>
      <c r="GF201" s="57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7" t="e">
        <f t="shared" si="201"/>
        <v>#N/A</v>
      </c>
      <c r="GZ201" s="57" t="e">
        <f ca="1">AVERAGE(OFFSET($GY$3,0,0,'Données projet'!$E$18+1,1))-AVERAGE(OFFSET($H$3,0,0,'Données projet'!$E$18+1,1))</f>
        <v>#N/A</v>
      </c>
      <c r="HA201" s="57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1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5">
        <f t="shared" si="192"/>
        <v>183.33333333333334</v>
      </c>
      <c r="I202" s="6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-3.979039320256561E-13</v>
      </c>
      <c r="O202" s="13">
        <f>N202*VLOOKUP('Données projet'!$B$9,Paramètres!$A$1:$I$89,3,0)*VLOOKUP('Données projet'!$B$9,Paramètres!$A$1:$I$89,5,0)</f>
        <v>-3.6002347769681362E-13</v>
      </c>
      <c r="P202" s="13" t="e">
        <f t="shared" si="203"/>
        <v>#NUM!</v>
      </c>
      <c r="Q202" s="20" t="e">
        <f t="shared" si="162"/>
        <v>#NUM!</v>
      </c>
      <c r="R202" s="57" t="e">
        <f t="shared" si="191"/>
        <v>#NUM!</v>
      </c>
      <c r="S202" s="57">
        <f ca="1">AVERAGE(OFFSET($R$3,0,0,'Données projet'!$E$9+1,1))-AVERAGE(OFFSET($H$3,0,0,'Données projet'!$E$9+1,1))</f>
        <v>539.63700256763173</v>
      </c>
      <c r="T202" s="57">
        <f t="shared" si="204"/>
        <v>297.32483725004136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-3.979039320256561E-13</v>
      </c>
      <c r="AJ202" s="13">
        <f>AI202*VLOOKUP('Données projet'!$B$10,Paramètres!$A$1:$I$89,3,0)*VLOOKUP('Données projet'!$B$10,Paramètres!$A$1:$I$89,5,0)</f>
        <v>-3.3519427233841274E-13</v>
      </c>
      <c r="AK202" s="13" t="e">
        <f t="shared" si="164"/>
        <v>#NUM!</v>
      </c>
      <c r="AL202" s="20" t="e">
        <f t="shared" si="165"/>
        <v>#NUM!</v>
      </c>
      <c r="AM202" s="57" t="e">
        <f t="shared" si="193"/>
        <v>#NUM!</v>
      </c>
      <c r="AN202" s="57">
        <f ca="1">AVERAGE(OFFSET($AM$3,0,0,'Données projet'!$E$10+1,1))-AVERAGE(OFFSET($H$3,0,0,'Données projet'!$E$10+1,1))</f>
        <v>508.21188526136734</v>
      </c>
      <c r="AO202" s="57">
        <f t="shared" si="205"/>
        <v>281.06176764290592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-1.064108801074326E-13</v>
      </c>
      <c r="BF202" s="13" t="e">
        <f t="shared" si="167"/>
        <v>#NUM!</v>
      </c>
      <c r="BG202" s="20" t="e">
        <f t="shared" si="168"/>
        <v>#NUM!</v>
      </c>
      <c r="BH202" s="57" t="e">
        <f t="shared" si="194"/>
        <v>#NUM!</v>
      </c>
      <c r="BI202" s="57">
        <f ca="1">AVERAGE(OFFSET($BH$3,0,0,'Données projet'!$E$11+1,1))-AVERAGE(OFFSET($H$3,0,0,'Données projet'!$E$11+1,1))</f>
        <v>449.50723280509311</v>
      </c>
      <c r="BJ202" s="57">
        <f t="shared" si="206"/>
        <v>281.26353650058275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32.80903914348859</v>
      </c>
      <c r="BQ202" s="21">
        <f>EXP(-LN(2)/25)*BQ201+(1-EXP(-LN(2)/25))/(LN(2)/25)*Calculateur!BL202*Calculateur!BN202*VLOOKUP('Données projet'!$B$11,Paramètres!$A$1:$I$89,3,0)*0.475*44/12</f>
        <v>3.3815931878358731</v>
      </c>
      <c r="BR202" s="21">
        <f>EXP(-LN(2)/2)*BR201+(1-EXP(-LN(2)/2))/(LN(2)/2)*BL202*BO202*VLOOKUP('Données projet'!$B$11,Paramètres!$A$1:$I$89,3,0)*0.475*44/12</f>
        <v>5.3162632950348372E-14</v>
      </c>
      <c r="BS202" s="22">
        <f t="shared" si="169"/>
        <v>36.190632331324515</v>
      </c>
      <c r="BT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-1.1937117960769683E-12</v>
      </c>
      <c r="BZ202" s="13">
        <f>BY202*VLOOKUP('Données projet'!$B$12,Paramètres!$A$1:$I$89,3,0)*VLOOKUP('Données projet'!$B$12,Paramètres!$A$1:$I$89,5,0)</f>
        <v>-1.1359361451468432E-12</v>
      </c>
      <c r="CA202" s="13" t="e">
        <f t="shared" si="170"/>
        <v>#NUM!</v>
      </c>
      <c r="CB202" s="20" t="e">
        <f t="shared" si="171"/>
        <v>#NUM!</v>
      </c>
      <c r="CC202" s="57" t="e">
        <f t="shared" si="195"/>
        <v>#NUM!</v>
      </c>
      <c r="CD202" s="57">
        <f ca="1">AVERAGE(OFFSET($CC$3,0,0,'Données projet'!$E$12+1,1))-AVERAGE(OFFSET($H$3,0,0,'Données projet'!$E$12+1,1))</f>
        <v>479.4551766174892</v>
      </c>
      <c r="CE202" s="57">
        <f t="shared" si="207"/>
        <v>260.29028006191834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-2.2737367544323206E-13</v>
      </c>
      <c r="CU202" s="17">
        <f>CT202*VLOOKUP('Données projet'!$B$13,Paramètres!$A$1:$I$89,3,0)*VLOOKUP('Données projet'!$B$13,Paramètres!$A$1:$I$89,5,0)</f>
        <v>-1.2710188457276673E-13</v>
      </c>
      <c r="CV202" s="13" t="e">
        <f t="shared" si="173"/>
        <v>#NUM!</v>
      </c>
      <c r="CW202" s="20" t="e">
        <f t="shared" si="174"/>
        <v>#NUM!</v>
      </c>
      <c r="CX202" s="57" t="e">
        <f t="shared" si="196"/>
        <v>#NUM!</v>
      </c>
      <c r="CY202" s="57">
        <f ca="1">AVERAGE(OFFSET($CX$3,0,0,'Données projet'!$E$13+1,1))-AVERAGE(OFFSET($H$3,0,0,'Données projet'!$E$13+1,1))</f>
        <v>459.83870442974046</v>
      </c>
      <c r="CZ202" s="57">
        <f t="shared" si="208"/>
        <v>565.68976940602215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16.497475484614959</v>
      </c>
      <c r="DG202" s="21">
        <f>EXP(-LN(2)/25)*DG201+(1-EXP(-LN(2)/25))/(LN(2)/25)*Calculateur!DB202*Calculateur!DD202*VLOOKUP('Données projet'!$B$13,Paramètres!$A$1:$I$89,3,0)*0.475*44/12</f>
        <v>1.3656000169106857</v>
      </c>
      <c r="DH202" s="21">
        <f>EXP(-LN(2)/2)*DH201+(1-EXP(-LN(2)/2))/(LN(2)/2)*DB202*DE202*VLOOKUP('Données projet'!$B$13,Paramètres!$A$1:$I$89,3,0)*0.475*44/12</f>
        <v>6.7465929010263237E-20</v>
      </c>
      <c r="DI202" s="22">
        <f t="shared" si="175"/>
        <v>17.863075501525646</v>
      </c>
      <c r="DJ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7" t="e">
        <f t="shared" si="197"/>
        <v>#NUM!</v>
      </c>
      <c r="DT202" s="57">
        <f ca="1">AVERAGE(OFFSET($DS$3,0,0,'Données projet'!$E$14+1,1))-AVERAGE(OFFSET($H$3,0,0,'Données projet'!$E$14+1,1))</f>
        <v>315.23504986325418</v>
      </c>
      <c r="DU202" s="57">
        <f t="shared" si="209"/>
        <v>350.52837099886688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8.9649654588504575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8.9649654588504575</v>
      </c>
      <c r="EE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1.1368683772161603E-13</v>
      </c>
      <c r="EK202" s="17">
        <f>EJ202*VLOOKUP('Données projet'!$B$15,Paramètres!$A$1:$I$89,3,0)*VLOOKUP('Données projet'!$B$15,Paramètres!$A$1:$I$89,5,0)</f>
        <v>1.0995790944434703E-13</v>
      </c>
      <c r="EL202" s="13">
        <f t="shared" si="179"/>
        <v>1.6337280948049956E-12</v>
      </c>
      <c r="EM202" s="20">
        <f t="shared" si="180"/>
        <v>3.036919790734272E-12</v>
      </c>
      <c r="EN202" s="57">
        <f t="shared" si="198"/>
        <v>290.51637186933914</v>
      </c>
      <c r="EO202" s="57">
        <f ca="1">AVERAGE(OFFSET($EN$3,0,0,'Données projet'!$E$15+1,1))-AVERAGE(OFFSET($H$3,0,0,'Données projet'!$E$15+1,1))</f>
        <v>328.31200866623891</v>
      </c>
      <c r="EP202" s="57">
        <f t="shared" si="210"/>
        <v>195.52650232917446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53.543038290032889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53.543038290032889</v>
      </c>
      <c r="EZ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7" t="e">
        <f t="shared" si="199"/>
        <v>#NUM!</v>
      </c>
      <c r="FJ202" s="57">
        <f ca="1">AVERAGE(OFFSET($FI$3,0,0,'Données projet'!$E$16+1,1))-AVERAGE(OFFSET($H$3,0,0,'Données projet'!$E$16+1,1))</f>
        <v>142.88219003619457</v>
      </c>
      <c r="FK202" s="57">
        <f t="shared" si="211"/>
        <v>288.69704547625088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1.7278059526758145</v>
      </c>
      <c r="FR202" s="21">
        <f>EXP(-LN(2)/25)*FR201+(1-EXP(-LN(2)/25))/(LN(2)/25)*Calculateur!FM202*Calculateur!FO202*VLOOKUP('Données projet'!$B$16,Paramètres!$A$1:$I$89,3,0)*0.475*44/12</f>
        <v>0.11458536634362068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1.8423913190194352</v>
      </c>
      <c r="FU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7" t="e">
        <f t="shared" si="200"/>
        <v>#N/A</v>
      </c>
      <c r="GE202" s="57" t="e">
        <f ca="1">AVERAGE(OFFSET($GD$3,0,0,'Données projet'!$E$17+1,1))-AVERAGE(OFFSET($H$3,0,0,'Données projet'!$E$17+1,1))</f>
        <v>#N/A</v>
      </c>
      <c r="GF202" s="57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7" t="e">
        <f t="shared" si="201"/>
        <v>#N/A</v>
      </c>
      <c r="GZ202" s="57" t="e">
        <f ca="1">AVERAGE(OFFSET($GY$3,0,0,'Données projet'!$E$18+1,1))-AVERAGE(OFFSET($H$3,0,0,'Données projet'!$E$18+1,1))</f>
        <v>#N/A</v>
      </c>
      <c r="HA202" s="57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1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5">
        <f t="shared" si="192"/>
        <v>183.33333333333334</v>
      </c>
      <c r="I203" s="6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-3.979039320256561E-13</v>
      </c>
      <c r="O203" s="13">
        <f>N203*VLOOKUP('Données projet'!$B$9,Paramètres!$A$1:$I$89,3,0)*VLOOKUP('Données projet'!$B$9,Paramètres!$A$1:$I$89,5,0)</f>
        <v>-3.6002347769681362E-13</v>
      </c>
      <c r="P203" s="13" t="e">
        <f t="shared" si="203"/>
        <v>#NUM!</v>
      </c>
      <c r="Q203" s="20" t="e">
        <f t="shared" si="162"/>
        <v>#NUM!</v>
      </c>
      <c r="R203" s="57" t="e">
        <f t="shared" si="191"/>
        <v>#NUM!</v>
      </c>
      <c r="S203" s="57">
        <f ca="1">AVERAGE(OFFSET($R$3,0,0,'Données projet'!$E$9+1,1))-AVERAGE(OFFSET($H$3,0,0,'Données projet'!$E$9+1,1))</f>
        <v>539.63700256763173</v>
      </c>
      <c r="T203" s="57">
        <f t="shared" si="204"/>
        <v>297.32483725004136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-3.979039320256561E-13</v>
      </c>
      <c r="AJ203" s="13">
        <f>AI203*VLOOKUP('Données projet'!$B$10,Paramètres!$A$1:$I$89,3,0)*VLOOKUP('Données projet'!$B$10,Paramètres!$A$1:$I$89,5,0)</f>
        <v>-3.3519427233841274E-13</v>
      </c>
      <c r="AK203" s="13" t="e">
        <f t="shared" si="164"/>
        <v>#NUM!</v>
      </c>
      <c r="AL203" s="20" t="e">
        <f t="shared" si="165"/>
        <v>#NUM!</v>
      </c>
      <c r="AM203" s="57" t="e">
        <f t="shared" si="193"/>
        <v>#NUM!</v>
      </c>
      <c r="AN203" s="57">
        <f ca="1">AVERAGE(OFFSET($AM$3,0,0,'Données projet'!$E$10+1,1))-AVERAGE(OFFSET($H$3,0,0,'Données projet'!$E$10+1,1))</f>
        <v>508.21188526136734</v>
      </c>
      <c r="AO203" s="57">
        <f t="shared" si="205"/>
        <v>281.06176764290592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-1.064108801074326E-13</v>
      </c>
      <c r="BF203" s="13" t="e">
        <f t="shared" si="167"/>
        <v>#NUM!</v>
      </c>
      <c r="BG203" s="20" t="e">
        <f t="shared" si="168"/>
        <v>#NUM!</v>
      </c>
      <c r="BH203" s="57" t="e">
        <f t="shared" si="194"/>
        <v>#NUM!</v>
      </c>
      <c r="BI203" s="57">
        <f ca="1">AVERAGE(OFFSET($BH$3,0,0,'Données projet'!$E$11+1,1))-AVERAGE(OFFSET($H$3,0,0,'Données projet'!$E$11+1,1))</f>
        <v>449.50723280509311</v>
      </c>
      <c r="BJ203" s="57">
        <f t="shared" si="206"/>
        <v>281.26353650058275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32.165673897422678</v>
      </c>
      <c r="BQ203" s="21">
        <f>EXP(-LN(2)/25)*BQ202+(1-EXP(-LN(2)/25))/(LN(2)/25)*Calculateur!BL203*Calculateur!BN203*VLOOKUP('Données projet'!$B$11,Paramètres!$A$1:$I$89,3,0)*0.475*44/12</f>
        <v>3.2891233442842442</v>
      </c>
      <c r="BR203" s="21">
        <f>EXP(-LN(2)/2)*BR202+(1-EXP(-LN(2)/2))/(LN(2)/2)*BL203*BO203*VLOOKUP('Données projet'!$B$11,Paramètres!$A$1:$I$89,3,0)*0.475*44/12</f>
        <v>3.7591658264922727E-14</v>
      </c>
      <c r="BS203" s="22">
        <f t="shared" si="169"/>
        <v>35.454797241706956</v>
      </c>
      <c r="BT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-1.1937117960769683E-12</v>
      </c>
      <c r="BZ203" s="13">
        <f>BY203*VLOOKUP('Données projet'!$B$12,Paramètres!$A$1:$I$89,3,0)*VLOOKUP('Données projet'!$B$12,Paramètres!$A$1:$I$89,5,0)</f>
        <v>-1.1359361451468432E-12</v>
      </c>
      <c r="CA203" s="13" t="e">
        <f t="shared" si="170"/>
        <v>#NUM!</v>
      </c>
      <c r="CB203" s="20" t="e">
        <f t="shared" si="171"/>
        <v>#NUM!</v>
      </c>
      <c r="CC203" s="57" t="e">
        <f t="shared" si="195"/>
        <v>#NUM!</v>
      </c>
      <c r="CD203" s="57">
        <f ca="1">AVERAGE(OFFSET($CC$3,0,0,'Données projet'!$E$12+1,1))-AVERAGE(OFFSET($H$3,0,0,'Données projet'!$E$12+1,1))</f>
        <v>479.4551766174892</v>
      </c>
      <c r="CE203" s="57">
        <f t="shared" si="207"/>
        <v>260.29028006191834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-2.2737367544323206E-13</v>
      </c>
      <c r="CU203" s="17">
        <f>CT203*VLOOKUP('Données projet'!$B$13,Paramètres!$A$1:$I$89,3,0)*VLOOKUP('Données projet'!$B$13,Paramètres!$A$1:$I$89,5,0)</f>
        <v>-1.2710188457276673E-13</v>
      </c>
      <c r="CV203" s="13" t="e">
        <f t="shared" si="173"/>
        <v>#NUM!</v>
      </c>
      <c r="CW203" s="20" t="e">
        <f t="shared" si="174"/>
        <v>#NUM!</v>
      </c>
      <c r="CX203" s="57" t="e">
        <f t="shared" si="196"/>
        <v>#NUM!</v>
      </c>
      <c r="CY203" s="57">
        <f ca="1">AVERAGE(OFFSET($CX$3,0,0,'Données projet'!$E$13+1,1))-AVERAGE(OFFSET($H$3,0,0,'Données projet'!$E$13+1,1))</f>
        <v>459.83870442974046</v>
      </c>
      <c r="CZ203" s="57">
        <f t="shared" si="208"/>
        <v>565.68976940602215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16.173970052828121</v>
      </c>
      <c r="DG203" s="21">
        <f>EXP(-LN(2)/25)*DG202+(1-EXP(-LN(2)/25))/(LN(2)/25)*Calculateur!DB203*Calculateur!DD203*VLOOKUP('Données projet'!$B$13,Paramètres!$A$1:$I$89,3,0)*0.475*44/12</f>
        <v>1.3282576126344792</v>
      </c>
      <c r="DH203" s="21">
        <f>EXP(-LN(2)/2)*DH202+(1-EXP(-LN(2)/2))/(LN(2)/2)*DB203*DE203*VLOOKUP('Données projet'!$B$13,Paramètres!$A$1:$I$89,3,0)*0.475*44/12</f>
        <v>4.7705615902207357E-20</v>
      </c>
      <c r="DI203" s="22">
        <f t="shared" si="175"/>
        <v>17.502227665462602</v>
      </c>
      <c r="DJ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7" t="e">
        <f t="shared" si="197"/>
        <v>#NUM!</v>
      </c>
      <c r="DT203" s="57">
        <f ca="1">AVERAGE(OFFSET($DS$3,0,0,'Données projet'!$E$14+1,1))-AVERAGE(OFFSET($H$3,0,0,'Données projet'!$E$14+1,1))</f>
        <v>315.23504986325418</v>
      </c>
      <c r="DU203" s="57">
        <f t="shared" si="209"/>
        <v>350.52837099886688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8.7891679542914005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8.7891679542914005</v>
      </c>
      <c r="EE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1.1368683772161603E-13</v>
      </c>
      <c r="EK203" s="17">
        <f>EJ203*VLOOKUP('Données projet'!$B$15,Paramètres!$A$1:$I$89,3,0)*VLOOKUP('Données projet'!$B$15,Paramètres!$A$1:$I$89,5,0)</f>
        <v>1.0995790944434703E-13</v>
      </c>
      <c r="EL203" s="13">
        <f t="shared" si="179"/>
        <v>1.6337280948049956E-12</v>
      </c>
      <c r="EM203" s="20">
        <f t="shared" si="180"/>
        <v>3.036919790734272E-12</v>
      </c>
      <c r="EN203" s="57">
        <f t="shared" si="198"/>
        <v>290.56523985295712</v>
      </c>
      <c r="EO203" s="57">
        <f ca="1">AVERAGE(OFFSET($EN$3,0,0,'Données projet'!$E$15+1,1))-AVERAGE(OFFSET($H$3,0,0,'Données projet'!$E$15+1,1))</f>
        <v>328.31200866623891</v>
      </c>
      <c r="EP203" s="57">
        <f t="shared" si="210"/>
        <v>195.52650232917446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52.49309196719399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52.49309196719399</v>
      </c>
      <c r="EZ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7" t="e">
        <f t="shared" si="199"/>
        <v>#NUM!</v>
      </c>
      <c r="FJ203" s="57">
        <f ca="1">AVERAGE(OFFSET($FI$3,0,0,'Données projet'!$E$16+1,1))-AVERAGE(OFFSET($H$3,0,0,'Données projet'!$E$16+1,1))</f>
        <v>142.88219003619457</v>
      </c>
      <c r="FK203" s="57">
        <f t="shared" si="211"/>
        <v>288.69704547625088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1.693924731801413</v>
      </c>
      <c r="FR203" s="21">
        <f>EXP(-LN(2)/25)*FR202+(1-EXP(-LN(2)/25))/(LN(2)/25)*Calculateur!FM203*Calculateur!FO203*VLOOKUP('Données projet'!$B$16,Paramètres!$A$1:$I$89,3,0)*0.475*44/12</f>
        <v>0.11145202347517184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1.8053767552765849</v>
      </c>
      <c r="FU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7" t="e">
        <f t="shared" si="200"/>
        <v>#N/A</v>
      </c>
      <c r="GE203" s="57" t="e">
        <f ca="1">AVERAGE(OFFSET($GD$3,0,0,'Données projet'!$E$17+1,1))-AVERAGE(OFFSET($H$3,0,0,'Données projet'!$E$17+1,1))</f>
        <v>#N/A</v>
      </c>
      <c r="GF203" s="57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7" t="e">
        <f t="shared" si="201"/>
        <v>#N/A</v>
      </c>
      <c r="GZ203" s="57" t="e">
        <f ca="1">AVERAGE(OFFSET($GY$3,0,0,'Données projet'!$E$18+1,1))-AVERAGE(OFFSET($H$3,0,0,'Données projet'!$E$18+1,1))</f>
        <v>#N/A</v>
      </c>
      <c r="HA203" s="57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4"/>
      <c r="D204" s="75"/>
      <c r="E204" s="75"/>
      <c r="F204" s="75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4"/>
      <c r="I204" s="74"/>
      <c r="J204" s="74"/>
      <c r="K204" s="82" t="s">
        <v>293</v>
      </c>
      <c r="L204" s="76"/>
      <c r="M204" s="76"/>
      <c r="N204" s="76"/>
      <c r="O204" s="74"/>
      <c r="P204" s="74"/>
      <c r="Q204" s="75"/>
      <c r="R204" s="77"/>
      <c r="S204" s="77"/>
      <c r="T204" s="77"/>
      <c r="U204" s="76"/>
      <c r="V204" s="76"/>
      <c r="W204" s="78"/>
      <c r="X204" s="78"/>
      <c r="Y204" s="78"/>
      <c r="Z204" s="74"/>
      <c r="AA204" s="74"/>
      <c r="AB204" s="74"/>
      <c r="AC204" s="74"/>
      <c r="AD204" s="74"/>
      <c r="AE204" s="74"/>
      <c r="AF204" s="79" t="s">
        <v>293</v>
      </c>
      <c r="BA204" s="79" t="s">
        <v>293</v>
      </c>
      <c r="BV204" s="79" t="s">
        <v>293</v>
      </c>
      <c r="CQ204" s="79" t="s">
        <v>293</v>
      </c>
      <c r="DL204" s="79" t="s">
        <v>293</v>
      </c>
      <c r="EG204" s="79" t="s">
        <v>293</v>
      </c>
      <c r="FB204" s="79" t="s">
        <v>293</v>
      </c>
      <c r="FW204" s="79" t="s">
        <v>293</v>
      </c>
      <c r="GR204" s="79" t="s">
        <v>293</v>
      </c>
    </row>
    <row r="205" spans="1:218" ht="15.75" thickBot="1" x14ac:dyDescent="0.3">
      <c r="B205" s="10"/>
      <c r="C205" s="74"/>
      <c r="D205" s="75"/>
      <c r="E205" s="75"/>
      <c r="F205" s="75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4"/>
      <c r="I205" s="74"/>
      <c r="J205" s="74"/>
      <c r="K205" s="80">
        <f>EXP(LN('Données projet'!B36)/'Données projet'!A36)</f>
        <v>1.2392705892426346</v>
      </c>
      <c r="L205" s="76"/>
      <c r="M205" s="76"/>
      <c r="N205" s="76"/>
      <c r="O205" s="74"/>
      <c r="P205" s="74"/>
      <c r="Q205" s="75"/>
      <c r="R205" s="77"/>
      <c r="S205" s="77"/>
      <c r="T205" s="77"/>
      <c r="U205" s="76"/>
      <c r="V205" s="76"/>
      <c r="W205" s="78"/>
      <c r="X205" s="78"/>
      <c r="Y205" s="78"/>
      <c r="Z205" s="74"/>
      <c r="AA205" s="74"/>
      <c r="AB205" s="74"/>
      <c r="AC205" s="74"/>
      <c r="AD205" s="74"/>
      <c r="AE205" s="74"/>
      <c r="AF205" s="81">
        <f>EXP(LN('Données projet'!B62)/'Données projet'!A62)</f>
        <v>1.2392705892426346</v>
      </c>
      <c r="BA205" s="80">
        <f>EXP(LN('Données projet'!B88)/'Données projet'!A88)</f>
        <v>1.2880503926580862</v>
      </c>
      <c r="BV205" s="80">
        <f>EXP(LN('Données projet'!B114)/'Données projet'!A114)</f>
        <v>1.1852335095914694</v>
      </c>
      <c r="CQ205" s="80">
        <f>EXP(LN('Données projet'!B140)/'Données projet'!A140)</f>
        <v>1.3070441688874561</v>
      </c>
      <c r="DL205" s="80">
        <f>EXP(LN('Données projet'!B166)/'Données projet'!A166)</f>
        <v>1.3590468710106116</v>
      </c>
      <c r="EG205" s="80">
        <f>EXP(LN('Données projet'!B192)/'Données projet'!A192)</f>
        <v>1.1132057446377015</v>
      </c>
      <c r="FB205" s="80">
        <f>EXP(LN('Données projet'!B218)/'Données projet'!A218)</f>
        <v>1.51657508881031</v>
      </c>
      <c r="FW205" s="80" t="e">
        <f>EXP(LN('Données projet'!B244)/'Données projet'!A244)</f>
        <v>#NUM!</v>
      </c>
      <c r="GR205" s="80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6"/>
      <c r="K1" s="76"/>
      <c r="L1" s="76"/>
      <c r="M1" s="76"/>
      <c r="N1" s="76"/>
    </row>
    <row r="2" spans="1:16" x14ac:dyDescent="0.2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6"/>
      <c r="K2" s="76"/>
      <c r="L2" s="76"/>
      <c r="M2" s="76"/>
      <c r="N2" s="76"/>
      <c r="O2" s="311" t="s">
        <v>238</v>
      </c>
      <c r="P2" s="119">
        <v>0</v>
      </c>
    </row>
    <row r="3" spans="1:16" ht="15.75" thickBot="1" x14ac:dyDescent="0.3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6"/>
      <c r="K3" s="76"/>
      <c r="L3" s="76"/>
      <c r="M3" s="76"/>
      <c r="N3" s="76"/>
      <c r="O3" s="312"/>
      <c r="P3" s="126">
        <v>0.2</v>
      </c>
    </row>
    <row r="4" spans="1:16" ht="15.75" thickBot="1" x14ac:dyDescent="0.3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6"/>
      <c r="K4" s="76"/>
      <c r="L4" s="76"/>
      <c r="M4" s="76"/>
      <c r="N4" s="76"/>
    </row>
    <row r="5" spans="1:16" x14ac:dyDescent="0.2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6"/>
      <c r="K5" s="76"/>
      <c r="L5" s="76"/>
      <c r="M5" s="76"/>
      <c r="N5" s="76"/>
      <c r="O5" s="311" t="s">
        <v>237</v>
      </c>
      <c r="P5" s="119">
        <v>0</v>
      </c>
    </row>
    <row r="6" spans="1:16" x14ac:dyDescent="0.2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6"/>
      <c r="K6" s="76"/>
      <c r="L6" s="76"/>
      <c r="M6" s="76"/>
      <c r="N6" s="76"/>
      <c r="O6" s="313"/>
      <c r="P6" s="127">
        <v>0.05</v>
      </c>
    </row>
    <row r="7" spans="1:16" x14ac:dyDescent="0.2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6"/>
      <c r="K7" s="76"/>
      <c r="L7" s="76"/>
      <c r="M7" s="76"/>
      <c r="N7" s="76"/>
      <c r="O7" s="313"/>
      <c r="P7" s="127">
        <v>0.1</v>
      </c>
    </row>
    <row r="8" spans="1:16" ht="15.75" thickBot="1" x14ac:dyDescent="0.3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6"/>
      <c r="K8" s="76"/>
      <c r="L8" s="76"/>
      <c r="M8" s="76"/>
      <c r="N8" s="76"/>
      <c r="O8" s="312"/>
      <c r="P8" s="126">
        <v>0.15</v>
      </c>
    </row>
    <row r="9" spans="1:16" ht="15.75" thickBot="1" x14ac:dyDescent="0.3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6"/>
      <c r="K9" s="76"/>
      <c r="L9" s="76"/>
      <c r="M9" s="76"/>
      <c r="N9" s="76"/>
    </row>
    <row r="10" spans="1:16" x14ac:dyDescent="0.2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6"/>
      <c r="K10" s="76"/>
      <c r="L10" s="76"/>
      <c r="M10" s="76"/>
      <c r="N10" s="76"/>
      <c r="O10" s="311" t="s">
        <v>236</v>
      </c>
      <c r="P10" s="119">
        <v>0</v>
      </c>
    </row>
    <row r="11" spans="1:16" ht="15.75" thickBot="1" x14ac:dyDescent="0.3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6"/>
      <c r="K11" s="76"/>
      <c r="L11" s="76"/>
      <c r="M11" s="76"/>
      <c r="N11" s="76"/>
      <c r="O11" s="312"/>
      <c r="P11" s="126">
        <v>0.1</v>
      </c>
    </row>
    <row r="12" spans="1:16" x14ac:dyDescent="0.2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6"/>
      <c r="K12" s="76"/>
      <c r="L12" s="76"/>
      <c r="M12" s="76"/>
      <c r="N12" s="76"/>
    </row>
    <row r="13" spans="1:16" x14ac:dyDescent="0.2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6"/>
      <c r="K13" s="76"/>
      <c r="L13" s="76"/>
      <c r="M13" s="76"/>
      <c r="N13" s="76"/>
    </row>
    <row r="14" spans="1:16" x14ac:dyDescent="0.2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6"/>
      <c r="K14" s="76"/>
      <c r="L14" s="76"/>
      <c r="M14" s="76"/>
      <c r="N14" s="76"/>
    </row>
    <row r="15" spans="1:16" x14ac:dyDescent="0.2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6"/>
      <c r="K15" s="76"/>
      <c r="L15" s="76"/>
      <c r="M15" s="76"/>
      <c r="N15" s="76"/>
    </row>
    <row r="16" spans="1:16" x14ac:dyDescent="0.2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6"/>
      <c r="K16" s="76"/>
      <c r="L16" s="76"/>
      <c r="M16" s="76"/>
      <c r="N16" s="76"/>
    </row>
    <row r="17" spans="1:14" x14ac:dyDescent="0.2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6"/>
      <c r="K17" s="76"/>
      <c r="L17" s="76"/>
      <c r="M17" s="76"/>
      <c r="N17" s="76"/>
    </row>
    <row r="18" spans="1:14" x14ac:dyDescent="0.2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6"/>
      <c r="K18" s="76"/>
      <c r="L18" s="76"/>
      <c r="M18" s="76"/>
      <c r="N18" s="76"/>
    </row>
    <row r="19" spans="1:14" x14ac:dyDescent="0.2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6"/>
      <c r="K19" s="76"/>
      <c r="L19" s="76"/>
      <c r="M19" s="76"/>
      <c r="N19" s="76"/>
    </row>
    <row r="20" spans="1:14" x14ac:dyDescent="0.2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6"/>
      <c r="K20" s="76"/>
      <c r="L20" s="76"/>
      <c r="M20" s="76"/>
      <c r="N20" s="76"/>
    </row>
    <row r="21" spans="1:14" x14ac:dyDescent="0.2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6"/>
      <c r="K21" s="76"/>
      <c r="L21" s="76"/>
      <c r="M21" s="76"/>
      <c r="N21" s="76"/>
    </row>
    <row r="22" spans="1:14" x14ac:dyDescent="0.2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6"/>
      <c r="K22" s="76"/>
      <c r="L22" s="76"/>
      <c r="M22" s="76"/>
      <c r="N22" s="76"/>
    </row>
    <row r="23" spans="1:14" x14ac:dyDescent="0.2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6"/>
      <c r="K23" s="76"/>
      <c r="L23" s="76"/>
      <c r="M23" s="76"/>
      <c r="N23" s="76"/>
    </row>
    <row r="24" spans="1:14" x14ac:dyDescent="0.2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6"/>
      <c r="K24" s="76"/>
      <c r="L24" s="76"/>
      <c r="M24" s="76"/>
      <c r="N24" s="76"/>
    </row>
    <row r="25" spans="1:14" x14ac:dyDescent="0.2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6"/>
      <c r="K25" s="76"/>
      <c r="L25" s="76"/>
      <c r="M25" s="76"/>
      <c r="N25" s="76"/>
    </row>
    <row r="26" spans="1:14" x14ac:dyDescent="0.2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6"/>
      <c r="K26" s="76"/>
      <c r="L26" s="76"/>
      <c r="M26" s="76"/>
      <c r="N26" s="76"/>
    </row>
    <row r="27" spans="1:14" x14ac:dyDescent="0.2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6"/>
      <c r="K27" s="76"/>
      <c r="L27" s="76"/>
      <c r="M27" s="76"/>
      <c r="N27" s="76"/>
    </row>
    <row r="28" spans="1:14" x14ac:dyDescent="0.2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6"/>
      <c r="K28" s="76"/>
      <c r="L28" s="76"/>
      <c r="M28" s="76"/>
      <c r="N28" s="76"/>
    </row>
    <row r="29" spans="1:14" x14ac:dyDescent="0.2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6"/>
      <c r="K29" s="76"/>
      <c r="L29" s="76"/>
      <c r="M29" s="76"/>
      <c r="N29" s="76"/>
    </row>
    <row r="30" spans="1:14" x14ac:dyDescent="0.2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6"/>
      <c r="K30" s="76"/>
      <c r="L30" s="76"/>
      <c r="M30" s="76"/>
      <c r="N30" s="76"/>
    </row>
    <row r="31" spans="1:14" x14ac:dyDescent="0.2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6"/>
      <c r="K31" s="76"/>
      <c r="L31" s="76"/>
      <c r="M31" s="76"/>
      <c r="N31" s="76"/>
    </row>
    <row r="32" spans="1:14" x14ac:dyDescent="0.2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6"/>
      <c r="K32" s="76"/>
      <c r="L32" s="76"/>
      <c r="M32" s="76"/>
      <c r="N32" s="76"/>
    </row>
    <row r="33" spans="1:14" x14ac:dyDescent="0.2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6"/>
      <c r="K33" s="76"/>
      <c r="L33" s="76"/>
      <c r="M33" s="76"/>
      <c r="N33" s="76"/>
    </row>
    <row r="34" spans="1:14" x14ac:dyDescent="0.2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6"/>
      <c r="K34" s="76"/>
      <c r="L34" s="76"/>
      <c r="M34" s="76"/>
      <c r="N34" s="76"/>
    </row>
    <row r="35" spans="1:14" x14ac:dyDescent="0.2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6"/>
      <c r="K35" s="76"/>
      <c r="L35" s="76"/>
      <c r="M35" s="76"/>
      <c r="N35" s="76"/>
    </row>
    <row r="36" spans="1:14" x14ac:dyDescent="0.2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6"/>
      <c r="K36" s="76"/>
      <c r="L36" s="76"/>
      <c r="M36" s="76"/>
      <c r="N36" s="76"/>
    </row>
    <row r="37" spans="1:14" x14ac:dyDescent="0.2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6"/>
      <c r="K37" s="76"/>
      <c r="L37" s="76"/>
      <c r="M37" s="76"/>
      <c r="N37" s="76"/>
    </row>
    <row r="38" spans="1:14" x14ac:dyDescent="0.2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6"/>
      <c r="K38" s="76"/>
      <c r="L38" s="76"/>
      <c r="M38" s="76"/>
      <c r="N38" s="76"/>
    </row>
    <row r="39" spans="1:14" x14ac:dyDescent="0.2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6"/>
      <c r="K39" s="76"/>
      <c r="L39" s="76"/>
      <c r="M39" s="76"/>
      <c r="N39" s="76"/>
    </row>
    <row r="40" spans="1:14" x14ac:dyDescent="0.2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6"/>
      <c r="K40" s="76"/>
      <c r="L40" s="76"/>
      <c r="M40" s="76"/>
      <c r="N40" s="76"/>
    </row>
    <row r="41" spans="1:14" x14ac:dyDescent="0.2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6"/>
      <c r="K41" s="76"/>
      <c r="L41" s="76"/>
      <c r="M41" s="76"/>
      <c r="N41" s="76"/>
    </row>
    <row r="42" spans="1:14" x14ac:dyDescent="0.2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6"/>
      <c r="K42" s="76"/>
      <c r="L42" s="76"/>
      <c r="M42" s="76"/>
      <c r="N42" s="76"/>
    </row>
    <row r="43" spans="1:14" x14ac:dyDescent="0.2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6"/>
      <c r="K43" s="76"/>
      <c r="L43" s="76"/>
      <c r="M43" s="76"/>
      <c r="N43" s="76"/>
    </row>
    <row r="44" spans="1:14" x14ac:dyDescent="0.2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6"/>
      <c r="K44" s="76"/>
      <c r="L44" s="76"/>
      <c r="M44" s="76"/>
      <c r="N44" s="76"/>
    </row>
    <row r="45" spans="1:14" x14ac:dyDescent="0.2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6"/>
      <c r="K45" s="76"/>
      <c r="L45" s="76"/>
      <c r="M45" s="76"/>
      <c r="N45" s="76"/>
    </row>
    <row r="46" spans="1:14" x14ac:dyDescent="0.2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6"/>
      <c r="K46" s="76"/>
      <c r="L46" s="76"/>
      <c r="M46" s="76"/>
      <c r="N46" s="76"/>
    </row>
    <row r="47" spans="1:14" x14ac:dyDescent="0.2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6"/>
      <c r="K47" s="76"/>
      <c r="L47" s="76"/>
      <c r="M47" s="76"/>
      <c r="N47" s="76"/>
    </row>
    <row r="48" spans="1:14" x14ac:dyDescent="0.2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6"/>
      <c r="K48" s="76"/>
      <c r="L48" s="76"/>
      <c r="M48" s="76"/>
      <c r="N48" s="76"/>
    </row>
    <row r="49" spans="1:14" x14ac:dyDescent="0.2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6"/>
      <c r="K49" s="76"/>
      <c r="L49" s="76"/>
      <c r="M49" s="76"/>
      <c r="N49" s="76"/>
    </row>
    <row r="50" spans="1:14" x14ac:dyDescent="0.2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6"/>
      <c r="K50" s="76"/>
      <c r="L50" s="76"/>
      <c r="M50" s="76"/>
      <c r="N50" s="76"/>
    </row>
    <row r="51" spans="1:14" x14ac:dyDescent="0.2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6"/>
      <c r="K51" s="76"/>
      <c r="L51" s="76"/>
      <c r="M51" s="76"/>
      <c r="N51" s="76"/>
    </row>
    <row r="52" spans="1:14" x14ac:dyDescent="0.2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6"/>
      <c r="K52" s="76"/>
      <c r="L52" s="76"/>
      <c r="M52" s="76"/>
      <c r="N52" s="76"/>
    </row>
    <row r="53" spans="1:14" x14ac:dyDescent="0.2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6"/>
      <c r="K53" s="76"/>
      <c r="L53" s="76"/>
      <c r="M53" s="76"/>
      <c r="N53" s="76"/>
    </row>
    <row r="54" spans="1:14" x14ac:dyDescent="0.2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6"/>
      <c r="K54" s="76"/>
      <c r="L54" s="76"/>
      <c r="M54" s="76"/>
      <c r="N54" s="76"/>
    </row>
    <row r="55" spans="1:14" x14ac:dyDescent="0.2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6"/>
      <c r="K55" s="76"/>
      <c r="L55" s="76"/>
      <c r="M55" s="76"/>
      <c r="N55" s="76"/>
    </row>
    <row r="56" spans="1:14" x14ac:dyDescent="0.2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6"/>
      <c r="K56" s="76"/>
      <c r="L56" s="76"/>
      <c r="M56" s="76"/>
      <c r="N56" s="76"/>
    </row>
    <row r="57" spans="1:14" x14ac:dyDescent="0.2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6"/>
      <c r="K57" s="76"/>
      <c r="L57" s="76"/>
      <c r="M57" s="76"/>
      <c r="N57" s="76"/>
    </row>
    <row r="58" spans="1:14" x14ac:dyDescent="0.2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6"/>
      <c r="K58" s="76"/>
      <c r="L58" s="76"/>
      <c r="M58" s="76"/>
      <c r="N58" s="76"/>
    </row>
    <row r="59" spans="1:14" x14ac:dyDescent="0.2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6"/>
      <c r="K59" s="76"/>
      <c r="L59" s="76"/>
      <c r="M59" s="76"/>
      <c r="N59" s="76"/>
    </row>
    <row r="60" spans="1:14" x14ac:dyDescent="0.2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6"/>
      <c r="K60" s="76"/>
      <c r="L60" s="76"/>
      <c r="M60" s="76"/>
      <c r="N60" s="76"/>
    </row>
    <row r="61" spans="1:14" x14ac:dyDescent="0.2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6"/>
      <c r="K61" s="76"/>
      <c r="L61" s="76"/>
      <c r="M61" s="76"/>
      <c r="N61" s="76"/>
    </row>
    <row r="62" spans="1:14" x14ac:dyDescent="0.2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6"/>
      <c r="K62" s="76"/>
      <c r="L62" s="76"/>
      <c r="M62" s="76"/>
      <c r="N62" s="76"/>
    </row>
    <row r="63" spans="1:14" x14ac:dyDescent="0.2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6"/>
      <c r="K63" s="76"/>
      <c r="L63" s="76"/>
      <c r="M63" s="76"/>
      <c r="N63" s="76"/>
    </row>
    <row r="64" spans="1:14" x14ac:dyDescent="0.2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6"/>
      <c r="K64" s="76"/>
      <c r="L64" s="76"/>
      <c r="M64" s="76"/>
      <c r="N64" s="76"/>
    </row>
    <row r="65" spans="1:14" x14ac:dyDescent="0.2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6"/>
      <c r="K65" s="76"/>
      <c r="L65" s="76"/>
      <c r="M65" s="76"/>
      <c r="N65" s="76"/>
    </row>
    <row r="66" spans="1:14" x14ac:dyDescent="0.2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6"/>
      <c r="K66" s="76"/>
      <c r="L66" s="76"/>
      <c r="M66" s="76"/>
      <c r="N66" s="76"/>
    </row>
    <row r="67" spans="1:14" x14ac:dyDescent="0.2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6"/>
      <c r="K67" s="76"/>
      <c r="L67" s="76"/>
      <c r="M67" s="76"/>
      <c r="N67" s="76"/>
    </row>
    <row r="68" spans="1:14" x14ac:dyDescent="0.2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6"/>
      <c r="K68" s="76"/>
      <c r="L68" s="76"/>
      <c r="M68" s="76"/>
      <c r="N68" s="76"/>
    </row>
    <row r="69" spans="1:14" x14ac:dyDescent="0.2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6"/>
      <c r="K69" s="76"/>
      <c r="L69" s="76"/>
      <c r="M69" s="76"/>
      <c r="N69" s="76"/>
    </row>
    <row r="70" spans="1:14" x14ac:dyDescent="0.2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6"/>
      <c r="K70" s="76"/>
      <c r="L70" s="76"/>
      <c r="M70" s="76"/>
      <c r="N70" s="76"/>
    </row>
    <row r="71" spans="1:14" x14ac:dyDescent="0.2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6"/>
      <c r="K71" s="76"/>
      <c r="L71" s="76"/>
      <c r="M71" s="76"/>
      <c r="N71" s="76"/>
    </row>
    <row r="72" spans="1:14" x14ac:dyDescent="0.2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6"/>
      <c r="K72" s="76"/>
      <c r="L72" s="76"/>
      <c r="M72" s="76"/>
      <c r="N72" s="76"/>
    </row>
    <row r="73" spans="1:14" x14ac:dyDescent="0.2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6"/>
      <c r="K73" s="76"/>
      <c r="L73" s="76"/>
      <c r="M73" s="76"/>
      <c r="N73" s="76"/>
    </row>
    <row r="74" spans="1:14" x14ac:dyDescent="0.2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6"/>
      <c r="K74" s="76"/>
      <c r="L74" s="76"/>
      <c r="M74" s="76"/>
      <c r="N74" s="76"/>
    </row>
    <row r="75" spans="1:14" x14ac:dyDescent="0.2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6"/>
      <c r="K75" s="76"/>
      <c r="L75" s="76"/>
      <c r="M75" s="76"/>
      <c r="N75" s="76"/>
    </row>
    <row r="76" spans="1:14" x14ac:dyDescent="0.2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6"/>
      <c r="K76" s="76"/>
      <c r="L76" s="76"/>
      <c r="M76" s="76"/>
      <c r="N76" s="76"/>
    </row>
    <row r="77" spans="1:14" x14ac:dyDescent="0.2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6"/>
      <c r="K77" s="76"/>
      <c r="L77" s="76"/>
      <c r="M77" s="76"/>
      <c r="N77" s="76"/>
    </row>
    <row r="78" spans="1:14" x14ac:dyDescent="0.2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6"/>
      <c r="K78" s="76"/>
      <c r="L78" s="76"/>
      <c r="M78" s="76"/>
      <c r="N78" s="76"/>
    </row>
    <row r="79" spans="1:14" x14ac:dyDescent="0.2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6"/>
      <c r="K79" s="76"/>
      <c r="L79" s="76"/>
      <c r="M79" s="76"/>
      <c r="N79" s="76"/>
    </row>
    <row r="80" spans="1:14" x14ac:dyDescent="0.2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6"/>
      <c r="K80" s="76"/>
      <c r="L80" s="76"/>
      <c r="M80" s="76"/>
      <c r="N80" s="76"/>
    </row>
    <row r="81" spans="1:14" x14ac:dyDescent="0.2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6"/>
      <c r="K81" s="76"/>
      <c r="L81" s="76"/>
      <c r="M81" s="76"/>
      <c r="N81" s="76"/>
    </row>
    <row r="82" spans="1:14" x14ac:dyDescent="0.2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6"/>
      <c r="K82" s="76"/>
      <c r="L82" s="76"/>
      <c r="M82" s="76"/>
      <c r="N82" s="76"/>
    </row>
    <row r="83" spans="1:14" x14ac:dyDescent="0.2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6"/>
      <c r="K83" s="76"/>
      <c r="L83" s="76"/>
      <c r="M83" s="76"/>
      <c r="N83" s="76"/>
    </row>
    <row r="84" spans="1:14" x14ac:dyDescent="0.2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6"/>
      <c r="K84" s="76"/>
      <c r="L84" s="76"/>
      <c r="M84" s="76"/>
      <c r="N84" s="76"/>
    </row>
    <row r="85" spans="1:14" x14ac:dyDescent="0.2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6"/>
      <c r="K85" s="76"/>
      <c r="L85" s="76"/>
      <c r="M85" s="76"/>
      <c r="N85" s="76"/>
    </row>
    <row r="86" spans="1:14" x14ac:dyDescent="0.2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6"/>
      <c r="K86" s="76"/>
      <c r="L86" s="76"/>
      <c r="M86" s="76"/>
      <c r="N86" s="76"/>
    </row>
    <row r="87" spans="1:14" x14ac:dyDescent="0.2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6"/>
      <c r="K87" s="76"/>
      <c r="L87" s="76"/>
      <c r="M87" s="76"/>
      <c r="N87" s="76"/>
    </row>
    <row r="88" spans="1:14" x14ac:dyDescent="0.2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.75" thickBot="1" x14ac:dyDescent="0.3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25">
      <c r="A93" s="120" t="s">
        <v>208</v>
      </c>
    </row>
    <row r="94" spans="1:14" x14ac:dyDescent="0.25">
      <c r="A94" s="120" t="s">
        <v>209</v>
      </c>
    </row>
    <row r="95" spans="1:14" x14ac:dyDescent="0.2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workbookViewId="0">
      <selection activeCell="O14" sqref="O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0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302" t="s">
        <v>271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2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3" t="str">
        <f>IF('Données projet'!$B$9="","",'Données projet'!$B$9)</f>
        <v>Chêne sessile</v>
      </c>
      <c r="B6" s="144">
        <f>'Données projet'!D9</f>
        <v>1.5811674599999999</v>
      </c>
      <c r="C6" s="145">
        <f ca="1">IF(OR('Données projet'!B9="",'Données projet'!C9="",'Données projet'!C9=0%),0,Calculateur!S3)</f>
        <v>539.63700256763173</v>
      </c>
      <c r="D6" s="145">
        <f>IF(OR('Données projet'!B9="",'Données projet'!C9="",'Données projet'!C9=0%),0,Calculateur!T3)</f>
        <v>297.32483725004136</v>
      </c>
      <c r="E6" s="145">
        <f ca="1">MIN(C6,D6)</f>
        <v>297.32483725004136</v>
      </c>
      <c r="F6" s="145">
        <f ca="1">E6*B6</f>
        <v>470.12035770956123</v>
      </c>
      <c r="G6" s="145">
        <f ca="1">F6*(100%-'Données projet'!$C$24)*(100%-'Données projet'!$C$25)*(100%-'Données projet'!$C$26)*(100%-'Données projet'!$C$27)</f>
        <v>401.95290584167486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24.508095629999996</v>
      </c>
      <c r="K6" s="149">
        <f>J6*(100%-'Données projet'!$C$24)*(100%-'Données projet'!$C$25)*(100%-'Données projet'!$C$26)*(100%-'Données projet'!$C$27)</f>
        <v>20.954421763649997</v>
      </c>
      <c r="L6" s="150">
        <f ca="1">G6+I6+K6</f>
        <v>422.90732760532484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1" t="str">
        <f>IF('Données projet'!$B$10="","",'Données projet'!$B$10)</f>
        <v>Chêne pédonculé</v>
      </c>
      <c r="B7" s="152">
        <f>'Données projet'!D10</f>
        <v>0.68909673000000005</v>
      </c>
      <c r="C7" s="145">
        <f ca="1">IF(OR('Données projet'!B10="",'Données projet'!C10="",'Données projet'!C10=0%),0,Calculateur!AN3)</f>
        <v>508.21188526136734</v>
      </c>
      <c r="D7" s="145">
        <f>IF(OR('Données projet'!B10="",'Données projet'!C10="",'Données projet'!C10=0%),0,Calculateur!AO3)</f>
        <v>281.06176764290592</v>
      </c>
      <c r="E7" s="145">
        <f t="shared" ref="E7:E15" ca="1" si="0">MIN(C7,D7)</f>
        <v>281.06176764290592</v>
      </c>
      <c r="F7" s="145">
        <f t="shared" ref="F7:F15" ca="1" si="1">E7*B7</f>
        <v>193.6787450107463</v>
      </c>
      <c r="G7" s="145">
        <f ca="1">F7*(100%-'Données projet'!$C$24)*(100%-'Données projet'!$C$25)*(100%-'Données projet'!$C$26)*(100%-'Données projet'!$C$27)</f>
        <v>165.59532698418809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10.680999315000001</v>
      </c>
      <c r="K7" s="149">
        <f>J7*(100%-'Données projet'!$C$24)*(100%-'Données projet'!$C$25)*(100%-'Données projet'!$C$26)*(100%-'Données projet'!$C$27)</f>
        <v>9.1322544143250024</v>
      </c>
      <c r="L7" s="150">
        <f t="shared" ref="L7:L15" ca="1" si="2">G7+I7+K7</f>
        <v>174.72758139851308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1" t="str">
        <f>IF('Données projet'!$B$11="","",'Données projet'!$B$11)</f>
        <v>Cèdre de l'Atlas</v>
      </c>
      <c r="B8" s="152">
        <f>'Données projet'!D11</f>
        <v>5.0997217499999996</v>
      </c>
      <c r="C8" s="145">
        <f ca="1">IF(OR('Données projet'!B11="",'Données projet'!C11="",'Données projet'!C11=0%),0,Calculateur!BI3)</f>
        <v>449.50723280509311</v>
      </c>
      <c r="D8" s="145">
        <f>IF(OR('Données projet'!B11="",'Données projet'!C11="",'Données projet'!C11=0%),0,Calculateur!BJ3)</f>
        <v>281.26353650058275</v>
      </c>
      <c r="E8" s="145">
        <f t="shared" ca="1" si="0"/>
        <v>281.26353650058275</v>
      </c>
      <c r="F8" s="145">
        <f t="shared" ca="1" si="1"/>
        <v>1434.3657745739406</v>
      </c>
      <c r="G8" s="145">
        <f ca="1">F8*(100%-'Données projet'!$C$24)*(100%-'Données projet'!$C$25)*(100%-'Données projet'!$C$26)*(100%-'Données projet'!$C$27)</f>
        <v>1226.3827372607193</v>
      </c>
      <c r="H8" s="153">
        <f>IF(OR('Données projet'!B11="",'Données projet'!C11="",'Données projet'!C11=0%),0,AVERAGE(Calculateur!$BS$3:$BS$33)*B8)</f>
        <v>15.756706532305694</v>
      </c>
      <c r="I8" s="147">
        <f>H8*(100%-'Données projet'!$C$24)*(100%-'Données projet'!$C$25)*(100%-'Données projet'!$C$26)*(100%-'Données projet'!$C$27)</f>
        <v>13.471984085121369</v>
      </c>
      <c r="J8" s="148">
        <f>IF(OR('Données projet'!B11="",'Données projet'!C11="",'Données projet'!C11=0%),0,SUM(Calculateur!$BL$3:$BL$33)*VLOOKUP('Données projet'!$B$11,Paramètres!$A$1:$I$89,9,0)*B8)</f>
        <v>149.11586396999999</v>
      </c>
      <c r="K8" s="149">
        <f>J8*(100%-'Données projet'!$C$24)*(100%-'Données projet'!$C$25)*(100%-'Données projet'!$C$26)*(100%-'Données projet'!$C$27)</f>
        <v>127.49406369434998</v>
      </c>
      <c r="L8" s="150">
        <f t="shared" ca="1" si="2"/>
        <v>1367.3487850401907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1" t="str">
        <f>IF('Données projet'!$B$12="","",'Données projet'!$B$12)</f>
        <v>Charme</v>
      </c>
      <c r="B9" s="152">
        <f>'Données projet'!D12</f>
        <v>0.90830864999999994</v>
      </c>
      <c r="C9" s="145">
        <f ca="1">IF(OR('Données projet'!B12="",'Données projet'!C12="",'Données projet'!C12=0%),0,Calculateur!CD3)</f>
        <v>479.4551766174892</v>
      </c>
      <c r="D9" s="145">
        <f>IF(OR('Données projet'!B12="",'Données projet'!C12="",'Données projet'!C12=0%),0,Calculateur!CE3)</f>
        <v>260.29028006191834</v>
      </c>
      <c r="E9" s="145">
        <f t="shared" ca="1" si="0"/>
        <v>260.29028006191834</v>
      </c>
      <c r="F9" s="145">
        <f t="shared" ca="1" si="1"/>
        <v>236.42391289116296</v>
      </c>
      <c r="G9" s="145">
        <f ca="1">F9*(100%-'Données projet'!$C$24)*(100%-'Données projet'!$C$25)*(100%-'Données projet'!$C$26)*(100%-'Données projet'!$C$27)</f>
        <v>202.14244552194432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6.5852377124999997</v>
      </c>
      <c r="K9" s="149">
        <f>J9*(100%-'Données projet'!$C$24)*(100%-'Données projet'!$C$25)*(100%-'Données projet'!$C$26)*(100%-'Données projet'!$C$27)</f>
        <v>5.6303782441874999</v>
      </c>
      <c r="L9" s="150">
        <f t="shared" ca="1" si="2"/>
        <v>207.77282376613184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1" t="str">
        <f>IF('Données projet'!$B$13="","",'Données projet'!$B$13)</f>
        <v>Douglas</v>
      </c>
      <c r="B10" s="152">
        <f>'Données projet'!D13</f>
        <v>0.35621936999999998</v>
      </c>
      <c r="C10" s="145">
        <f ca="1">IF(OR('Données projet'!B13="",'Données projet'!C13="",'Données projet'!C13=0%),0,Calculateur!CY3)</f>
        <v>459.83870442974046</v>
      </c>
      <c r="D10" s="145">
        <f>IF(OR('Données projet'!B13="",'Données projet'!C13="",'Données projet'!C13=0%),0,Calculateur!CZ3)</f>
        <v>565.68976940602215</v>
      </c>
      <c r="E10" s="145">
        <f t="shared" ca="1" si="0"/>
        <v>459.83870442974046</v>
      </c>
      <c r="F10" s="145">
        <f t="shared" ca="1" si="1"/>
        <v>163.80345359357835</v>
      </c>
      <c r="G10" s="145">
        <f ca="1">F10*(100%-'Données projet'!$C$24)*(100%-'Données projet'!$C$25)*(100%-'Données projet'!$C$26)*(100%-'Données projet'!$C$27)</f>
        <v>140.05195282250949</v>
      </c>
      <c r="H10" s="153">
        <f>IF(OR('Données projet'!B13="",'Données projet'!C13="",'Données projet'!C13=0%),0,AVERAGE(Calculateur!$DI$3:$DI$33)*B10)</f>
        <v>1.5787360981615011</v>
      </c>
      <c r="I10" s="147">
        <f>H10*(100%-'Données projet'!$C$24)*(100%-'Données projet'!$C$25)*(100%-'Données projet'!$C$26)*(100%-'Données projet'!$C$27)</f>
        <v>1.3498193639280833</v>
      </c>
      <c r="J10" s="148">
        <f>IF(OR('Données projet'!B13="",'Données projet'!C13="",'Données projet'!C13=0%),0,SUM(Calculateur!$DB$3:$DB$33)*VLOOKUP('Données projet'!$B$13,Paramètres!$A$1:$I$89,9,0)*B10)</f>
        <v>16.542827542799998</v>
      </c>
      <c r="K10" s="149">
        <f>J10*(100%-'Données projet'!$C$24)*(100%-'Données projet'!$C$25)*(100%-'Données projet'!$C$26)*(100%-'Données projet'!$C$27)</f>
        <v>14.144117549093998</v>
      </c>
      <c r="L10" s="150">
        <f t="shared" ca="1" si="2"/>
        <v>155.54588973553157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1" t="str">
        <f>IF('Données projet'!$B$14="","",'Données projet'!$B$14)</f>
        <v>Aulne glutineux</v>
      </c>
      <c r="B11" s="152">
        <f>'Données projet'!D14</f>
        <v>0.55208928000000002</v>
      </c>
      <c r="C11" s="145">
        <f ca="1">IF(OR('Données projet'!B14="",'Données projet'!C14="",'Données projet'!C14=0%),0,Calculateur!DT3)</f>
        <v>315.23504986325418</v>
      </c>
      <c r="D11" s="145">
        <f>IF(OR('Données projet'!B14="",'Données projet'!C14="",'Données projet'!C14=0%),0,Calculateur!DU3)</f>
        <v>350.52837099886688</v>
      </c>
      <c r="E11" s="145">
        <f t="shared" ca="1" si="0"/>
        <v>315.23504986325418</v>
      </c>
      <c r="F11" s="145">
        <f t="shared" ca="1" si="1"/>
        <v>174.0378917097681</v>
      </c>
      <c r="G11" s="145">
        <f ca="1">F11*(100%-'Données projet'!$C$24)*(100%-'Données projet'!$C$25)*(100%-'Données projet'!$C$26)*(100%-'Données projet'!$C$27)</f>
        <v>148.80239741185173</v>
      </c>
      <c r="H11" s="153">
        <f>IF(OR('Données projet'!B14="",'Données projet'!C14="",'Données projet'!C14=0%),0,AVERAGE(Calculateur!$ED$3:$ED$33)*B11)</f>
        <v>0.64438340334990818</v>
      </c>
      <c r="I11" s="147">
        <f>H11*(100%-'Données projet'!$C$24)*(100%-'Données projet'!$C$25)*(100%-'Données projet'!$C$26)*(100%-'Données projet'!$C$27)</f>
        <v>0.55094780986417147</v>
      </c>
      <c r="J11" s="148">
        <f>IF(OR('Données projet'!B14="",'Données projet'!C14="",'Données projet'!C14=0%),0,SUM(Calculateur!$DW$3:$DW$33)*VLOOKUP('Données projet'!$B$14,Paramètres!$A$1:$I$89,9,0)*B11)</f>
        <v>6.7696773446640002</v>
      </c>
      <c r="K11" s="149">
        <f>J11*(100%-'Données projet'!$C$24)*(100%-'Données projet'!$C$25)*(100%-'Données projet'!$C$26)*(100%-'Données projet'!$C$27)</f>
        <v>5.7880741296877201</v>
      </c>
      <c r="L11" s="150">
        <f t="shared" ca="1" si="2"/>
        <v>155.14141935140361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1" t="str">
        <f>IF('Données projet'!$B$15="","",'Données projet'!$B$15)</f>
        <v>Alisier torminal</v>
      </c>
      <c r="B12" s="152">
        <f>'Données projet'!D15</f>
        <v>0.45364688999999997</v>
      </c>
      <c r="C12" s="145">
        <f ca="1">IF(OR('Données projet'!B15="",'Données projet'!C15="",'Données projet'!C15=0%),0,Calculateur!EO3)</f>
        <v>328.31200866623891</v>
      </c>
      <c r="D12" s="145">
        <f>IF(OR('Données projet'!B15="",'Données projet'!C15="",'Données projet'!C15=0%),0,Calculateur!EP3)</f>
        <v>195.52650232917446</v>
      </c>
      <c r="E12" s="145">
        <f t="shared" ca="1" si="0"/>
        <v>195.52650232917446</v>
      </c>
      <c r="F12" s="145">
        <f t="shared" ca="1" si="1"/>
        <v>88.699989694207744</v>
      </c>
      <c r="G12" s="145">
        <f ca="1">F12*(100%-'Données projet'!$C$24)*(100%-'Données projet'!$C$25)*(100%-'Données projet'!$C$26)*(100%-'Données projet'!$C$27)</f>
        <v>75.838491188547621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ca="1" si="2"/>
        <v>75.838491188547621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1" t="str">
        <f>IF('Données projet'!$B$16="","",'Données projet'!$B$16)</f>
        <v>Peuplier Koster</v>
      </c>
      <c r="B13" s="152">
        <f>'Données projet'!D16</f>
        <v>0.50844986999999997</v>
      </c>
      <c r="C13" s="145">
        <f ca="1">IF(OR('Données projet'!B16="",'Données projet'!C16="",'Données projet'!C16=0%),0,Calculateur!FJ3)</f>
        <v>142.88219003619457</v>
      </c>
      <c r="D13" s="145">
        <f>IF(OR('Données projet'!B16="",'Données projet'!C16="",'Données projet'!C16=0%),0,Calculateur!FK3)</f>
        <v>288.69704547625088</v>
      </c>
      <c r="E13" s="145">
        <f t="shared" ca="1" si="0"/>
        <v>142.88219003619457</v>
      </c>
      <c r="F13" s="145">
        <f t="shared" ca="1" si="1"/>
        <v>72.648430949218422</v>
      </c>
      <c r="G13" s="145">
        <f ca="1">F13*(100%-'Données projet'!$C$24)*(100%-'Données projet'!$C$25)*(100%-'Données projet'!$C$26)*(100%-'Données projet'!$C$27)</f>
        <v>62.114408461581746</v>
      </c>
      <c r="H13" s="153">
        <f>IF(OR('Données projet'!B16="",'Données projet'!C16="",'Données projet'!C16=0%),0,AVERAGE(Calculateur!$FT$3:$FT$33)*B13)</f>
        <v>11.132178202503228</v>
      </c>
      <c r="I13" s="147">
        <f>H13*(100%-'Données projet'!$C$24)*(100%-'Données projet'!$C$25)*(100%-'Données projet'!$C$26)*(100%-'Données projet'!$C$27)</f>
        <v>9.5180123631402598</v>
      </c>
      <c r="J13" s="148">
        <f>IF(OR('Données projet'!C16="",'Données projet'!C16=0%),0,SUM(Calculateur!$FM$3:$FM$33)*VLOOKUP('Données projet'!$B$16,Paramètres!$A$1:$I$89,9,0)*B13)</f>
        <v>118.30459040199</v>
      </c>
      <c r="K13" s="149">
        <f>J13*(100%-'Données projet'!$C$24)*(100%-'Données projet'!$C$25)*(100%-'Données projet'!$C$26)*(100%-'Données projet'!$C$27)</f>
        <v>101.15042479370145</v>
      </c>
      <c r="L13" s="150">
        <f t="shared" ca="1" si="2"/>
        <v>172.78284561842344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7"/>
      <c r="B16" s="211"/>
      <c r="C16" s="212"/>
      <c r="D16" s="23"/>
      <c r="E16" s="23"/>
      <c r="F16" s="163">
        <f t="shared" ref="F16:L16" ca="1" si="3">SUM(F6:F15)</f>
        <v>2833.7785561321843</v>
      </c>
      <c r="G16" s="164">
        <f t="shared" ca="1" si="3"/>
        <v>2422.8806654930172</v>
      </c>
      <c r="H16" s="165">
        <f t="shared" si="3"/>
        <v>29.112004236320331</v>
      </c>
      <c r="I16" s="165">
        <f t="shared" si="3"/>
        <v>24.890763622053882</v>
      </c>
      <c r="J16" s="166">
        <f t="shared" si="3"/>
        <v>332.50729191695393</v>
      </c>
      <c r="K16" s="166">
        <f t="shared" si="3"/>
        <v>284.29373458899568</v>
      </c>
      <c r="L16" s="167">
        <f t="shared" ca="1" si="3"/>
        <v>2732.0651637040669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7"/>
      <c r="B17" s="211"/>
      <c r="C17" s="212"/>
      <c r="D17" s="23"/>
      <c r="E17" s="23"/>
      <c r="F17" s="314" t="s">
        <v>246</v>
      </c>
      <c r="G17" s="315"/>
      <c r="H17" s="315"/>
      <c r="I17" s="315"/>
      <c r="J17" s="315"/>
      <c r="K17" s="315"/>
      <c r="L17" s="31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7"/>
      <c r="B18" s="211"/>
      <c r="C18" s="212"/>
      <c r="D18" s="23"/>
      <c r="E18" s="23"/>
      <c r="F18" s="301"/>
      <c r="G18" s="301"/>
      <c r="H18" s="301"/>
      <c r="I18" s="301"/>
      <c r="J18" s="301"/>
      <c r="K18" s="301"/>
      <c r="L18" s="30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68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68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68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68" t="str">
        <f>A10</f>
        <v>Douglas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68" t="str">
        <f>A11</f>
        <v>Aulne glutineux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68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68" t="str">
        <f>A13</f>
        <v>Peuplier Koster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824D-4756-4AE3-98C6-289D6390A38A}">
  <dimension ref="A1:AX68"/>
  <sheetViews>
    <sheetView workbookViewId="0">
      <selection activeCell="G15" sqref="G15"/>
    </sheetView>
  </sheetViews>
  <sheetFormatPr baseColWidth="10" defaultRowHeight="15" x14ac:dyDescent="0.25"/>
  <cols>
    <col min="1" max="1" width="11.42578125" style="261"/>
    <col min="2" max="2" width="16.42578125" style="261" bestFit="1" customWidth="1"/>
    <col min="3" max="4" width="11.42578125" style="261"/>
    <col min="5" max="5" width="10.5703125" style="261" customWidth="1"/>
    <col min="6" max="12" width="11.42578125" style="261"/>
    <col min="13" max="13" width="16.42578125" style="261" bestFit="1" customWidth="1"/>
    <col min="14" max="23" width="11.42578125" style="261"/>
    <col min="24" max="24" width="16.42578125" style="261" bestFit="1" customWidth="1"/>
    <col min="25" max="25" width="15.7109375" style="261" bestFit="1" customWidth="1"/>
    <col min="26" max="26" width="11.42578125" style="261"/>
    <col min="27" max="27" width="16.85546875" style="261" bestFit="1" customWidth="1"/>
    <col min="28" max="16384" width="11.42578125" style="261"/>
  </cols>
  <sheetData>
    <row r="1" spans="1:50" ht="23.25" x14ac:dyDescent="0.35">
      <c r="A1" s="321" t="s">
        <v>325</v>
      </c>
      <c r="B1" s="321"/>
      <c r="C1" s="321"/>
      <c r="D1" s="321"/>
      <c r="E1" s="321"/>
      <c r="F1" s="321"/>
      <c r="G1" s="321"/>
      <c r="H1" s="321"/>
      <c r="L1" s="321" t="s">
        <v>326</v>
      </c>
      <c r="M1" s="321"/>
      <c r="N1" s="321"/>
      <c r="O1" s="321"/>
      <c r="P1" s="321"/>
      <c r="Q1" s="321"/>
      <c r="R1" s="321"/>
      <c r="S1" s="321"/>
      <c r="W1" s="321" t="s">
        <v>327</v>
      </c>
      <c r="X1" s="321"/>
      <c r="Y1" s="321"/>
      <c r="Z1" s="321"/>
      <c r="AA1" s="321"/>
      <c r="AB1" s="321"/>
      <c r="AC1" s="321"/>
      <c r="AD1" s="321"/>
      <c r="AE1" s="321"/>
      <c r="AH1" s="321" t="s">
        <v>328</v>
      </c>
      <c r="AI1" s="321"/>
      <c r="AJ1" s="321"/>
      <c r="AK1" s="321"/>
      <c r="AL1" s="321"/>
      <c r="AM1" s="321"/>
      <c r="AN1" s="321"/>
      <c r="AO1" s="321"/>
      <c r="AQ1" s="321" t="s">
        <v>329</v>
      </c>
      <c r="AR1" s="321"/>
      <c r="AS1" s="321"/>
      <c r="AT1" s="321"/>
      <c r="AU1" s="321"/>
      <c r="AV1" s="321"/>
      <c r="AW1" s="321"/>
      <c r="AX1" s="321"/>
    </row>
    <row r="2" spans="1:50" x14ac:dyDescent="0.25">
      <c r="AH2" s="262" t="s">
        <v>330</v>
      </c>
      <c r="AQ2" s="262" t="s">
        <v>331</v>
      </c>
    </row>
    <row r="3" spans="1:50" ht="16.5" x14ac:dyDescent="0.25">
      <c r="A3" s="322" t="s">
        <v>332</v>
      </c>
      <c r="B3" s="322"/>
      <c r="C3" s="322"/>
      <c r="D3" s="322"/>
      <c r="E3" s="322"/>
      <c r="F3" s="322"/>
      <c r="G3" s="322"/>
      <c r="H3" s="322"/>
      <c r="L3" s="263" t="s">
        <v>333</v>
      </c>
      <c r="M3" s="263"/>
      <c r="N3" s="263"/>
      <c r="O3" s="263"/>
      <c r="P3" s="263"/>
      <c r="Q3" s="263"/>
      <c r="R3" s="263"/>
      <c r="S3" s="263"/>
      <c r="W3" s="263" t="s">
        <v>334</v>
      </c>
      <c r="X3" s="263"/>
      <c r="Y3" s="263"/>
      <c r="Z3" s="263"/>
      <c r="AA3" s="263"/>
      <c r="AB3" s="263"/>
      <c r="AC3" s="263"/>
      <c r="AH3" s="263" t="s">
        <v>335</v>
      </c>
      <c r="AI3" s="263"/>
      <c r="AJ3" s="264"/>
      <c r="AK3" s="264"/>
      <c r="AL3" s="264"/>
      <c r="AN3" s="264"/>
      <c r="AO3" s="264"/>
      <c r="AQ3" s="322" t="s">
        <v>332</v>
      </c>
      <c r="AR3" s="322"/>
      <c r="AS3" s="322"/>
      <c r="AT3" s="322"/>
      <c r="AU3" s="322"/>
      <c r="AV3" s="322"/>
      <c r="AW3" s="322"/>
      <c r="AX3" s="322"/>
    </row>
    <row r="4" spans="1:50" ht="16.5" x14ac:dyDescent="0.25">
      <c r="A4" s="265"/>
      <c r="B4" s="265"/>
      <c r="AH4" s="266"/>
      <c r="AI4" s="266"/>
      <c r="AJ4" s="264"/>
      <c r="AK4" s="264"/>
      <c r="AL4" s="264"/>
      <c r="AN4" s="264"/>
      <c r="AO4" s="264"/>
      <c r="AQ4" s="265"/>
      <c r="AR4" s="265"/>
    </row>
    <row r="5" spans="1:50" ht="15" customHeight="1" x14ac:dyDescent="0.25">
      <c r="A5" s="261" t="s">
        <v>336</v>
      </c>
      <c r="L5" s="261" t="s">
        <v>336</v>
      </c>
      <c r="W5" s="261" t="s">
        <v>336</v>
      </c>
      <c r="AH5" s="261" t="s">
        <v>336</v>
      </c>
      <c r="AQ5" s="261" t="s">
        <v>336</v>
      </c>
    </row>
    <row r="6" spans="1:50" ht="15" customHeight="1" x14ac:dyDescent="0.25">
      <c r="A6" s="267"/>
      <c r="B6" s="268" t="s">
        <v>185</v>
      </c>
      <c r="C6" s="316" t="s">
        <v>186</v>
      </c>
      <c r="D6" s="317"/>
      <c r="E6" s="318" t="s">
        <v>187</v>
      </c>
      <c r="F6" s="319"/>
      <c r="G6" s="319"/>
      <c r="H6" s="320"/>
      <c r="L6" s="267"/>
      <c r="M6" s="268" t="s">
        <v>185</v>
      </c>
      <c r="N6" s="316" t="s">
        <v>186</v>
      </c>
      <c r="O6" s="317"/>
      <c r="P6" s="318" t="s">
        <v>187</v>
      </c>
      <c r="Q6" s="319"/>
      <c r="R6" s="319"/>
      <c r="S6" s="320"/>
      <c r="W6" s="267"/>
      <c r="X6" s="268" t="s">
        <v>185</v>
      </c>
      <c r="Y6" s="268" t="s">
        <v>337</v>
      </c>
      <c r="Z6" s="269" t="s">
        <v>186</v>
      </c>
      <c r="AA6" s="270"/>
      <c r="AB6" s="271" t="s">
        <v>187</v>
      </c>
      <c r="AC6" s="272"/>
      <c r="AD6" s="272"/>
      <c r="AE6" s="273"/>
      <c r="AH6" s="267"/>
      <c r="AI6" s="268" t="s">
        <v>185</v>
      </c>
      <c r="AJ6" s="269" t="s">
        <v>186</v>
      </c>
      <c r="AK6" s="270"/>
      <c r="AL6" s="271" t="s">
        <v>187</v>
      </c>
      <c r="AM6" s="272"/>
      <c r="AN6" s="272"/>
      <c r="AO6" s="273"/>
      <c r="AQ6" s="267"/>
      <c r="AR6" s="268" t="s">
        <v>185</v>
      </c>
      <c r="AS6" s="316" t="s">
        <v>186</v>
      </c>
      <c r="AT6" s="317"/>
      <c r="AU6" s="318" t="s">
        <v>187</v>
      </c>
      <c r="AV6" s="319"/>
      <c r="AW6" s="319"/>
      <c r="AX6" s="320"/>
    </row>
    <row r="7" spans="1:50" ht="75" x14ac:dyDescent="0.25">
      <c r="A7" s="274" t="s">
        <v>180</v>
      </c>
      <c r="B7" s="275" t="s">
        <v>338</v>
      </c>
      <c r="C7" s="275" t="s">
        <v>188</v>
      </c>
      <c r="D7" s="275" t="s">
        <v>251</v>
      </c>
      <c r="E7" s="274" t="s">
        <v>183</v>
      </c>
      <c r="F7" s="274" t="s">
        <v>181</v>
      </c>
      <c r="G7" s="274" t="s">
        <v>184</v>
      </c>
      <c r="H7" s="274" t="s">
        <v>182</v>
      </c>
      <c r="L7" s="274" t="s">
        <v>180</v>
      </c>
      <c r="M7" s="275" t="s">
        <v>338</v>
      </c>
      <c r="N7" s="275" t="s">
        <v>188</v>
      </c>
      <c r="O7" s="275" t="s">
        <v>251</v>
      </c>
      <c r="P7" s="274" t="s">
        <v>183</v>
      </c>
      <c r="Q7" s="274" t="s">
        <v>181</v>
      </c>
      <c r="R7" s="274" t="s">
        <v>184</v>
      </c>
      <c r="S7" s="274" t="s">
        <v>182</v>
      </c>
      <c r="W7" s="274" t="s">
        <v>180</v>
      </c>
      <c r="X7" s="275" t="s">
        <v>338</v>
      </c>
      <c r="Y7" s="275" t="s">
        <v>339</v>
      </c>
      <c r="Z7" s="275" t="s">
        <v>188</v>
      </c>
      <c r="AA7" s="275" t="s">
        <v>251</v>
      </c>
      <c r="AB7" s="274" t="s">
        <v>183</v>
      </c>
      <c r="AC7" s="274" t="s">
        <v>181</v>
      </c>
      <c r="AD7" s="274" t="s">
        <v>184</v>
      </c>
      <c r="AE7" s="274" t="s">
        <v>182</v>
      </c>
      <c r="AH7" s="274" t="s">
        <v>180</v>
      </c>
      <c r="AI7" s="275" t="s">
        <v>338</v>
      </c>
      <c r="AJ7" s="275" t="s">
        <v>188</v>
      </c>
      <c r="AK7" s="275" t="s">
        <v>251</v>
      </c>
      <c r="AL7" s="274" t="s">
        <v>183</v>
      </c>
      <c r="AM7" s="274" t="s">
        <v>181</v>
      </c>
      <c r="AN7" s="274" t="s">
        <v>184</v>
      </c>
      <c r="AO7" s="274" t="s">
        <v>182</v>
      </c>
      <c r="AQ7" s="274" t="s">
        <v>180</v>
      </c>
      <c r="AR7" s="275" t="s">
        <v>338</v>
      </c>
      <c r="AS7" s="275" t="s">
        <v>188</v>
      </c>
      <c r="AT7" s="275" t="s">
        <v>251</v>
      </c>
      <c r="AU7" s="274" t="s">
        <v>183</v>
      </c>
      <c r="AV7" s="274" t="s">
        <v>181</v>
      </c>
      <c r="AW7" s="274" t="s">
        <v>184</v>
      </c>
      <c r="AX7" s="274" t="s">
        <v>182</v>
      </c>
    </row>
    <row r="8" spans="1:50" ht="15" customHeight="1" x14ac:dyDescent="0.25">
      <c r="A8" s="255">
        <v>36</v>
      </c>
      <c r="B8" s="255">
        <v>130</v>
      </c>
      <c r="C8" s="256">
        <v>1</v>
      </c>
      <c r="D8" s="256">
        <v>36</v>
      </c>
      <c r="E8" s="257">
        <v>0</v>
      </c>
      <c r="F8" s="257">
        <v>0</v>
      </c>
      <c r="G8" s="257">
        <v>0</v>
      </c>
      <c r="H8" s="257">
        <v>1</v>
      </c>
      <c r="L8" s="276">
        <v>15</v>
      </c>
      <c r="M8" s="276">
        <v>162</v>
      </c>
      <c r="N8" s="277">
        <v>0</v>
      </c>
      <c r="O8" s="278">
        <v>0</v>
      </c>
      <c r="P8" s="257">
        <v>0</v>
      </c>
      <c r="Q8" s="257">
        <f>0.56</f>
        <v>0.56000000000000005</v>
      </c>
      <c r="R8" s="257">
        <f>0.44</f>
        <v>0.44</v>
      </c>
      <c r="S8" s="257">
        <v>0</v>
      </c>
      <c r="W8" s="276">
        <v>20</v>
      </c>
      <c r="X8" s="279">
        <v>158</v>
      </c>
      <c r="Y8" s="279">
        <v>126.4</v>
      </c>
      <c r="Z8" s="256">
        <v>1</v>
      </c>
      <c r="AA8" s="279">
        <v>31.6</v>
      </c>
      <c r="AB8" s="257">
        <v>0</v>
      </c>
      <c r="AC8" s="257">
        <v>0.56000000000000005</v>
      </c>
      <c r="AD8" s="257">
        <v>0.44</v>
      </c>
      <c r="AE8" s="257">
        <v>0</v>
      </c>
      <c r="AH8" s="276">
        <v>15</v>
      </c>
      <c r="AI8" s="279">
        <v>113.423</v>
      </c>
      <c r="AJ8" s="256">
        <v>1</v>
      </c>
      <c r="AK8" s="279">
        <v>20</v>
      </c>
      <c r="AL8" s="257">
        <v>0</v>
      </c>
      <c r="AM8" s="257">
        <v>0</v>
      </c>
      <c r="AN8" s="257">
        <v>0</v>
      </c>
      <c r="AO8" s="257">
        <v>1</v>
      </c>
      <c r="AQ8" s="255">
        <v>36</v>
      </c>
      <c r="AR8" s="255">
        <v>104</v>
      </c>
      <c r="AS8" s="256">
        <v>1</v>
      </c>
      <c r="AT8" s="256">
        <v>28.8</v>
      </c>
      <c r="AU8" s="257">
        <v>0</v>
      </c>
      <c r="AV8" s="257">
        <v>0</v>
      </c>
      <c r="AW8" s="257">
        <v>0</v>
      </c>
      <c r="AX8" s="257">
        <v>1</v>
      </c>
    </row>
    <row r="9" spans="1:50" ht="15" customHeight="1" x14ac:dyDescent="0.25">
      <c r="A9" s="255">
        <v>42</v>
      </c>
      <c r="B9" s="255">
        <v>148</v>
      </c>
      <c r="C9" s="256">
        <v>2</v>
      </c>
      <c r="D9" s="256">
        <v>41</v>
      </c>
      <c r="E9" s="257">
        <v>0</v>
      </c>
      <c r="F9" s="257">
        <v>0</v>
      </c>
      <c r="G9" s="257">
        <v>0</v>
      </c>
      <c r="H9" s="257">
        <v>1</v>
      </c>
      <c r="L9" s="276">
        <v>20</v>
      </c>
      <c r="M9" s="276">
        <v>303</v>
      </c>
      <c r="N9" s="256">
        <v>1</v>
      </c>
      <c r="O9" s="276">
        <v>43</v>
      </c>
      <c r="P9" s="257">
        <v>0</v>
      </c>
      <c r="Q9" s="257">
        <f>0.56</f>
        <v>0.56000000000000005</v>
      </c>
      <c r="R9" s="257">
        <v>0.44</v>
      </c>
      <c r="S9" s="257">
        <v>0</v>
      </c>
      <c r="W9" s="276">
        <v>30</v>
      </c>
      <c r="X9" s="279">
        <v>223.66666666666666</v>
      </c>
      <c r="Y9" s="279">
        <v>182</v>
      </c>
      <c r="Z9" s="256">
        <v>2</v>
      </c>
      <c r="AA9" s="279">
        <v>36.4</v>
      </c>
      <c r="AB9" s="257">
        <v>0.7</v>
      </c>
      <c r="AC9" s="257">
        <v>0.16800000000000001</v>
      </c>
      <c r="AD9" s="257">
        <v>0.13200000000000001</v>
      </c>
      <c r="AE9" s="257">
        <v>0</v>
      </c>
      <c r="AH9" s="276">
        <v>25</v>
      </c>
      <c r="AI9" s="279">
        <v>203.46140000000003</v>
      </c>
      <c r="AJ9" s="256">
        <v>2</v>
      </c>
      <c r="AK9" s="279">
        <v>33.910233333333338</v>
      </c>
      <c r="AL9" s="257">
        <v>0.7</v>
      </c>
      <c r="AM9" s="257">
        <v>0</v>
      </c>
      <c r="AN9" s="257">
        <v>0</v>
      </c>
      <c r="AO9" s="257">
        <v>0.3</v>
      </c>
      <c r="AQ9" s="255">
        <v>42</v>
      </c>
      <c r="AR9" s="255">
        <v>118.4</v>
      </c>
      <c r="AS9" s="256">
        <v>2</v>
      </c>
      <c r="AT9" s="256">
        <v>32.800000000000004</v>
      </c>
      <c r="AU9" s="257">
        <v>0</v>
      </c>
      <c r="AV9" s="257">
        <v>0</v>
      </c>
      <c r="AW9" s="257">
        <v>0</v>
      </c>
      <c r="AX9" s="257">
        <v>1</v>
      </c>
    </row>
    <row r="10" spans="1:50" x14ac:dyDescent="0.25">
      <c r="A10" s="255">
        <v>48</v>
      </c>
      <c r="B10" s="255">
        <v>157</v>
      </c>
      <c r="C10" s="256">
        <v>3</v>
      </c>
      <c r="D10" s="256">
        <v>41</v>
      </c>
      <c r="E10" s="257">
        <v>0</v>
      </c>
      <c r="F10" s="257">
        <v>0</v>
      </c>
      <c r="G10" s="257">
        <v>0</v>
      </c>
      <c r="H10" s="257">
        <v>1</v>
      </c>
      <c r="L10" s="276">
        <v>25</v>
      </c>
      <c r="M10" s="276">
        <v>419</v>
      </c>
      <c r="N10" s="256">
        <v>2</v>
      </c>
      <c r="O10" s="276">
        <v>60</v>
      </c>
      <c r="P10" s="257">
        <v>0.7</v>
      </c>
      <c r="Q10" s="257">
        <f>0.3*0.56</f>
        <v>0.16800000000000001</v>
      </c>
      <c r="R10" s="257">
        <f>0.3*0.44</f>
        <v>0.13200000000000001</v>
      </c>
      <c r="S10" s="257">
        <v>0</v>
      </c>
      <c r="W10" s="276">
        <v>40</v>
      </c>
      <c r="X10" s="279">
        <v>312.72222222222223</v>
      </c>
      <c r="Y10" s="279">
        <v>261.33333333333337</v>
      </c>
      <c r="Z10" s="256">
        <v>3</v>
      </c>
      <c r="AA10" s="279">
        <v>52.26666666666668</v>
      </c>
      <c r="AB10" s="257">
        <v>0.7</v>
      </c>
      <c r="AC10" s="257">
        <v>0.16800000000000001</v>
      </c>
      <c r="AD10" s="257">
        <v>0.13200000000000001</v>
      </c>
      <c r="AE10" s="257">
        <v>0</v>
      </c>
      <c r="AH10" s="276">
        <v>35</v>
      </c>
      <c r="AI10" s="279">
        <v>307.82956666666666</v>
      </c>
      <c r="AJ10" s="256">
        <v>3</v>
      </c>
      <c r="AK10" s="279">
        <v>51.304927777777777</v>
      </c>
      <c r="AL10" s="257">
        <v>0.7</v>
      </c>
      <c r="AM10" s="257">
        <v>0</v>
      </c>
      <c r="AN10" s="257">
        <v>0</v>
      </c>
      <c r="AO10" s="257">
        <v>0.3</v>
      </c>
      <c r="AQ10" s="255">
        <v>48</v>
      </c>
      <c r="AR10" s="255">
        <v>125.60000000000002</v>
      </c>
      <c r="AS10" s="256">
        <v>3</v>
      </c>
      <c r="AT10" s="256">
        <v>32.800000000000004</v>
      </c>
      <c r="AU10" s="257">
        <v>0</v>
      </c>
      <c r="AV10" s="257">
        <v>0</v>
      </c>
      <c r="AW10" s="257">
        <v>0</v>
      </c>
      <c r="AX10" s="257">
        <v>1</v>
      </c>
    </row>
    <row r="11" spans="1:50" x14ac:dyDescent="0.25">
      <c r="A11" s="255">
        <v>54</v>
      </c>
      <c r="B11" s="255">
        <v>163</v>
      </c>
      <c r="C11" s="256">
        <v>4</v>
      </c>
      <c r="D11" s="256">
        <v>31</v>
      </c>
      <c r="E11" s="257">
        <v>0.7</v>
      </c>
      <c r="F11" s="257">
        <v>0</v>
      </c>
      <c r="G11" s="257">
        <v>0</v>
      </c>
      <c r="H11" s="257">
        <v>0.3</v>
      </c>
      <c r="L11" s="276">
        <v>30</v>
      </c>
      <c r="M11" s="276">
        <v>524</v>
      </c>
      <c r="N11" s="256">
        <v>3</v>
      </c>
      <c r="O11" s="276">
        <v>90</v>
      </c>
      <c r="P11" s="257">
        <v>0.7</v>
      </c>
      <c r="Q11" s="257">
        <f t="shared" ref="Q11:Q18" si="0">0.3*0.56</f>
        <v>0.16800000000000001</v>
      </c>
      <c r="R11" s="257">
        <f t="shared" ref="R11:R18" si="1">0.3*0.44</f>
        <v>0.13200000000000001</v>
      </c>
      <c r="S11" s="257">
        <v>0</v>
      </c>
      <c r="W11" s="276">
        <v>50</v>
      </c>
      <c r="X11" s="279">
        <v>412.87962962962962</v>
      </c>
      <c r="Y11" s="279">
        <v>343.94444444444446</v>
      </c>
      <c r="Z11" s="256">
        <v>4</v>
      </c>
      <c r="AA11" s="279">
        <v>68.788888888888891</v>
      </c>
      <c r="AB11" s="257">
        <v>0.7</v>
      </c>
      <c r="AC11" s="257">
        <v>0.16800000000000001</v>
      </c>
      <c r="AD11" s="257">
        <v>0.13200000000000001</v>
      </c>
      <c r="AE11" s="257">
        <v>0</v>
      </c>
      <c r="AH11" s="276">
        <v>45</v>
      </c>
      <c r="AI11" s="279">
        <v>423.04303888888887</v>
      </c>
      <c r="AJ11" s="256">
        <v>4</v>
      </c>
      <c r="AK11" s="279">
        <v>70.507173148148155</v>
      </c>
      <c r="AL11" s="257">
        <v>0.9</v>
      </c>
      <c r="AM11" s="257">
        <v>0</v>
      </c>
      <c r="AN11" s="257">
        <v>0</v>
      </c>
      <c r="AO11" s="257">
        <v>0.1</v>
      </c>
      <c r="AQ11" s="255">
        <v>54</v>
      </c>
      <c r="AR11" s="255">
        <v>130.4</v>
      </c>
      <c r="AS11" s="256">
        <v>4</v>
      </c>
      <c r="AT11" s="256">
        <v>24.8</v>
      </c>
      <c r="AU11" s="257">
        <v>0.7</v>
      </c>
      <c r="AV11" s="257">
        <v>0</v>
      </c>
      <c r="AW11" s="257">
        <v>0</v>
      </c>
      <c r="AX11" s="257">
        <v>0.3</v>
      </c>
    </row>
    <row r="12" spans="1:50" x14ac:dyDescent="0.25">
      <c r="A12" s="255">
        <v>62</v>
      </c>
      <c r="B12" s="255">
        <v>194</v>
      </c>
      <c r="C12" s="256">
        <v>5</v>
      </c>
      <c r="D12" s="256">
        <v>39</v>
      </c>
      <c r="E12" s="257">
        <v>0.7</v>
      </c>
      <c r="F12" s="257">
        <v>0</v>
      </c>
      <c r="G12" s="257">
        <v>0</v>
      </c>
      <c r="H12" s="257">
        <v>0.3</v>
      </c>
      <c r="L12" s="276">
        <v>35</v>
      </c>
      <c r="M12" s="276">
        <v>576</v>
      </c>
      <c r="N12" s="256">
        <v>4</v>
      </c>
      <c r="O12" s="276">
        <v>72</v>
      </c>
      <c r="P12" s="257">
        <v>0.7</v>
      </c>
      <c r="Q12" s="257">
        <f t="shared" si="0"/>
        <v>0.16800000000000001</v>
      </c>
      <c r="R12" s="257">
        <f t="shared" si="1"/>
        <v>0.13200000000000001</v>
      </c>
      <c r="S12" s="257">
        <v>0</v>
      </c>
      <c r="W12" s="276">
        <v>60</v>
      </c>
      <c r="X12" s="279">
        <v>531.18672839506189</v>
      </c>
      <c r="Y12" s="279">
        <v>442.67592592592592</v>
      </c>
      <c r="Z12" s="256">
        <v>5</v>
      </c>
      <c r="AA12" s="279">
        <v>88.535185185185185</v>
      </c>
      <c r="AB12" s="257">
        <v>0.7</v>
      </c>
      <c r="AC12" s="257">
        <v>0.16800000000000001</v>
      </c>
      <c r="AD12" s="257">
        <v>0.13200000000000001</v>
      </c>
      <c r="AE12" s="257">
        <v>0</v>
      </c>
      <c r="AH12" s="276">
        <v>55</v>
      </c>
      <c r="AI12" s="279">
        <v>545.97886574074084</v>
      </c>
      <c r="AJ12" s="256" t="s">
        <v>324</v>
      </c>
      <c r="AK12" s="279">
        <v>545.97886574074084</v>
      </c>
      <c r="AL12" s="257">
        <v>0.9</v>
      </c>
      <c r="AM12" s="257">
        <v>0</v>
      </c>
      <c r="AN12" s="257">
        <v>0</v>
      </c>
      <c r="AO12" s="257">
        <v>0.1</v>
      </c>
      <c r="AQ12" s="255">
        <v>62</v>
      </c>
      <c r="AR12" s="255">
        <v>155.19999999999999</v>
      </c>
      <c r="AS12" s="256">
        <v>5</v>
      </c>
      <c r="AT12" s="256">
        <v>31.200000000000003</v>
      </c>
      <c r="AU12" s="257">
        <v>0.7</v>
      </c>
      <c r="AV12" s="257">
        <v>0</v>
      </c>
      <c r="AW12" s="257">
        <v>0</v>
      </c>
      <c r="AX12" s="257">
        <v>0.3</v>
      </c>
    </row>
    <row r="13" spans="1:50" x14ac:dyDescent="0.25">
      <c r="A13" s="255">
        <v>70</v>
      </c>
      <c r="B13" s="255">
        <v>220</v>
      </c>
      <c r="C13" s="256">
        <v>6</v>
      </c>
      <c r="D13" s="256">
        <v>53</v>
      </c>
      <c r="E13" s="257">
        <v>0.7</v>
      </c>
      <c r="F13" s="257">
        <v>0</v>
      </c>
      <c r="G13" s="257">
        <v>0</v>
      </c>
      <c r="H13" s="257">
        <v>0.3</v>
      </c>
      <c r="L13" s="276">
        <v>40</v>
      </c>
      <c r="M13" s="276">
        <v>639</v>
      </c>
      <c r="N13" s="256">
        <v>5</v>
      </c>
      <c r="O13" s="276">
        <v>77</v>
      </c>
      <c r="P13" s="257">
        <v>0.7</v>
      </c>
      <c r="Q13" s="257">
        <f t="shared" si="0"/>
        <v>0.16800000000000001</v>
      </c>
      <c r="R13" s="257">
        <f t="shared" si="1"/>
        <v>0.13200000000000001</v>
      </c>
      <c r="S13" s="257">
        <v>0</v>
      </c>
      <c r="W13" s="276">
        <v>70</v>
      </c>
      <c r="X13" s="279">
        <v>666.46887860082302</v>
      </c>
      <c r="Y13" s="279">
        <v>555.38734567901247</v>
      </c>
      <c r="Z13" s="256">
        <v>6</v>
      </c>
      <c r="AA13" s="279">
        <v>111.0774691358025</v>
      </c>
      <c r="AB13" s="257">
        <v>0.7</v>
      </c>
      <c r="AC13" s="257">
        <v>0.16800000000000001</v>
      </c>
      <c r="AD13" s="257">
        <v>0.13200000000000001</v>
      </c>
      <c r="AE13" s="257">
        <v>0</v>
      </c>
      <c r="AQ13" s="255">
        <v>70</v>
      </c>
      <c r="AR13" s="255">
        <v>176</v>
      </c>
      <c r="AS13" s="256">
        <v>6</v>
      </c>
      <c r="AT13" s="256">
        <v>42.400000000000006</v>
      </c>
      <c r="AU13" s="257">
        <v>0.7</v>
      </c>
      <c r="AV13" s="257">
        <v>0</v>
      </c>
      <c r="AW13" s="257">
        <v>0</v>
      </c>
      <c r="AX13" s="257">
        <v>0.3</v>
      </c>
    </row>
    <row r="14" spans="1:50" x14ac:dyDescent="0.25">
      <c r="A14" s="255">
        <v>78</v>
      </c>
      <c r="B14" s="255">
        <v>227</v>
      </c>
      <c r="C14" s="256">
        <v>7</v>
      </c>
      <c r="D14" s="256">
        <v>42</v>
      </c>
      <c r="E14" s="257">
        <v>0.7</v>
      </c>
      <c r="F14" s="257">
        <v>0</v>
      </c>
      <c r="G14" s="257">
        <v>0</v>
      </c>
      <c r="H14" s="257">
        <v>0.3</v>
      </c>
      <c r="L14" s="276">
        <v>45</v>
      </c>
      <c r="M14" s="276">
        <v>686</v>
      </c>
      <c r="N14" s="256">
        <v>6</v>
      </c>
      <c r="O14" s="276">
        <v>64</v>
      </c>
      <c r="P14" s="257">
        <v>0.7</v>
      </c>
      <c r="Q14" s="257">
        <f t="shared" si="0"/>
        <v>0.16800000000000001</v>
      </c>
      <c r="R14" s="257">
        <f t="shared" si="1"/>
        <v>0.13200000000000001</v>
      </c>
      <c r="S14" s="257">
        <v>0</v>
      </c>
      <c r="W14" s="276">
        <v>80</v>
      </c>
      <c r="X14" s="279">
        <v>813.92185356652965</v>
      </c>
      <c r="Y14" s="279">
        <v>678.26877572016463</v>
      </c>
      <c r="Z14" s="256">
        <v>7</v>
      </c>
      <c r="AA14" s="279">
        <v>135.65375514403294</v>
      </c>
      <c r="AB14" s="257">
        <v>0.7</v>
      </c>
      <c r="AC14" s="257">
        <v>0.16800000000000001</v>
      </c>
      <c r="AD14" s="257">
        <v>0.13200000000000001</v>
      </c>
      <c r="AE14" s="257">
        <v>0</v>
      </c>
      <c r="AQ14" s="255">
        <v>78</v>
      </c>
      <c r="AR14" s="255">
        <v>181.6</v>
      </c>
      <c r="AS14" s="256">
        <v>7</v>
      </c>
      <c r="AT14" s="256">
        <v>33.6</v>
      </c>
      <c r="AU14" s="257">
        <v>0.7</v>
      </c>
      <c r="AV14" s="257">
        <v>0</v>
      </c>
      <c r="AW14" s="257">
        <v>0</v>
      </c>
      <c r="AX14" s="257">
        <v>0.3</v>
      </c>
    </row>
    <row r="15" spans="1:50" x14ac:dyDescent="0.25">
      <c r="A15" s="255">
        <v>87</v>
      </c>
      <c r="B15" s="255">
        <v>243</v>
      </c>
      <c r="C15" s="256">
        <v>8</v>
      </c>
      <c r="D15" s="256">
        <v>39</v>
      </c>
      <c r="E15" s="257">
        <v>0.9</v>
      </c>
      <c r="F15" s="257">
        <v>0</v>
      </c>
      <c r="G15" s="257">
        <v>0</v>
      </c>
      <c r="H15" s="257">
        <v>0.1</v>
      </c>
      <c r="L15" s="276">
        <v>50</v>
      </c>
      <c r="M15" s="276">
        <v>724</v>
      </c>
      <c r="N15" s="256">
        <v>7</v>
      </c>
      <c r="O15" s="276">
        <v>62</v>
      </c>
      <c r="P15" s="257">
        <v>0.7</v>
      </c>
      <c r="Q15" s="257">
        <f t="shared" si="0"/>
        <v>0.16800000000000001</v>
      </c>
      <c r="R15" s="257">
        <f t="shared" si="1"/>
        <v>0.13200000000000001</v>
      </c>
      <c r="S15" s="257">
        <v>0</v>
      </c>
      <c r="W15" s="276">
        <v>90</v>
      </c>
      <c r="X15" s="279">
        <v>964.34635773891171</v>
      </c>
      <c r="Y15" s="279">
        <v>803.62187071330584</v>
      </c>
      <c r="Z15" s="256">
        <v>8</v>
      </c>
      <c r="AA15" s="279">
        <v>160.72437414266119</v>
      </c>
      <c r="AB15" s="257">
        <v>0.7</v>
      </c>
      <c r="AC15" s="257">
        <v>0.16800000000000001</v>
      </c>
      <c r="AD15" s="257">
        <v>0.13200000000000001</v>
      </c>
      <c r="AE15" s="257">
        <v>0</v>
      </c>
      <c r="AQ15" s="255">
        <v>87</v>
      </c>
      <c r="AR15" s="255">
        <v>194.40000000000003</v>
      </c>
      <c r="AS15" s="256">
        <v>8</v>
      </c>
      <c r="AT15" s="256">
        <v>31.200000000000003</v>
      </c>
      <c r="AU15" s="257">
        <v>0.9</v>
      </c>
      <c r="AV15" s="257">
        <v>0</v>
      </c>
      <c r="AW15" s="257">
        <v>0</v>
      </c>
      <c r="AX15" s="257">
        <v>0.1</v>
      </c>
    </row>
    <row r="16" spans="1:50" x14ac:dyDescent="0.25">
      <c r="A16" s="255">
        <v>97</v>
      </c>
      <c r="B16" s="255">
        <v>265</v>
      </c>
      <c r="C16" s="256">
        <v>9</v>
      </c>
      <c r="D16" s="256">
        <v>42</v>
      </c>
      <c r="E16" s="257">
        <v>0.9</v>
      </c>
      <c r="F16" s="257">
        <v>0</v>
      </c>
      <c r="G16" s="257">
        <v>0</v>
      </c>
      <c r="H16" s="257">
        <v>0.1</v>
      </c>
      <c r="L16" s="276">
        <v>55</v>
      </c>
      <c r="M16" s="276">
        <v>739</v>
      </c>
      <c r="N16" s="256">
        <v>8</v>
      </c>
      <c r="O16" s="276">
        <v>46</v>
      </c>
      <c r="P16" s="257">
        <v>0.7</v>
      </c>
      <c r="Q16" s="257">
        <f t="shared" si="0"/>
        <v>0.16800000000000001</v>
      </c>
      <c r="R16" s="257">
        <f t="shared" si="1"/>
        <v>0.13200000000000001</v>
      </c>
      <c r="S16" s="257">
        <v>0</v>
      </c>
      <c r="W16" s="276">
        <v>100</v>
      </c>
      <c r="X16" s="279">
        <v>600</v>
      </c>
      <c r="Y16" s="279">
        <v>0</v>
      </c>
      <c r="Z16" s="256" t="s">
        <v>324</v>
      </c>
      <c r="AA16" s="279">
        <f>X16</f>
        <v>600</v>
      </c>
      <c r="AB16" s="257">
        <v>0.7</v>
      </c>
      <c r="AC16" s="257">
        <v>0.16800000000000001</v>
      </c>
      <c r="AD16" s="257">
        <v>0.13200000000000001</v>
      </c>
      <c r="AE16" s="257">
        <v>0</v>
      </c>
      <c r="AQ16" s="255">
        <v>97</v>
      </c>
      <c r="AR16" s="255">
        <v>212</v>
      </c>
      <c r="AS16" s="256">
        <v>9</v>
      </c>
      <c r="AT16" s="256">
        <v>33.6</v>
      </c>
      <c r="AU16" s="257">
        <v>0.9</v>
      </c>
      <c r="AV16" s="257">
        <v>0</v>
      </c>
      <c r="AW16" s="257">
        <v>0</v>
      </c>
      <c r="AX16" s="257">
        <v>0.1</v>
      </c>
    </row>
    <row r="17" spans="1:50" x14ac:dyDescent="0.25">
      <c r="A17" s="255">
        <v>107</v>
      </c>
      <c r="B17" s="255">
        <v>288</v>
      </c>
      <c r="C17" s="256">
        <v>10</v>
      </c>
      <c r="D17" s="256">
        <v>46</v>
      </c>
      <c r="E17" s="257">
        <v>0.9</v>
      </c>
      <c r="F17" s="257">
        <v>0</v>
      </c>
      <c r="G17" s="257">
        <v>0</v>
      </c>
      <c r="H17" s="257">
        <v>0.1</v>
      </c>
      <c r="L17" s="276">
        <v>60</v>
      </c>
      <c r="M17" s="276">
        <v>754</v>
      </c>
      <c r="N17" s="280">
        <v>9</v>
      </c>
      <c r="O17" s="276">
        <v>35</v>
      </c>
      <c r="P17" s="257">
        <v>0.7</v>
      </c>
      <c r="Q17" s="257">
        <f t="shared" si="0"/>
        <v>0.16800000000000001</v>
      </c>
      <c r="R17" s="257">
        <f t="shared" si="1"/>
        <v>0.13200000000000001</v>
      </c>
      <c r="S17" s="257">
        <v>0</v>
      </c>
      <c r="AL17" s="281"/>
      <c r="AM17" s="281"/>
      <c r="AN17" s="281"/>
      <c r="AO17" s="281"/>
      <c r="AQ17" s="255">
        <v>107</v>
      </c>
      <c r="AR17" s="255">
        <v>230.40000000000003</v>
      </c>
      <c r="AS17" s="256">
        <v>10</v>
      </c>
      <c r="AT17" s="256">
        <v>36.800000000000004</v>
      </c>
      <c r="AU17" s="257">
        <v>0.9</v>
      </c>
      <c r="AV17" s="257">
        <v>0</v>
      </c>
      <c r="AW17" s="257">
        <v>0</v>
      </c>
      <c r="AX17" s="257">
        <v>0.1</v>
      </c>
    </row>
    <row r="18" spans="1:50" x14ac:dyDescent="0.25">
      <c r="A18" s="255">
        <v>117</v>
      </c>
      <c r="B18" s="255">
        <v>309</v>
      </c>
      <c r="C18" s="256">
        <v>11</v>
      </c>
      <c r="D18" s="256">
        <v>45</v>
      </c>
      <c r="E18" s="257">
        <v>0.9</v>
      </c>
      <c r="F18" s="257">
        <v>0</v>
      </c>
      <c r="G18" s="257">
        <v>0</v>
      </c>
      <c r="H18" s="257">
        <v>0.1</v>
      </c>
      <c r="L18" s="276">
        <v>65</v>
      </c>
      <c r="M18" s="276">
        <v>769</v>
      </c>
      <c r="N18" s="256" t="s">
        <v>324</v>
      </c>
      <c r="O18" s="276">
        <f>740+29</f>
        <v>769</v>
      </c>
      <c r="P18" s="257">
        <v>0.7</v>
      </c>
      <c r="Q18" s="257">
        <f t="shared" si="0"/>
        <v>0.16800000000000001</v>
      </c>
      <c r="R18" s="257">
        <f t="shared" si="1"/>
        <v>0.13200000000000001</v>
      </c>
      <c r="S18" s="257">
        <v>0</v>
      </c>
      <c r="AQ18" s="255">
        <v>117</v>
      </c>
      <c r="AR18" s="255">
        <v>247.20000000000002</v>
      </c>
      <c r="AS18" s="256">
        <v>11</v>
      </c>
      <c r="AT18" s="256">
        <v>36</v>
      </c>
      <c r="AU18" s="257">
        <v>0.9</v>
      </c>
      <c r="AV18" s="257">
        <v>0</v>
      </c>
      <c r="AW18" s="257">
        <v>0</v>
      </c>
      <c r="AX18" s="257">
        <v>0.1</v>
      </c>
    </row>
    <row r="19" spans="1:50" x14ac:dyDescent="0.25">
      <c r="A19" s="255">
        <v>129</v>
      </c>
      <c r="B19" s="255">
        <v>337</v>
      </c>
      <c r="C19" s="256" t="s">
        <v>324</v>
      </c>
      <c r="D19" s="256">
        <v>337</v>
      </c>
      <c r="E19" s="257">
        <v>0.9</v>
      </c>
      <c r="F19" s="257">
        <v>0</v>
      </c>
      <c r="G19" s="257">
        <v>0</v>
      </c>
      <c r="H19" s="257">
        <v>0.1</v>
      </c>
      <c r="AQ19" s="255">
        <v>129</v>
      </c>
      <c r="AR19" s="255">
        <v>269.60000000000002</v>
      </c>
      <c r="AS19" s="256" t="s">
        <v>324</v>
      </c>
      <c r="AT19" s="256">
        <v>269.60000000000002</v>
      </c>
      <c r="AU19" s="257">
        <v>0.9</v>
      </c>
      <c r="AV19" s="257">
        <v>0</v>
      </c>
      <c r="AW19" s="257">
        <v>0</v>
      </c>
      <c r="AX19" s="257">
        <v>0.1</v>
      </c>
    </row>
    <row r="20" spans="1:50" x14ac:dyDescent="0.25">
      <c r="G20" s="261" t="s">
        <v>340</v>
      </c>
      <c r="AW20" s="261" t="s">
        <v>340</v>
      </c>
    </row>
    <row r="21" spans="1:50" ht="36" customHeight="1" x14ac:dyDescent="0.25">
      <c r="A21" s="261" t="s">
        <v>341</v>
      </c>
      <c r="G21" s="261" t="s">
        <v>340</v>
      </c>
      <c r="L21" s="261" t="s">
        <v>341</v>
      </c>
      <c r="W21" s="261" t="s">
        <v>341</v>
      </c>
      <c r="AH21" s="261" t="s">
        <v>341</v>
      </c>
      <c r="AQ21" s="261" t="s">
        <v>341</v>
      </c>
      <c r="AW21" s="261" t="s">
        <v>340</v>
      </c>
    </row>
    <row r="22" spans="1:50" ht="20.25" customHeight="1" x14ac:dyDescent="0.25">
      <c r="A22" s="267"/>
      <c r="B22" s="268" t="s">
        <v>185</v>
      </c>
      <c r="C22" s="316" t="s">
        <v>186</v>
      </c>
      <c r="D22" s="317"/>
      <c r="E22" s="318" t="s">
        <v>187</v>
      </c>
      <c r="F22" s="319"/>
      <c r="G22" s="319"/>
      <c r="H22" s="320"/>
      <c r="L22" s="267"/>
      <c r="M22" s="268" t="s">
        <v>185</v>
      </c>
      <c r="N22" s="269" t="s">
        <v>186</v>
      </c>
      <c r="O22" s="270"/>
      <c r="P22" s="271" t="s">
        <v>187</v>
      </c>
      <c r="Q22" s="272"/>
      <c r="R22" s="272"/>
      <c r="S22" s="273"/>
      <c r="W22" s="267"/>
      <c r="X22" s="268" t="s">
        <v>185</v>
      </c>
      <c r="Y22" s="268" t="s">
        <v>337</v>
      </c>
      <c r="Z22" s="269" t="s">
        <v>186</v>
      </c>
      <c r="AA22" s="270"/>
      <c r="AB22" s="271" t="s">
        <v>187</v>
      </c>
      <c r="AC22" s="272"/>
      <c r="AD22" s="272"/>
      <c r="AE22" s="273"/>
      <c r="AH22" s="267"/>
      <c r="AI22" s="268" t="s">
        <v>185</v>
      </c>
      <c r="AJ22" s="269" t="s">
        <v>186</v>
      </c>
      <c r="AK22" s="270"/>
      <c r="AL22" s="271" t="s">
        <v>187</v>
      </c>
      <c r="AM22" s="272"/>
      <c r="AN22" s="272"/>
      <c r="AO22" s="273"/>
      <c r="AQ22" s="267"/>
      <c r="AR22" s="268" t="s">
        <v>185</v>
      </c>
      <c r="AS22" s="316" t="s">
        <v>186</v>
      </c>
      <c r="AT22" s="317"/>
      <c r="AU22" s="318" t="s">
        <v>187</v>
      </c>
      <c r="AV22" s="319"/>
      <c r="AW22" s="319"/>
      <c r="AX22" s="320"/>
    </row>
    <row r="23" spans="1:50" ht="75" x14ac:dyDescent="0.25">
      <c r="A23" s="274" t="s">
        <v>180</v>
      </c>
      <c r="B23" s="275" t="s">
        <v>338</v>
      </c>
      <c r="C23" s="275" t="s">
        <v>188</v>
      </c>
      <c r="D23" s="275" t="s">
        <v>251</v>
      </c>
      <c r="E23" s="274" t="s">
        <v>183</v>
      </c>
      <c r="F23" s="274" t="s">
        <v>181</v>
      </c>
      <c r="G23" s="274" t="s">
        <v>184</v>
      </c>
      <c r="H23" s="274" t="s">
        <v>182</v>
      </c>
      <c r="L23" s="274" t="s">
        <v>180</v>
      </c>
      <c r="M23" s="275" t="s">
        <v>338</v>
      </c>
      <c r="N23" s="275" t="s">
        <v>188</v>
      </c>
      <c r="O23" s="275" t="s">
        <v>251</v>
      </c>
      <c r="P23" s="274" t="s">
        <v>183</v>
      </c>
      <c r="Q23" s="274" t="s">
        <v>181</v>
      </c>
      <c r="R23" s="274" t="s">
        <v>184</v>
      </c>
      <c r="S23" s="274" t="s">
        <v>182</v>
      </c>
      <c r="W23" s="274" t="s">
        <v>180</v>
      </c>
      <c r="X23" s="275" t="s">
        <v>338</v>
      </c>
      <c r="Y23" s="275" t="s">
        <v>339</v>
      </c>
      <c r="Z23" s="275" t="s">
        <v>188</v>
      </c>
      <c r="AA23" s="275" t="s">
        <v>251</v>
      </c>
      <c r="AB23" s="274" t="s">
        <v>183</v>
      </c>
      <c r="AC23" s="274" t="s">
        <v>181</v>
      </c>
      <c r="AD23" s="274" t="s">
        <v>184</v>
      </c>
      <c r="AE23" s="274" t="s">
        <v>182</v>
      </c>
      <c r="AH23" s="274" t="s">
        <v>180</v>
      </c>
      <c r="AI23" s="275" t="s">
        <v>338</v>
      </c>
      <c r="AJ23" s="275" t="s">
        <v>188</v>
      </c>
      <c r="AK23" s="275" t="s">
        <v>251</v>
      </c>
      <c r="AL23" s="274" t="s">
        <v>183</v>
      </c>
      <c r="AM23" s="274" t="s">
        <v>181</v>
      </c>
      <c r="AN23" s="274" t="s">
        <v>184</v>
      </c>
      <c r="AO23" s="274" t="s">
        <v>182</v>
      </c>
      <c r="AQ23" s="274" t="s">
        <v>180</v>
      </c>
      <c r="AR23" s="275" t="s">
        <v>338</v>
      </c>
      <c r="AS23" s="275" t="s">
        <v>188</v>
      </c>
      <c r="AT23" s="275" t="s">
        <v>251</v>
      </c>
      <c r="AU23" s="274" t="s">
        <v>183</v>
      </c>
      <c r="AV23" s="274" t="s">
        <v>181</v>
      </c>
      <c r="AW23" s="274" t="s">
        <v>184</v>
      </c>
      <c r="AX23" s="274" t="s">
        <v>182</v>
      </c>
    </row>
    <row r="24" spans="1:50" x14ac:dyDescent="0.25">
      <c r="A24" s="255">
        <v>42</v>
      </c>
      <c r="B24" s="255">
        <v>113</v>
      </c>
      <c r="C24" s="256">
        <v>1</v>
      </c>
      <c r="D24" s="256">
        <v>30</v>
      </c>
      <c r="E24" s="257">
        <v>0</v>
      </c>
      <c r="F24" s="257">
        <v>0</v>
      </c>
      <c r="G24" s="257">
        <v>0</v>
      </c>
      <c r="H24" s="257">
        <v>1</v>
      </c>
      <c r="L24" s="276">
        <v>19</v>
      </c>
      <c r="M24" s="276">
        <v>162</v>
      </c>
      <c r="O24" s="278">
        <v>0</v>
      </c>
      <c r="P24" s="257">
        <v>0</v>
      </c>
      <c r="Q24" s="257">
        <f>0.56</f>
        <v>0.56000000000000005</v>
      </c>
      <c r="R24" s="257">
        <f>0.44</f>
        <v>0.44</v>
      </c>
      <c r="S24" s="257">
        <v>0</v>
      </c>
      <c r="W24" s="276">
        <v>20</v>
      </c>
      <c r="X24" s="279">
        <v>115</v>
      </c>
      <c r="Y24" s="279">
        <v>92</v>
      </c>
      <c r="Z24" s="256">
        <v>1</v>
      </c>
      <c r="AA24" s="279">
        <v>23</v>
      </c>
      <c r="AB24" s="257">
        <v>0</v>
      </c>
      <c r="AC24" s="257">
        <v>0.56000000000000005</v>
      </c>
      <c r="AD24" s="257">
        <v>0.44</v>
      </c>
      <c r="AE24" s="257">
        <v>0</v>
      </c>
      <c r="AH24" s="276">
        <v>15</v>
      </c>
      <c r="AI24" s="279">
        <v>99.659000000000006</v>
      </c>
      <c r="AJ24" s="256">
        <v>1</v>
      </c>
      <c r="AK24" s="279">
        <v>20</v>
      </c>
      <c r="AL24" s="257">
        <v>0</v>
      </c>
      <c r="AM24" s="257">
        <v>0</v>
      </c>
      <c r="AN24" s="257">
        <v>0</v>
      </c>
      <c r="AO24" s="257">
        <v>1</v>
      </c>
      <c r="AQ24" s="255">
        <v>42</v>
      </c>
      <c r="AR24" s="255">
        <v>90.4</v>
      </c>
      <c r="AS24" s="256">
        <v>1</v>
      </c>
      <c r="AT24" s="256">
        <v>24</v>
      </c>
      <c r="AU24" s="257">
        <v>0</v>
      </c>
      <c r="AV24" s="257">
        <v>0</v>
      </c>
      <c r="AW24" s="257">
        <v>0</v>
      </c>
      <c r="AX24" s="257">
        <v>1</v>
      </c>
    </row>
    <row r="25" spans="1:50" x14ac:dyDescent="0.25">
      <c r="A25" s="255">
        <v>48</v>
      </c>
      <c r="B25" s="255">
        <v>120</v>
      </c>
      <c r="C25" s="256">
        <v>2</v>
      </c>
      <c r="D25" s="256">
        <v>28</v>
      </c>
      <c r="E25" s="257">
        <v>0</v>
      </c>
      <c r="F25" s="257">
        <v>0</v>
      </c>
      <c r="G25" s="257">
        <v>0</v>
      </c>
      <c r="H25" s="257">
        <v>1</v>
      </c>
      <c r="L25" s="276">
        <v>25</v>
      </c>
      <c r="M25" s="276">
        <v>335</v>
      </c>
      <c r="N25" s="256">
        <v>1</v>
      </c>
      <c r="O25" s="276">
        <v>54</v>
      </c>
      <c r="P25" s="257">
        <v>0</v>
      </c>
      <c r="Q25" s="257">
        <f>0.56</f>
        <v>0.56000000000000005</v>
      </c>
      <c r="R25" s="257">
        <v>0.44</v>
      </c>
      <c r="S25" s="257">
        <v>0</v>
      </c>
      <c r="W25" s="276">
        <v>30</v>
      </c>
      <c r="X25" s="279">
        <v>157</v>
      </c>
      <c r="Y25" s="279">
        <v>130.83333333333334</v>
      </c>
      <c r="Z25" s="256">
        <v>2</v>
      </c>
      <c r="AA25" s="279">
        <v>26.166666666666671</v>
      </c>
      <c r="AB25" s="257">
        <v>0.7</v>
      </c>
      <c r="AC25" s="257">
        <v>0.16800000000000001</v>
      </c>
      <c r="AD25" s="257">
        <v>0.13200000000000001</v>
      </c>
      <c r="AE25" s="257">
        <v>0</v>
      </c>
      <c r="AH25" s="276">
        <v>25</v>
      </c>
      <c r="AI25" s="279">
        <v>174.28619999999998</v>
      </c>
      <c r="AJ25" s="256">
        <v>2</v>
      </c>
      <c r="AK25" s="279">
        <v>29.047699999999999</v>
      </c>
      <c r="AL25" s="257">
        <v>0.7</v>
      </c>
      <c r="AM25" s="257">
        <v>0</v>
      </c>
      <c r="AN25" s="257">
        <v>0</v>
      </c>
      <c r="AO25" s="257">
        <v>0.3</v>
      </c>
      <c r="AQ25" s="255">
        <v>48</v>
      </c>
      <c r="AR25" s="255">
        <v>96</v>
      </c>
      <c r="AS25" s="256">
        <v>2</v>
      </c>
      <c r="AT25" s="256">
        <v>22.400000000000002</v>
      </c>
      <c r="AU25" s="257">
        <v>0</v>
      </c>
      <c r="AV25" s="257">
        <v>0</v>
      </c>
      <c r="AW25" s="257">
        <v>0</v>
      </c>
      <c r="AX25" s="257">
        <v>1</v>
      </c>
    </row>
    <row r="26" spans="1:50" x14ac:dyDescent="0.25">
      <c r="A26" s="255">
        <v>56</v>
      </c>
      <c r="B26" s="255">
        <v>138</v>
      </c>
      <c r="C26" s="256">
        <v>3</v>
      </c>
      <c r="D26" s="256">
        <v>36</v>
      </c>
      <c r="E26" s="257">
        <v>0</v>
      </c>
      <c r="F26" s="257">
        <v>0</v>
      </c>
      <c r="G26" s="257">
        <v>0</v>
      </c>
      <c r="H26" s="257">
        <v>1</v>
      </c>
      <c r="L26" s="276">
        <v>30</v>
      </c>
      <c r="M26" s="276">
        <v>421</v>
      </c>
      <c r="N26" s="256">
        <v>2</v>
      </c>
      <c r="O26" s="276">
        <v>54</v>
      </c>
      <c r="P26" s="257">
        <v>0.7</v>
      </c>
      <c r="Q26" s="257">
        <f>0.3*0.56</f>
        <v>0.16800000000000001</v>
      </c>
      <c r="R26" s="257">
        <f>0.3*0.44</f>
        <v>0.13200000000000001</v>
      </c>
      <c r="S26" s="257">
        <v>0</v>
      </c>
      <c r="W26" s="276">
        <v>40</v>
      </c>
      <c r="X26" s="279">
        <v>201.30555555555554</v>
      </c>
      <c r="Y26" s="279">
        <v>164</v>
      </c>
      <c r="Z26" s="256">
        <v>3</v>
      </c>
      <c r="AA26" s="279">
        <v>37.305555555555557</v>
      </c>
      <c r="AB26" s="257">
        <v>0.7</v>
      </c>
      <c r="AC26" s="257">
        <v>0.16800000000000001</v>
      </c>
      <c r="AD26" s="257">
        <v>0.13200000000000001</v>
      </c>
      <c r="AE26" s="257">
        <v>0</v>
      </c>
      <c r="AH26" s="276">
        <v>35</v>
      </c>
      <c r="AI26" s="279">
        <v>264.58570000000003</v>
      </c>
      <c r="AJ26" s="256">
        <v>3</v>
      </c>
      <c r="AK26" s="279">
        <v>44.097616666666674</v>
      </c>
      <c r="AL26" s="257">
        <v>0.7</v>
      </c>
      <c r="AM26" s="257">
        <v>0</v>
      </c>
      <c r="AN26" s="257">
        <v>0</v>
      </c>
      <c r="AO26" s="257">
        <v>0.3</v>
      </c>
      <c r="AQ26" s="255">
        <v>56</v>
      </c>
      <c r="AR26" s="255">
        <v>110.4</v>
      </c>
      <c r="AS26" s="256">
        <v>3</v>
      </c>
      <c r="AT26" s="256">
        <v>28.8</v>
      </c>
      <c r="AU26" s="257">
        <v>0</v>
      </c>
      <c r="AV26" s="257">
        <v>0</v>
      </c>
      <c r="AW26" s="257">
        <v>0</v>
      </c>
      <c r="AX26" s="257">
        <v>1</v>
      </c>
    </row>
    <row r="27" spans="1:50" x14ac:dyDescent="0.25">
      <c r="A27" s="255">
        <v>64</v>
      </c>
      <c r="B27" s="255">
        <v>155</v>
      </c>
      <c r="C27" s="256">
        <v>4</v>
      </c>
      <c r="D27" s="256">
        <v>41</v>
      </c>
      <c r="E27" s="257">
        <v>0.7</v>
      </c>
      <c r="F27" s="257">
        <v>0</v>
      </c>
      <c r="G27" s="257">
        <v>0</v>
      </c>
      <c r="H27" s="257">
        <v>0.3</v>
      </c>
      <c r="L27" s="276">
        <v>35</v>
      </c>
      <c r="M27" s="276">
        <v>505</v>
      </c>
      <c r="N27" s="256">
        <v>3</v>
      </c>
      <c r="O27" s="276">
        <v>69</v>
      </c>
      <c r="P27" s="257">
        <v>0.7</v>
      </c>
      <c r="Q27" s="257">
        <f t="shared" ref="Q27:Q32" si="2">0.3*0.56</f>
        <v>0.16800000000000001</v>
      </c>
      <c r="R27" s="257">
        <f t="shared" ref="R27:R32" si="3">0.3*0.44</f>
        <v>0.13200000000000001</v>
      </c>
      <c r="S27" s="257">
        <v>0</v>
      </c>
      <c r="W27" s="276">
        <v>50</v>
      </c>
      <c r="X27" s="279">
        <v>233.11574074074076</v>
      </c>
      <c r="Y27" s="279">
        <v>186</v>
      </c>
      <c r="Z27" s="256">
        <v>4</v>
      </c>
      <c r="AA27" s="279">
        <v>47.115740740740748</v>
      </c>
      <c r="AB27" s="257">
        <v>0.7</v>
      </c>
      <c r="AC27" s="257">
        <v>0.16800000000000001</v>
      </c>
      <c r="AD27" s="257">
        <v>0.13200000000000001</v>
      </c>
      <c r="AE27" s="257">
        <v>0</v>
      </c>
      <c r="AH27" s="276">
        <v>45</v>
      </c>
      <c r="AI27" s="279">
        <v>364.55528333333342</v>
      </c>
      <c r="AJ27" s="256">
        <v>4</v>
      </c>
      <c r="AK27" s="279">
        <v>60.759213888888908</v>
      </c>
      <c r="AL27" s="257">
        <v>0.9</v>
      </c>
      <c r="AM27" s="257">
        <v>0</v>
      </c>
      <c r="AN27" s="257">
        <v>0</v>
      </c>
      <c r="AO27" s="257">
        <v>0.1</v>
      </c>
      <c r="AQ27" s="255">
        <v>64</v>
      </c>
      <c r="AR27" s="255">
        <v>124</v>
      </c>
      <c r="AS27" s="256">
        <v>4</v>
      </c>
      <c r="AT27" s="256">
        <v>32.800000000000004</v>
      </c>
      <c r="AU27" s="257">
        <v>0.7</v>
      </c>
      <c r="AV27" s="257">
        <v>0</v>
      </c>
      <c r="AW27" s="257">
        <v>0</v>
      </c>
      <c r="AX27" s="257">
        <v>0.3</v>
      </c>
    </row>
    <row r="28" spans="1:50" x14ac:dyDescent="0.25">
      <c r="A28" s="255">
        <v>72</v>
      </c>
      <c r="B28" s="255">
        <v>160</v>
      </c>
      <c r="C28" s="256">
        <v>5</v>
      </c>
      <c r="D28" s="256">
        <v>32</v>
      </c>
      <c r="E28" s="257">
        <v>0.7</v>
      </c>
      <c r="F28" s="257">
        <v>0</v>
      </c>
      <c r="G28" s="257">
        <v>0</v>
      </c>
      <c r="H28" s="257">
        <v>0.3</v>
      </c>
      <c r="L28" s="276">
        <v>40</v>
      </c>
      <c r="M28" s="276">
        <v>564</v>
      </c>
      <c r="N28" s="256">
        <v>4</v>
      </c>
      <c r="O28" s="276">
        <v>72</v>
      </c>
      <c r="P28" s="257">
        <v>0.7</v>
      </c>
      <c r="Q28" s="257">
        <f t="shared" si="2"/>
        <v>0.16800000000000001</v>
      </c>
      <c r="R28" s="257">
        <f t="shared" si="3"/>
        <v>0.13200000000000001</v>
      </c>
      <c r="S28" s="257">
        <v>0</v>
      </c>
      <c r="W28" s="276">
        <v>60</v>
      </c>
      <c r="X28" s="279">
        <v>266</v>
      </c>
      <c r="Y28" s="279">
        <v>221</v>
      </c>
      <c r="Z28" s="256">
        <v>5</v>
      </c>
      <c r="AA28" s="279">
        <v>45</v>
      </c>
      <c r="AB28" s="257">
        <v>0.7</v>
      </c>
      <c r="AC28" s="257">
        <v>0.16800000000000001</v>
      </c>
      <c r="AD28" s="257">
        <v>0.13200000000000001</v>
      </c>
      <c r="AE28" s="257">
        <v>0</v>
      </c>
      <c r="AH28" s="276">
        <v>55</v>
      </c>
      <c r="AI28" s="279">
        <v>468.51506944444446</v>
      </c>
      <c r="AJ28" s="256" t="s">
        <v>324</v>
      </c>
      <c r="AK28" s="279">
        <v>468.51506944444446</v>
      </c>
      <c r="AL28" s="257">
        <v>0.9</v>
      </c>
      <c r="AM28" s="257">
        <v>0</v>
      </c>
      <c r="AN28" s="257">
        <v>0</v>
      </c>
      <c r="AO28" s="257">
        <v>0.1</v>
      </c>
      <c r="AQ28" s="255">
        <v>72</v>
      </c>
      <c r="AR28" s="255">
        <v>128</v>
      </c>
      <c r="AS28" s="256">
        <v>5</v>
      </c>
      <c r="AT28" s="256">
        <v>25.6</v>
      </c>
      <c r="AU28" s="257">
        <v>0.7</v>
      </c>
      <c r="AV28" s="257">
        <v>0</v>
      </c>
      <c r="AW28" s="257">
        <v>0</v>
      </c>
      <c r="AX28" s="257">
        <v>0.3</v>
      </c>
    </row>
    <row r="29" spans="1:50" x14ac:dyDescent="0.25">
      <c r="A29" s="255">
        <v>81</v>
      </c>
      <c r="B29" s="255">
        <v>172</v>
      </c>
      <c r="C29" s="256">
        <v>6</v>
      </c>
      <c r="D29" s="256">
        <v>31</v>
      </c>
      <c r="E29" s="257">
        <v>0.7</v>
      </c>
      <c r="F29" s="257">
        <v>0</v>
      </c>
      <c r="G29" s="257">
        <v>0</v>
      </c>
      <c r="H29" s="257">
        <v>0.3</v>
      </c>
      <c r="L29" s="276">
        <v>45</v>
      </c>
      <c r="M29" s="276">
        <v>606</v>
      </c>
      <c r="N29" s="256">
        <v>5</v>
      </c>
      <c r="O29" s="276">
        <v>66</v>
      </c>
      <c r="P29" s="257">
        <v>0.7</v>
      </c>
      <c r="Q29" s="257">
        <f t="shared" si="2"/>
        <v>0.16800000000000001</v>
      </c>
      <c r="R29" s="257">
        <f t="shared" si="3"/>
        <v>0.13200000000000001</v>
      </c>
      <c r="S29" s="257">
        <v>0</v>
      </c>
      <c r="W29" s="276">
        <v>70</v>
      </c>
      <c r="X29" s="279">
        <v>296</v>
      </c>
      <c r="Y29" s="279">
        <v>251</v>
      </c>
      <c r="Z29" s="256">
        <v>6</v>
      </c>
      <c r="AA29" s="279">
        <v>45</v>
      </c>
      <c r="AB29" s="257">
        <v>0.7</v>
      </c>
      <c r="AC29" s="257">
        <v>0.16800000000000001</v>
      </c>
      <c r="AD29" s="257">
        <v>0.13200000000000001</v>
      </c>
      <c r="AE29" s="257">
        <v>0</v>
      </c>
      <c r="AH29" s="282"/>
      <c r="AI29" s="282"/>
      <c r="AJ29" s="283"/>
      <c r="AK29" s="283"/>
      <c r="AL29" s="282"/>
      <c r="AM29" s="282"/>
      <c r="AN29" s="282"/>
      <c r="AO29" s="282"/>
      <c r="AQ29" s="255">
        <v>81</v>
      </c>
      <c r="AR29" s="255">
        <v>137.6</v>
      </c>
      <c r="AS29" s="256">
        <v>6</v>
      </c>
      <c r="AT29" s="256">
        <v>24.8</v>
      </c>
      <c r="AU29" s="257">
        <v>0.7</v>
      </c>
      <c r="AV29" s="257">
        <v>0</v>
      </c>
      <c r="AW29" s="257">
        <v>0</v>
      </c>
      <c r="AX29" s="257">
        <v>0.3</v>
      </c>
    </row>
    <row r="30" spans="1:50" x14ac:dyDescent="0.25">
      <c r="A30" s="255">
        <v>90</v>
      </c>
      <c r="B30" s="255">
        <v>184</v>
      </c>
      <c r="C30" s="256">
        <v>7</v>
      </c>
      <c r="D30" s="256">
        <v>30</v>
      </c>
      <c r="E30" s="257">
        <v>0.7</v>
      </c>
      <c r="F30" s="257">
        <v>0</v>
      </c>
      <c r="G30" s="257">
        <v>0</v>
      </c>
      <c r="H30" s="257">
        <v>0.3</v>
      </c>
      <c r="L30" s="276">
        <v>50</v>
      </c>
      <c r="M30" s="276">
        <v>629</v>
      </c>
      <c r="N30" s="256">
        <v>6</v>
      </c>
      <c r="O30" s="276">
        <v>48</v>
      </c>
      <c r="P30" s="257">
        <v>0.7</v>
      </c>
      <c r="Q30" s="257">
        <f t="shared" si="2"/>
        <v>0.16800000000000001</v>
      </c>
      <c r="R30" s="257">
        <f t="shared" si="3"/>
        <v>0.13200000000000001</v>
      </c>
      <c r="S30" s="257">
        <v>0</v>
      </c>
      <c r="W30" s="276">
        <v>80</v>
      </c>
      <c r="X30" s="279">
        <v>340</v>
      </c>
      <c r="Y30" s="279">
        <v>290</v>
      </c>
      <c r="Z30" s="256">
        <v>7</v>
      </c>
      <c r="AA30" s="279">
        <v>50</v>
      </c>
      <c r="AB30" s="257">
        <v>0.7</v>
      </c>
      <c r="AC30" s="257">
        <v>0.16800000000000001</v>
      </c>
      <c r="AD30" s="257">
        <v>0.13200000000000001</v>
      </c>
      <c r="AE30" s="257">
        <v>0</v>
      </c>
      <c r="AQ30" s="255">
        <v>90</v>
      </c>
      <c r="AR30" s="255">
        <v>147.20000000000002</v>
      </c>
      <c r="AS30" s="256">
        <v>7</v>
      </c>
      <c r="AT30" s="256">
        <v>24</v>
      </c>
      <c r="AU30" s="257">
        <v>0.7</v>
      </c>
      <c r="AV30" s="257">
        <v>0</v>
      </c>
      <c r="AW30" s="257">
        <v>0</v>
      </c>
      <c r="AX30" s="257">
        <v>0.3</v>
      </c>
    </row>
    <row r="31" spans="1:50" x14ac:dyDescent="0.25">
      <c r="A31" s="255">
        <v>102</v>
      </c>
      <c r="B31" s="255">
        <v>211</v>
      </c>
      <c r="C31" s="256">
        <v>8</v>
      </c>
      <c r="D31" s="256">
        <v>41</v>
      </c>
      <c r="E31" s="257">
        <v>0.9</v>
      </c>
      <c r="F31" s="257">
        <v>0</v>
      </c>
      <c r="G31" s="257">
        <v>0</v>
      </c>
      <c r="H31" s="257">
        <v>0.1</v>
      </c>
      <c r="L31" s="276">
        <v>55</v>
      </c>
      <c r="M31" s="276">
        <v>650</v>
      </c>
      <c r="N31" s="256">
        <v>7</v>
      </c>
      <c r="O31" s="276">
        <v>35</v>
      </c>
      <c r="P31" s="257">
        <v>0.7</v>
      </c>
      <c r="Q31" s="257">
        <f t="shared" si="2"/>
        <v>0.16800000000000001</v>
      </c>
      <c r="R31" s="257">
        <f t="shared" si="3"/>
        <v>0.13200000000000001</v>
      </c>
      <c r="S31" s="257">
        <v>0</v>
      </c>
      <c r="W31" s="276">
        <v>90</v>
      </c>
      <c r="X31" s="279">
        <v>370</v>
      </c>
      <c r="Y31" s="279">
        <v>310</v>
      </c>
      <c r="Z31" s="256">
        <v>8</v>
      </c>
      <c r="AA31" s="279">
        <v>60</v>
      </c>
      <c r="AB31" s="257">
        <v>0.7</v>
      </c>
      <c r="AC31" s="257">
        <v>0.16800000000000001</v>
      </c>
      <c r="AD31" s="257">
        <v>0.13200000000000001</v>
      </c>
      <c r="AE31" s="257">
        <v>0</v>
      </c>
      <c r="AQ31" s="255">
        <v>102</v>
      </c>
      <c r="AR31" s="255">
        <v>168.8</v>
      </c>
      <c r="AS31" s="256">
        <v>8</v>
      </c>
      <c r="AT31" s="256">
        <v>32.800000000000004</v>
      </c>
      <c r="AU31" s="257">
        <v>0.9</v>
      </c>
      <c r="AV31" s="257">
        <v>0</v>
      </c>
      <c r="AW31" s="257">
        <v>0</v>
      </c>
      <c r="AX31" s="257">
        <v>0.1</v>
      </c>
    </row>
    <row r="32" spans="1:50" x14ac:dyDescent="0.25">
      <c r="A32" s="255">
        <v>114</v>
      </c>
      <c r="B32" s="255">
        <v>225</v>
      </c>
      <c r="C32" s="256">
        <v>9</v>
      </c>
      <c r="D32" s="256">
        <v>37</v>
      </c>
      <c r="E32" s="257">
        <v>0.9</v>
      </c>
      <c r="F32" s="257">
        <v>0</v>
      </c>
      <c r="G32" s="257">
        <v>0</v>
      </c>
      <c r="H32" s="257">
        <v>0.1</v>
      </c>
      <c r="L32" s="276">
        <v>60</v>
      </c>
      <c r="M32" s="276">
        <v>666</v>
      </c>
      <c r="N32" s="256" t="s">
        <v>324</v>
      </c>
      <c r="O32" s="276">
        <f>637+29</f>
        <v>666</v>
      </c>
      <c r="P32" s="257">
        <v>0.7</v>
      </c>
      <c r="Q32" s="257">
        <f t="shared" si="2"/>
        <v>0.16800000000000001</v>
      </c>
      <c r="R32" s="257">
        <f t="shared" si="3"/>
        <v>0.13200000000000001</v>
      </c>
      <c r="S32" s="257">
        <v>0</v>
      </c>
      <c r="W32" s="276">
        <v>100</v>
      </c>
      <c r="X32" s="279">
        <v>384.41203703703701</v>
      </c>
      <c r="Y32" s="279">
        <v>0</v>
      </c>
      <c r="Z32" s="256" t="s">
        <v>324</v>
      </c>
      <c r="AA32" s="279">
        <f>X32</f>
        <v>384.41203703703701</v>
      </c>
      <c r="AB32" s="257">
        <v>0.7</v>
      </c>
      <c r="AC32" s="257">
        <v>0.16800000000000001</v>
      </c>
      <c r="AD32" s="257">
        <v>0.13200000000000001</v>
      </c>
      <c r="AE32" s="257">
        <v>0</v>
      </c>
      <c r="AQ32" s="255">
        <v>114</v>
      </c>
      <c r="AR32" s="255">
        <v>180</v>
      </c>
      <c r="AS32" s="256">
        <v>9</v>
      </c>
      <c r="AT32" s="256">
        <v>29.6</v>
      </c>
      <c r="AU32" s="257">
        <v>0.9</v>
      </c>
      <c r="AV32" s="257">
        <v>0</v>
      </c>
      <c r="AW32" s="257">
        <v>0</v>
      </c>
      <c r="AX32" s="257">
        <v>0.1</v>
      </c>
    </row>
    <row r="33" spans="1:50" x14ac:dyDescent="0.25">
      <c r="A33" s="255">
        <v>126</v>
      </c>
      <c r="B33" s="255">
        <v>243</v>
      </c>
      <c r="C33" s="256">
        <v>10</v>
      </c>
      <c r="D33" s="256">
        <v>38</v>
      </c>
      <c r="E33" s="257">
        <v>0.9</v>
      </c>
      <c r="F33" s="257">
        <v>0</v>
      </c>
      <c r="G33" s="257">
        <v>0</v>
      </c>
      <c r="H33" s="257">
        <v>0.1</v>
      </c>
      <c r="AQ33" s="255">
        <v>126</v>
      </c>
      <c r="AR33" s="255">
        <v>194.4</v>
      </c>
      <c r="AS33" s="256">
        <v>10</v>
      </c>
      <c r="AT33" s="256">
        <v>30.400000000000002</v>
      </c>
      <c r="AU33" s="257">
        <v>0.9</v>
      </c>
      <c r="AV33" s="257">
        <v>0</v>
      </c>
      <c r="AW33" s="257">
        <v>0</v>
      </c>
      <c r="AX33" s="257">
        <v>0.1</v>
      </c>
    </row>
    <row r="34" spans="1:50" x14ac:dyDescent="0.25">
      <c r="A34" s="255">
        <v>138</v>
      </c>
      <c r="B34" s="255">
        <v>262</v>
      </c>
      <c r="C34" s="256">
        <v>11</v>
      </c>
      <c r="D34" s="256">
        <v>39</v>
      </c>
      <c r="E34" s="257">
        <v>0.9</v>
      </c>
      <c r="F34" s="257">
        <v>0</v>
      </c>
      <c r="G34" s="257">
        <v>0</v>
      </c>
      <c r="H34" s="257">
        <v>0.1</v>
      </c>
      <c r="AQ34" s="255">
        <v>138</v>
      </c>
      <c r="AR34" s="255">
        <v>209.60000000000002</v>
      </c>
      <c r="AS34" s="256">
        <v>11</v>
      </c>
      <c r="AT34" s="256">
        <v>31.200000000000003</v>
      </c>
      <c r="AU34" s="257">
        <v>0.9</v>
      </c>
      <c r="AV34" s="257">
        <v>0</v>
      </c>
      <c r="AW34" s="257">
        <v>0</v>
      </c>
      <c r="AX34" s="257">
        <v>0.1</v>
      </c>
    </row>
    <row r="35" spans="1:50" x14ac:dyDescent="0.25">
      <c r="A35" s="255">
        <v>153</v>
      </c>
      <c r="B35" s="255">
        <v>296</v>
      </c>
      <c r="C35" s="256" t="s">
        <v>324</v>
      </c>
      <c r="D35" s="256">
        <v>296</v>
      </c>
      <c r="E35" s="257">
        <v>0.9</v>
      </c>
      <c r="F35" s="257">
        <v>0</v>
      </c>
      <c r="G35" s="257">
        <v>0</v>
      </c>
      <c r="H35" s="257">
        <v>0.1</v>
      </c>
      <c r="AQ35" s="255">
        <v>153</v>
      </c>
      <c r="AR35" s="255">
        <v>236.8</v>
      </c>
      <c r="AS35" s="256" t="s">
        <v>324</v>
      </c>
      <c r="AT35" s="256">
        <v>236.8</v>
      </c>
      <c r="AU35" s="257">
        <v>0.9</v>
      </c>
      <c r="AV35" s="257">
        <v>0</v>
      </c>
      <c r="AW35" s="257">
        <v>0</v>
      </c>
      <c r="AX35" s="257">
        <v>0.1</v>
      </c>
    </row>
    <row r="37" spans="1:50" x14ac:dyDescent="0.25">
      <c r="A37" s="261" t="s">
        <v>342</v>
      </c>
      <c r="L37" s="261" t="s">
        <v>342</v>
      </c>
      <c r="AH37" s="261" t="s">
        <v>342</v>
      </c>
      <c r="AQ37" s="261" t="s">
        <v>342</v>
      </c>
    </row>
    <row r="38" spans="1:50" x14ac:dyDescent="0.25">
      <c r="A38" s="267"/>
      <c r="B38" s="268" t="s">
        <v>185</v>
      </c>
      <c r="C38" s="316" t="s">
        <v>186</v>
      </c>
      <c r="D38" s="317"/>
      <c r="E38" s="318" t="s">
        <v>187</v>
      </c>
      <c r="F38" s="319"/>
      <c r="G38" s="319"/>
      <c r="H38" s="320"/>
      <c r="L38" s="267"/>
      <c r="M38" s="268" t="s">
        <v>185</v>
      </c>
      <c r="N38" s="269" t="s">
        <v>186</v>
      </c>
      <c r="O38" s="270"/>
      <c r="P38" s="271" t="s">
        <v>187</v>
      </c>
      <c r="Q38" s="272"/>
      <c r="R38" s="272"/>
      <c r="S38" s="273"/>
      <c r="AH38" s="267"/>
      <c r="AI38" s="268" t="s">
        <v>185</v>
      </c>
      <c r="AJ38" s="269" t="s">
        <v>186</v>
      </c>
      <c r="AK38" s="270"/>
      <c r="AL38" s="271" t="s">
        <v>187</v>
      </c>
      <c r="AM38" s="272"/>
      <c r="AN38" s="272"/>
      <c r="AO38" s="273"/>
      <c r="AQ38" s="267"/>
      <c r="AR38" s="268" t="s">
        <v>185</v>
      </c>
      <c r="AS38" s="316" t="s">
        <v>186</v>
      </c>
      <c r="AT38" s="317"/>
      <c r="AU38" s="318" t="s">
        <v>187</v>
      </c>
      <c r="AV38" s="319"/>
      <c r="AW38" s="319"/>
      <c r="AX38" s="320"/>
    </row>
    <row r="39" spans="1:50" ht="75" x14ac:dyDescent="0.25">
      <c r="A39" s="274" t="s">
        <v>180</v>
      </c>
      <c r="B39" s="275" t="s">
        <v>338</v>
      </c>
      <c r="C39" s="275" t="s">
        <v>188</v>
      </c>
      <c r="D39" s="275" t="s">
        <v>251</v>
      </c>
      <c r="E39" s="274" t="s">
        <v>183</v>
      </c>
      <c r="F39" s="274" t="s">
        <v>181</v>
      </c>
      <c r="G39" s="274" t="s">
        <v>184</v>
      </c>
      <c r="H39" s="274" t="s">
        <v>182</v>
      </c>
      <c r="L39" s="274" t="s">
        <v>180</v>
      </c>
      <c r="M39" s="275" t="s">
        <v>338</v>
      </c>
      <c r="N39" s="275" t="s">
        <v>188</v>
      </c>
      <c r="O39" s="275" t="s">
        <v>251</v>
      </c>
      <c r="P39" s="274" t="s">
        <v>183</v>
      </c>
      <c r="Q39" s="274" t="s">
        <v>181</v>
      </c>
      <c r="R39" s="274" t="s">
        <v>184</v>
      </c>
      <c r="S39" s="274" t="s">
        <v>182</v>
      </c>
      <c r="AH39" s="274" t="s">
        <v>180</v>
      </c>
      <c r="AI39" s="275" t="s">
        <v>338</v>
      </c>
      <c r="AJ39" s="275" t="s">
        <v>188</v>
      </c>
      <c r="AK39" s="275" t="s">
        <v>251</v>
      </c>
      <c r="AL39" s="274" t="s">
        <v>183</v>
      </c>
      <c r="AM39" s="274" t="s">
        <v>181</v>
      </c>
      <c r="AN39" s="274" t="s">
        <v>184</v>
      </c>
      <c r="AO39" s="274" t="s">
        <v>182</v>
      </c>
      <c r="AQ39" s="274" t="s">
        <v>180</v>
      </c>
      <c r="AR39" s="275" t="s">
        <v>338</v>
      </c>
      <c r="AS39" s="275" t="s">
        <v>188</v>
      </c>
      <c r="AT39" s="275" t="s">
        <v>251</v>
      </c>
      <c r="AU39" s="274" t="s">
        <v>183</v>
      </c>
      <c r="AV39" s="274" t="s">
        <v>181</v>
      </c>
      <c r="AW39" s="274" t="s">
        <v>184</v>
      </c>
      <c r="AX39" s="274" t="s">
        <v>182</v>
      </c>
    </row>
    <row r="40" spans="1:50" x14ac:dyDescent="0.25">
      <c r="A40" s="255">
        <v>56</v>
      </c>
      <c r="B40" s="255">
        <v>112</v>
      </c>
      <c r="C40" s="256">
        <v>1</v>
      </c>
      <c r="D40" s="256">
        <v>33</v>
      </c>
      <c r="E40" s="257">
        <v>0</v>
      </c>
      <c r="F40" s="257">
        <v>0</v>
      </c>
      <c r="G40" s="257">
        <v>0</v>
      </c>
      <c r="H40" s="257">
        <v>1</v>
      </c>
      <c r="L40" s="276">
        <v>23</v>
      </c>
      <c r="M40" s="276">
        <v>162</v>
      </c>
      <c r="O40" s="278">
        <v>0</v>
      </c>
      <c r="P40" s="257">
        <v>0</v>
      </c>
      <c r="Q40" s="257">
        <f>0.56</f>
        <v>0.56000000000000005</v>
      </c>
      <c r="R40" s="257">
        <f>0.44</f>
        <v>0.44</v>
      </c>
      <c r="S40" s="257">
        <v>0</v>
      </c>
      <c r="AH40" s="276">
        <v>15</v>
      </c>
      <c r="AI40" s="279">
        <v>87.663000000000011</v>
      </c>
      <c r="AJ40" s="256">
        <v>1</v>
      </c>
      <c r="AK40" s="279">
        <v>20</v>
      </c>
      <c r="AL40" s="257">
        <v>0</v>
      </c>
      <c r="AM40" s="257">
        <v>0</v>
      </c>
      <c r="AN40" s="257">
        <v>0</v>
      </c>
      <c r="AO40" s="257">
        <v>1</v>
      </c>
      <c r="AQ40" s="255">
        <v>56</v>
      </c>
      <c r="AR40" s="255">
        <v>89.6</v>
      </c>
      <c r="AS40" s="256">
        <v>1</v>
      </c>
      <c r="AT40" s="256">
        <v>26.400000000000002</v>
      </c>
      <c r="AU40" s="257">
        <v>0</v>
      </c>
      <c r="AV40" s="257">
        <v>0</v>
      </c>
      <c r="AW40" s="257">
        <v>0</v>
      </c>
      <c r="AX40" s="257">
        <v>1</v>
      </c>
    </row>
    <row r="41" spans="1:50" x14ac:dyDescent="0.25">
      <c r="A41" s="255">
        <v>64</v>
      </c>
      <c r="B41" s="255">
        <v>119</v>
      </c>
      <c r="C41" s="256">
        <v>2</v>
      </c>
      <c r="D41" s="256">
        <v>34</v>
      </c>
      <c r="E41" s="257">
        <v>0</v>
      </c>
      <c r="F41" s="257">
        <v>0</v>
      </c>
      <c r="G41" s="257">
        <v>0</v>
      </c>
      <c r="H41" s="257">
        <v>1</v>
      </c>
      <c r="L41" s="276">
        <v>25</v>
      </c>
      <c r="M41" s="276">
        <v>218</v>
      </c>
      <c r="N41" s="256">
        <v>1</v>
      </c>
      <c r="O41" s="276">
        <v>14</v>
      </c>
      <c r="P41" s="257">
        <v>0</v>
      </c>
      <c r="Q41" s="257">
        <f>0.56</f>
        <v>0.56000000000000005</v>
      </c>
      <c r="R41" s="257">
        <v>0.44</v>
      </c>
      <c r="S41" s="257">
        <v>0</v>
      </c>
      <c r="AH41" s="276">
        <v>25</v>
      </c>
      <c r="AI41" s="279">
        <v>147.07340000000005</v>
      </c>
      <c r="AJ41" s="256">
        <v>2</v>
      </c>
      <c r="AK41" s="279">
        <v>24.512233333333342</v>
      </c>
      <c r="AL41" s="257">
        <v>0.7</v>
      </c>
      <c r="AM41" s="257">
        <v>0</v>
      </c>
      <c r="AN41" s="257">
        <v>0</v>
      </c>
      <c r="AO41" s="257">
        <v>0.3</v>
      </c>
      <c r="AQ41" s="255">
        <v>64</v>
      </c>
      <c r="AR41" s="255">
        <v>95.2</v>
      </c>
      <c r="AS41" s="256">
        <v>2</v>
      </c>
      <c r="AT41" s="256">
        <v>27.200000000000003</v>
      </c>
      <c r="AU41" s="257">
        <v>0</v>
      </c>
      <c r="AV41" s="257">
        <v>0</v>
      </c>
      <c r="AW41" s="257">
        <v>0</v>
      </c>
      <c r="AX41" s="257">
        <v>1</v>
      </c>
    </row>
    <row r="42" spans="1:50" x14ac:dyDescent="0.25">
      <c r="A42" s="255">
        <v>72</v>
      </c>
      <c r="B42" s="255">
        <v>119</v>
      </c>
      <c r="C42" s="256">
        <v>3</v>
      </c>
      <c r="D42" s="256">
        <v>28</v>
      </c>
      <c r="E42" s="257">
        <v>0</v>
      </c>
      <c r="F42" s="257">
        <v>0</v>
      </c>
      <c r="G42" s="257">
        <v>0</v>
      </c>
      <c r="H42" s="257">
        <v>1</v>
      </c>
      <c r="L42" s="276">
        <v>30</v>
      </c>
      <c r="M42" s="276">
        <v>328</v>
      </c>
      <c r="N42" s="256">
        <v>2</v>
      </c>
      <c r="O42" s="276">
        <v>42</v>
      </c>
      <c r="P42" s="257">
        <v>0.7</v>
      </c>
      <c r="Q42" s="257">
        <f>0.3*0.56</f>
        <v>0.16800000000000001</v>
      </c>
      <c r="R42" s="257">
        <f>0.3*0.44</f>
        <v>0.13200000000000001</v>
      </c>
      <c r="S42" s="257">
        <v>0</v>
      </c>
      <c r="AH42" s="276">
        <v>35</v>
      </c>
      <c r="AI42" s="279">
        <v>222.19556666666676</v>
      </c>
      <c r="AJ42" s="256">
        <v>3</v>
      </c>
      <c r="AK42" s="279">
        <v>37.032594444444463</v>
      </c>
      <c r="AL42" s="257">
        <v>0.7</v>
      </c>
      <c r="AM42" s="257">
        <v>0</v>
      </c>
      <c r="AN42" s="257">
        <v>0</v>
      </c>
      <c r="AO42" s="257">
        <v>0.3</v>
      </c>
      <c r="AQ42" s="255">
        <v>72</v>
      </c>
      <c r="AR42" s="255">
        <v>95.2</v>
      </c>
      <c r="AS42" s="256">
        <v>3</v>
      </c>
      <c r="AT42" s="256">
        <v>22.400000000000002</v>
      </c>
      <c r="AU42" s="257">
        <v>0</v>
      </c>
      <c r="AV42" s="257">
        <v>0</v>
      </c>
      <c r="AW42" s="257">
        <v>0</v>
      </c>
      <c r="AX42" s="257">
        <v>1</v>
      </c>
    </row>
    <row r="43" spans="1:50" x14ac:dyDescent="0.25">
      <c r="A43" s="255">
        <v>81</v>
      </c>
      <c r="B43" s="255">
        <v>122</v>
      </c>
      <c r="C43" s="256">
        <v>4</v>
      </c>
      <c r="D43" s="256">
        <v>26</v>
      </c>
      <c r="E43" s="257">
        <v>0.7</v>
      </c>
      <c r="F43" s="257">
        <v>0</v>
      </c>
      <c r="G43" s="257">
        <v>0</v>
      </c>
      <c r="H43" s="257">
        <v>0.3</v>
      </c>
      <c r="L43" s="276">
        <v>35</v>
      </c>
      <c r="M43" s="276">
        <v>410</v>
      </c>
      <c r="N43" s="256">
        <v>3</v>
      </c>
      <c r="O43" s="276">
        <v>49</v>
      </c>
      <c r="P43" s="257">
        <v>0.7</v>
      </c>
      <c r="Q43" s="257">
        <f t="shared" ref="Q43:Q48" si="4">0.3*0.56</f>
        <v>0.16800000000000001</v>
      </c>
      <c r="R43" s="257">
        <f t="shared" ref="R43:R48" si="5">0.3*0.44</f>
        <v>0.13200000000000001</v>
      </c>
      <c r="S43" s="257">
        <v>0</v>
      </c>
      <c r="AH43" s="276">
        <v>45</v>
      </c>
      <c r="AI43" s="279">
        <v>305.02137222222223</v>
      </c>
      <c r="AJ43" s="256">
        <v>4</v>
      </c>
      <c r="AK43" s="279">
        <v>50.836895370370371</v>
      </c>
      <c r="AL43" s="257">
        <v>0.7</v>
      </c>
      <c r="AM43" s="257">
        <v>0</v>
      </c>
      <c r="AN43" s="257">
        <v>0</v>
      </c>
      <c r="AO43" s="257">
        <v>0.3</v>
      </c>
      <c r="AQ43" s="255">
        <v>81</v>
      </c>
      <c r="AR43" s="255">
        <v>97.600000000000009</v>
      </c>
      <c r="AS43" s="256">
        <v>4</v>
      </c>
      <c r="AT43" s="256">
        <v>20.8</v>
      </c>
      <c r="AU43" s="257">
        <v>0.7</v>
      </c>
      <c r="AV43" s="257">
        <v>0</v>
      </c>
      <c r="AW43" s="257">
        <v>0</v>
      </c>
      <c r="AX43" s="257">
        <v>0.3</v>
      </c>
    </row>
    <row r="44" spans="1:50" x14ac:dyDescent="0.25">
      <c r="A44" s="255">
        <v>90</v>
      </c>
      <c r="B44" s="255">
        <v>125</v>
      </c>
      <c r="C44" s="256">
        <v>5</v>
      </c>
      <c r="D44" s="256">
        <v>22</v>
      </c>
      <c r="E44" s="257">
        <v>0.7</v>
      </c>
      <c r="F44" s="257">
        <v>0</v>
      </c>
      <c r="G44" s="257">
        <v>0</v>
      </c>
      <c r="H44" s="257">
        <v>0.3</v>
      </c>
      <c r="L44" s="276">
        <v>40</v>
      </c>
      <c r="M44" s="276">
        <v>481</v>
      </c>
      <c r="N44" s="256">
        <v>4</v>
      </c>
      <c r="O44" s="276">
        <v>58</v>
      </c>
      <c r="P44" s="257">
        <v>0.7</v>
      </c>
      <c r="Q44" s="257">
        <f t="shared" si="4"/>
        <v>0.16800000000000001</v>
      </c>
      <c r="R44" s="257">
        <f t="shared" si="5"/>
        <v>0.13200000000000001</v>
      </c>
      <c r="S44" s="257">
        <v>0</v>
      </c>
      <c r="AH44" s="276">
        <v>55</v>
      </c>
      <c r="AI44" s="279">
        <v>387.79947685185181</v>
      </c>
      <c r="AJ44" s="256" t="s">
        <v>324</v>
      </c>
      <c r="AK44" s="279">
        <v>387.79947685185181</v>
      </c>
      <c r="AL44" s="257">
        <v>0.9</v>
      </c>
      <c r="AM44" s="257">
        <v>0</v>
      </c>
      <c r="AN44" s="257">
        <v>0</v>
      </c>
      <c r="AO44" s="257">
        <v>0.1</v>
      </c>
      <c r="AQ44" s="255">
        <v>90</v>
      </c>
      <c r="AR44" s="255">
        <v>100</v>
      </c>
      <c r="AS44" s="256">
        <v>5</v>
      </c>
      <c r="AT44" s="256">
        <v>17.600000000000001</v>
      </c>
      <c r="AU44" s="257">
        <v>0.7</v>
      </c>
      <c r="AV44" s="257">
        <v>0</v>
      </c>
      <c r="AW44" s="257">
        <v>0</v>
      </c>
      <c r="AX44" s="257">
        <v>0.3</v>
      </c>
    </row>
    <row r="45" spans="1:50" x14ac:dyDescent="0.25">
      <c r="A45" s="255">
        <v>100</v>
      </c>
      <c r="B45" s="255">
        <v>134</v>
      </c>
      <c r="C45" s="256">
        <v>6</v>
      </c>
      <c r="D45" s="256">
        <v>22</v>
      </c>
      <c r="E45" s="257">
        <v>0.7</v>
      </c>
      <c r="F45" s="257">
        <v>0</v>
      </c>
      <c r="G45" s="257">
        <v>0</v>
      </c>
      <c r="H45" s="257">
        <v>0.3</v>
      </c>
      <c r="L45" s="276">
        <v>45</v>
      </c>
      <c r="M45" s="276">
        <v>526</v>
      </c>
      <c r="N45" s="256">
        <v>5</v>
      </c>
      <c r="O45" s="276">
        <v>57</v>
      </c>
      <c r="P45" s="257">
        <v>0.7</v>
      </c>
      <c r="Q45" s="257">
        <f t="shared" si="4"/>
        <v>0.16800000000000001</v>
      </c>
      <c r="R45" s="257">
        <f t="shared" si="5"/>
        <v>0.13200000000000001</v>
      </c>
      <c r="S45" s="257">
        <v>0</v>
      </c>
      <c r="AQ45" s="255">
        <v>100</v>
      </c>
      <c r="AR45" s="255">
        <v>107.2</v>
      </c>
      <c r="AS45" s="256">
        <v>6</v>
      </c>
      <c r="AT45" s="256">
        <v>17.600000000000001</v>
      </c>
      <c r="AU45" s="257">
        <v>0.7</v>
      </c>
      <c r="AV45" s="257">
        <v>0</v>
      </c>
      <c r="AW45" s="257">
        <v>0</v>
      </c>
      <c r="AX45" s="257">
        <v>0.3</v>
      </c>
    </row>
    <row r="46" spans="1:50" x14ac:dyDescent="0.25">
      <c r="A46" s="255">
        <v>110</v>
      </c>
      <c r="B46" s="255">
        <v>147</v>
      </c>
      <c r="C46" s="256">
        <v>7</v>
      </c>
      <c r="D46" s="256">
        <v>24</v>
      </c>
      <c r="E46" s="257">
        <v>0.7</v>
      </c>
      <c r="F46" s="257">
        <v>0</v>
      </c>
      <c r="G46" s="257">
        <v>0</v>
      </c>
      <c r="H46" s="257">
        <v>0.3</v>
      </c>
      <c r="L46" s="276">
        <v>50</v>
      </c>
      <c r="M46" s="276">
        <v>544</v>
      </c>
      <c r="N46" s="256">
        <v>6</v>
      </c>
      <c r="O46" s="276">
        <v>42</v>
      </c>
      <c r="P46" s="257">
        <v>0.7</v>
      </c>
      <c r="Q46" s="257">
        <f t="shared" si="4"/>
        <v>0.16800000000000001</v>
      </c>
      <c r="R46" s="257">
        <f t="shared" si="5"/>
        <v>0.13200000000000001</v>
      </c>
      <c r="S46" s="257">
        <v>0</v>
      </c>
      <c r="AQ46" s="255">
        <v>110</v>
      </c>
      <c r="AR46" s="255">
        <v>117.60000000000001</v>
      </c>
      <c r="AS46" s="256">
        <v>7</v>
      </c>
      <c r="AT46" s="256">
        <v>19.200000000000003</v>
      </c>
      <c r="AU46" s="257">
        <v>0.7</v>
      </c>
      <c r="AV46" s="257">
        <v>0</v>
      </c>
      <c r="AW46" s="257">
        <v>0</v>
      </c>
      <c r="AX46" s="257">
        <v>0.3</v>
      </c>
    </row>
    <row r="47" spans="1:50" x14ac:dyDescent="0.25">
      <c r="A47" s="255">
        <v>122</v>
      </c>
      <c r="B47" s="255">
        <v>159</v>
      </c>
      <c r="C47" s="256">
        <v>8</v>
      </c>
      <c r="D47" s="256">
        <v>25</v>
      </c>
      <c r="E47" s="257">
        <v>0.9</v>
      </c>
      <c r="F47" s="257">
        <v>0</v>
      </c>
      <c r="G47" s="257">
        <v>0</v>
      </c>
      <c r="H47" s="257">
        <v>0.1</v>
      </c>
      <c r="L47" s="276">
        <v>55</v>
      </c>
      <c r="M47" s="276">
        <v>565</v>
      </c>
      <c r="N47" s="256">
        <v>7</v>
      </c>
      <c r="O47" s="276">
        <v>37</v>
      </c>
      <c r="P47" s="257">
        <v>0.7</v>
      </c>
      <c r="Q47" s="257">
        <f t="shared" si="4"/>
        <v>0.16800000000000001</v>
      </c>
      <c r="R47" s="257">
        <f t="shared" si="5"/>
        <v>0.13200000000000001</v>
      </c>
      <c r="S47" s="257">
        <v>0</v>
      </c>
      <c r="AQ47" s="255">
        <v>122</v>
      </c>
      <c r="AR47" s="255">
        <v>127.2</v>
      </c>
      <c r="AS47" s="256">
        <v>8</v>
      </c>
      <c r="AT47" s="256">
        <v>20</v>
      </c>
      <c r="AU47" s="257">
        <v>0.9</v>
      </c>
      <c r="AV47" s="257">
        <v>0</v>
      </c>
      <c r="AW47" s="257">
        <v>0</v>
      </c>
      <c r="AX47" s="257">
        <v>0.1</v>
      </c>
    </row>
    <row r="48" spans="1:50" x14ac:dyDescent="0.25">
      <c r="A48" s="255">
        <v>134</v>
      </c>
      <c r="B48" s="255">
        <v>171</v>
      </c>
      <c r="C48" s="256">
        <v>9</v>
      </c>
      <c r="D48" s="256">
        <v>26</v>
      </c>
      <c r="E48" s="257">
        <v>0.9</v>
      </c>
      <c r="F48" s="257">
        <v>0</v>
      </c>
      <c r="G48" s="257">
        <v>0</v>
      </c>
      <c r="H48" s="257">
        <v>0.1</v>
      </c>
      <c r="L48" s="276">
        <v>60</v>
      </c>
      <c r="M48" s="276">
        <v>567</v>
      </c>
      <c r="N48" s="256" t="s">
        <v>324</v>
      </c>
      <c r="O48" s="276">
        <f>544+23</f>
        <v>567</v>
      </c>
      <c r="P48" s="257">
        <v>0.7</v>
      </c>
      <c r="Q48" s="257">
        <f t="shared" si="4"/>
        <v>0.16800000000000001</v>
      </c>
      <c r="R48" s="257">
        <f t="shared" si="5"/>
        <v>0.13200000000000001</v>
      </c>
      <c r="S48" s="257">
        <v>0</v>
      </c>
      <c r="AQ48" s="255">
        <v>134</v>
      </c>
      <c r="AR48" s="255">
        <v>136.80000000000001</v>
      </c>
      <c r="AS48" s="256">
        <v>9</v>
      </c>
      <c r="AT48" s="256">
        <v>20.8</v>
      </c>
      <c r="AU48" s="257">
        <v>0.9</v>
      </c>
      <c r="AV48" s="257">
        <v>0</v>
      </c>
      <c r="AW48" s="257">
        <v>0</v>
      </c>
      <c r="AX48" s="257">
        <v>0.1</v>
      </c>
    </row>
    <row r="49" spans="1:50" x14ac:dyDescent="0.25">
      <c r="A49" s="255">
        <v>148</v>
      </c>
      <c r="B49" s="255">
        <v>189</v>
      </c>
      <c r="C49" s="256">
        <v>10</v>
      </c>
      <c r="D49" s="256">
        <v>30</v>
      </c>
      <c r="E49" s="257">
        <v>0.9</v>
      </c>
      <c r="F49" s="257">
        <v>0</v>
      </c>
      <c r="G49" s="257">
        <v>0</v>
      </c>
      <c r="H49" s="257">
        <v>0.1</v>
      </c>
      <c r="AQ49" s="255">
        <v>148</v>
      </c>
      <c r="AR49" s="255">
        <v>151.20000000000002</v>
      </c>
      <c r="AS49" s="256">
        <v>10</v>
      </c>
      <c r="AT49" s="256">
        <v>24</v>
      </c>
      <c r="AU49" s="257">
        <v>0.9</v>
      </c>
      <c r="AV49" s="257">
        <v>0</v>
      </c>
      <c r="AW49" s="257">
        <v>0</v>
      </c>
      <c r="AX49" s="257">
        <v>0.1</v>
      </c>
    </row>
    <row r="50" spans="1:50" x14ac:dyDescent="0.25">
      <c r="A50" s="255">
        <v>162</v>
      </c>
      <c r="B50" s="255">
        <v>212</v>
      </c>
      <c r="C50" s="256">
        <v>11</v>
      </c>
      <c r="D50" s="256">
        <v>37</v>
      </c>
      <c r="E50" s="257">
        <v>0.9</v>
      </c>
      <c r="F50" s="257">
        <v>0</v>
      </c>
      <c r="G50" s="257">
        <v>0</v>
      </c>
      <c r="H50" s="257">
        <v>0.1</v>
      </c>
      <c r="AH50" s="267" t="s">
        <v>343</v>
      </c>
      <c r="AI50" s="268" t="s">
        <v>185</v>
      </c>
      <c r="AJ50" s="269" t="s">
        <v>186</v>
      </c>
      <c r="AK50" s="270"/>
      <c r="AL50" s="271" t="s">
        <v>187</v>
      </c>
      <c r="AM50" s="272"/>
      <c r="AN50" s="272"/>
      <c r="AO50" s="273"/>
      <c r="AQ50" s="255">
        <v>162</v>
      </c>
      <c r="AR50" s="255">
        <v>169.60000000000002</v>
      </c>
      <c r="AS50" s="256">
        <v>11</v>
      </c>
      <c r="AT50" s="256">
        <v>29.6</v>
      </c>
      <c r="AU50" s="257">
        <v>0.9</v>
      </c>
      <c r="AV50" s="257">
        <v>0</v>
      </c>
      <c r="AW50" s="257">
        <v>0</v>
      </c>
      <c r="AX50" s="257">
        <v>0.1</v>
      </c>
    </row>
    <row r="51" spans="1:50" ht="75" x14ac:dyDescent="0.25">
      <c r="A51" s="255">
        <v>177</v>
      </c>
      <c r="B51" s="255">
        <v>230</v>
      </c>
      <c r="C51" s="256" t="s">
        <v>324</v>
      </c>
      <c r="D51" s="256">
        <v>230</v>
      </c>
      <c r="E51" s="257">
        <v>0.9</v>
      </c>
      <c r="F51" s="257">
        <v>0</v>
      </c>
      <c r="G51" s="257">
        <v>0</v>
      </c>
      <c r="H51" s="257">
        <v>0.1</v>
      </c>
      <c r="AH51" s="274" t="s">
        <v>180</v>
      </c>
      <c r="AI51" s="275" t="s">
        <v>338</v>
      </c>
      <c r="AJ51" s="275" t="s">
        <v>188</v>
      </c>
      <c r="AK51" s="275" t="s">
        <v>251</v>
      </c>
      <c r="AL51" s="274" t="s">
        <v>183</v>
      </c>
      <c r="AM51" s="274" t="s">
        <v>181</v>
      </c>
      <c r="AN51" s="274" t="s">
        <v>184</v>
      </c>
      <c r="AO51" s="274" t="s">
        <v>182</v>
      </c>
      <c r="AQ51" s="255">
        <v>177</v>
      </c>
      <c r="AR51" s="255">
        <v>184</v>
      </c>
      <c r="AS51" s="256" t="s">
        <v>324</v>
      </c>
      <c r="AT51" s="256">
        <v>184</v>
      </c>
      <c r="AU51" s="257">
        <v>0.9</v>
      </c>
      <c r="AV51" s="257">
        <v>0</v>
      </c>
      <c r="AW51" s="257">
        <v>0</v>
      </c>
      <c r="AX51" s="257">
        <v>0.1</v>
      </c>
    </row>
    <row r="52" spans="1:50" x14ac:dyDescent="0.25">
      <c r="AH52" s="276">
        <v>15</v>
      </c>
      <c r="AI52" s="279">
        <v>64.884</v>
      </c>
      <c r="AJ52" s="256">
        <v>1</v>
      </c>
      <c r="AK52" s="279">
        <v>10.814</v>
      </c>
      <c r="AL52" s="257">
        <v>0</v>
      </c>
      <c r="AM52" s="257">
        <v>0</v>
      </c>
      <c r="AN52" s="257">
        <v>0</v>
      </c>
      <c r="AO52" s="257">
        <v>1</v>
      </c>
    </row>
    <row r="53" spans="1:50" x14ac:dyDescent="0.25">
      <c r="AH53" s="276">
        <v>25</v>
      </c>
      <c r="AI53" s="279">
        <v>117.38600000000002</v>
      </c>
      <c r="AJ53" s="256">
        <v>2</v>
      </c>
      <c r="AK53" s="279">
        <v>19.564333333333337</v>
      </c>
      <c r="AL53" s="257">
        <v>0.7</v>
      </c>
      <c r="AM53" s="257">
        <v>0</v>
      </c>
      <c r="AN53" s="257">
        <v>0</v>
      </c>
      <c r="AO53" s="257">
        <v>0.3</v>
      </c>
    </row>
    <row r="54" spans="1:50" x14ac:dyDescent="0.25">
      <c r="AH54" s="276">
        <v>35</v>
      </c>
      <c r="AI54" s="279">
        <v>177.18566666666672</v>
      </c>
      <c r="AJ54" s="256">
        <v>3</v>
      </c>
      <c r="AK54" s="279">
        <v>29.530944444444454</v>
      </c>
      <c r="AL54" s="257">
        <v>0.7</v>
      </c>
      <c r="AM54" s="257">
        <v>0</v>
      </c>
      <c r="AN54" s="257">
        <v>0</v>
      </c>
      <c r="AO54" s="257">
        <v>0.3</v>
      </c>
    </row>
    <row r="55" spans="1:50" x14ac:dyDescent="0.25">
      <c r="AH55" s="276">
        <v>45</v>
      </c>
      <c r="AI55" s="279">
        <v>243.06672222222224</v>
      </c>
      <c r="AJ55" s="256">
        <v>4</v>
      </c>
      <c r="AK55" s="279">
        <v>40.511120370370378</v>
      </c>
      <c r="AL55" s="257">
        <v>0.7</v>
      </c>
      <c r="AM55" s="257">
        <v>0</v>
      </c>
      <c r="AN55" s="257">
        <v>0</v>
      </c>
      <c r="AO55" s="257">
        <v>0.3</v>
      </c>
    </row>
    <row r="56" spans="1:50" x14ac:dyDescent="0.25">
      <c r="AH56" s="276">
        <v>55</v>
      </c>
      <c r="AI56" s="279">
        <v>314.0156018518519</v>
      </c>
      <c r="AJ56" s="256" t="s">
        <v>324</v>
      </c>
      <c r="AK56" s="279">
        <v>314.0156018518519</v>
      </c>
      <c r="AL56" s="257">
        <v>0.7</v>
      </c>
      <c r="AM56" s="257">
        <v>0</v>
      </c>
      <c r="AN56" s="257">
        <v>0</v>
      </c>
      <c r="AO56" s="257">
        <v>0.3</v>
      </c>
    </row>
    <row r="57" spans="1:50" x14ac:dyDescent="0.25">
      <c r="AJ57" s="284"/>
      <c r="AL57" s="285"/>
      <c r="AM57" s="285"/>
      <c r="AN57" s="285"/>
      <c r="AO57" s="285"/>
    </row>
    <row r="61" spans="1:50" x14ac:dyDescent="0.25">
      <c r="AH61" s="261" t="s">
        <v>344</v>
      </c>
    </row>
    <row r="62" spans="1:50" x14ac:dyDescent="0.25">
      <c r="AH62" s="267"/>
      <c r="AI62" s="268" t="s">
        <v>185</v>
      </c>
      <c r="AJ62" s="269" t="s">
        <v>186</v>
      </c>
      <c r="AK62" s="270"/>
      <c r="AL62" s="271" t="s">
        <v>187</v>
      </c>
      <c r="AM62" s="272"/>
      <c r="AN62" s="272"/>
      <c r="AO62" s="273"/>
    </row>
    <row r="63" spans="1:50" ht="75" x14ac:dyDescent="0.25">
      <c r="AH63" s="274" t="s">
        <v>180</v>
      </c>
      <c r="AI63" s="275" t="s">
        <v>338</v>
      </c>
      <c r="AJ63" s="275" t="s">
        <v>188</v>
      </c>
      <c r="AK63" s="275" t="s">
        <v>251</v>
      </c>
      <c r="AL63" s="274" t="s">
        <v>183</v>
      </c>
      <c r="AM63" s="274" t="s">
        <v>181</v>
      </c>
      <c r="AN63" s="274" t="s">
        <v>184</v>
      </c>
      <c r="AO63" s="274" t="s">
        <v>182</v>
      </c>
    </row>
    <row r="64" spans="1:50" x14ac:dyDescent="0.25">
      <c r="AH64" s="276">
        <v>15</v>
      </c>
      <c r="AI64" s="279">
        <v>47.592000000000006</v>
      </c>
      <c r="AJ64" s="256">
        <v>1</v>
      </c>
      <c r="AK64" s="279">
        <v>7.9320000000000013</v>
      </c>
      <c r="AL64" s="257">
        <v>0</v>
      </c>
      <c r="AM64" s="257">
        <v>0</v>
      </c>
      <c r="AN64" s="257">
        <v>0</v>
      </c>
      <c r="AO64" s="257">
        <v>1</v>
      </c>
    </row>
    <row r="65" spans="34:41" x14ac:dyDescent="0.25">
      <c r="AH65" s="276">
        <v>25</v>
      </c>
      <c r="AI65" s="279">
        <v>86.968000000000018</v>
      </c>
      <c r="AJ65" s="256">
        <v>2</v>
      </c>
      <c r="AK65" s="279">
        <v>14.494666666666669</v>
      </c>
      <c r="AL65" s="257">
        <v>0.7</v>
      </c>
      <c r="AM65" s="257">
        <v>0</v>
      </c>
      <c r="AN65" s="257">
        <v>0</v>
      </c>
      <c r="AO65" s="257">
        <v>0.3</v>
      </c>
    </row>
    <row r="66" spans="34:41" x14ac:dyDescent="0.25">
      <c r="AH66" s="276">
        <v>35</v>
      </c>
      <c r="AI66" s="279">
        <v>132.24533333333335</v>
      </c>
      <c r="AJ66" s="256">
        <v>3</v>
      </c>
      <c r="AK66" s="279">
        <v>22.04088888888889</v>
      </c>
      <c r="AL66" s="257">
        <v>0.7</v>
      </c>
      <c r="AM66" s="257">
        <v>0</v>
      </c>
      <c r="AN66" s="257">
        <v>0</v>
      </c>
      <c r="AO66" s="257">
        <v>0.3</v>
      </c>
    </row>
    <row r="67" spans="34:41" x14ac:dyDescent="0.25">
      <c r="AH67" s="276">
        <v>45</v>
      </c>
      <c r="AI67" s="279">
        <v>182.44044444444449</v>
      </c>
      <c r="AJ67" s="256">
        <v>4</v>
      </c>
      <c r="AK67" s="279">
        <v>30.406740740740748</v>
      </c>
      <c r="AL67" s="257">
        <v>0.9</v>
      </c>
      <c r="AM67" s="257">
        <v>0</v>
      </c>
      <c r="AN67" s="257">
        <v>0</v>
      </c>
      <c r="AO67" s="257">
        <v>0.1</v>
      </c>
    </row>
    <row r="68" spans="34:41" x14ac:dyDescent="0.25">
      <c r="AH68" s="276">
        <v>55</v>
      </c>
      <c r="AI68" s="279">
        <v>236.7337037037037</v>
      </c>
      <c r="AJ68" s="256" t="s">
        <v>324</v>
      </c>
      <c r="AK68" s="279">
        <v>236.7337037037037</v>
      </c>
      <c r="AL68" s="257">
        <v>0.9</v>
      </c>
      <c r="AM68" s="257">
        <v>0</v>
      </c>
      <c r="AN68" s="257">
        <v>0</v>
      </c>
      <c r="AO68" s="257">
        <v>0.1</v>
      </c>
    </row>
  </sheetData>
  <mergeCells count="21">
    <mergeCell ref="AU6:AX6"/>
    <mergeCell ref="A1:H1"/>
    <mergeCell ref="L1:S1"/>
    <mergeCell ref="W1:AE1"/>
    <mergeCell ref="AH1:AO1"/>
    <mergeCell ref="AQ1:AX1"/>
    <mergeCell ref="A3:H3"/>
    <mergeCell ref="AQ3:AX3"/>
    <mergeCell ref="C6:D6"/>
    <mergeCell ref="E6:H6"/>
    <mergeCell ref="N6:O6"/>
    <mergeCell ref="P6:S6"/>
    <mergeCell ref="AS6:AT6"/>
    <mergeCell ref="C22:D22"/>
    <mergeCell ref="E22:H22"/>
    <mergeCell ref="AS22:AT22"/>
    <mergeCell ref="AU22:AX22"/>
    <mergeCell ref="C38:D38"/>
    <mergeCell ref="E38:H38"/>
    <mergeCell ref="AS38:AT38"/>
    <mergeCell ref="AU38:AX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22" zoomScale="90" zoomScaleNormal="90" workbookViewId="0">
      <selection activeCell="C127" sqref="C127:C1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302" t="s">
        <v>272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92" t="s">
        <v>315</v>
      </c>
      <c r="I4" s="292"/>
      <c r="K4" s="323" t="s">
        <v>253</v>
      </c>
      <c r="L4" s="324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33" t="s">
        <v>310</v>
      </c>
      <c r="S7" s="334"/>
      <c r="T7" s="334"/>
      <c r="U7" s="334"/>
      <c r="V7" s="33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5093.0347029700097</v>
      </c>
      <c r="U10" s="176">
        <f>'Données projet'!D9</f>
        <v>1.5811674599999999</v>
      </c>
      <c r="V10" s="175">
        <f>U10*T10</f>
        <v>8052.9407449869441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pédonculé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4956.6151583320589</v>
      </c>
      <c r="U11" s="176">
        <f>'Données projet'!D10</f>
        <v>0.68909673000000005</v>
      </c>
      <c r="V11" s="175">
        <f t="shared" ref="V11" si="0">U11*T11</f>
        <v>3415.5872974750541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Cèdre de l'Atlas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1887.5862435888639</v>
      </c>
      <c r="U12" s="176">
        <f>'Données projet'!D11</f>
        <v>5.0997217499999996</v>
      </c>
      <c r="V12" s="175">
        <f t="shared" ref="V12:V19" si="1">U12*T12</f>
        <v>9626.1646214309258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Charme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521.67397194737316</v>
      </c>
      <c r="U13" s="176">
        <f>'Données projet'!D12</f>
        <v>0.90830864999999994</v>
      </c>
      <c r="V13" s="175">
        <f t="shared" si="1"/>
        <v>473.84098119965637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Douglas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4907.9217648199974</v>
      </c>
      <c r="U14" s="176">
        <f>'Données projet'!D13</f>
        <v>0.35621936999999998</v>
      </c>
      <c r="V14" s="175">
        <f t="shared" si="1"/>
        <v>1748.2967990734676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8"/>
      <c r="G15" s="326" t="s">
        <v>318</v>
      </c>
      <c r="H15" s="188"/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Aulne glutineux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1395.4762462086292</v>
      </c>
      <c r="U15" s="176">
        <f>'Données projet'!D14</f>
        <v>0.55208928000000002</v>
      </c>
      <c r="V15" s="175">
        <f t="shared" si="1"/>
        <v>770.42747602642487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26"/>
      <c r="H16" s="188"/>
      <c r="I16" s="189"/>
      <c r="J16" s="200"/>
      <c r="K16" s="206"/>
      <c r="L16" s="323" t="s">
        <v>254</v>
      </c>
      <c r="M16" s="324"/>
      <c r="N16" s="2">
        <v>0</v>
      </c>
      <c r="O16" s="23"/>
      <c r="P16" s="23"/>
      <c r="Q16" s="232"/>
      <c r="R16" s="23"/>
      <c r="S16" s="36" t="str">
        <f>B200</f>
        <v>Alisier torminal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235.21347339431395</v>
      </c>
      <c r="U16" s="176">
        <f>'Données projet'!D15</f>
        <v>0.45364688999999997</v>
      </c>
      <c r="V16" s="175">
        <f t="shared" si="1"/>
        <v>106.70386069142826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26"/>
      <c r="J17" s="200"/>
      <c r="K17" s="206"/>
      <c r="L17" s="289" t="s">
        <v>289</v>
      </c>
      <c r="M17" s="29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Peuplier Koster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3525.8530633083424</v>
      </c>
      <c r="U17" s="176">
        <f>'Données projet'!D16</f>
        <v>0.50844986999999997</v>
      </c>
      <c r="V17" s="175">
        <f t="shared" si="1"/>
        <v>1792.7195316782283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26"/>
      <c r="J18" s="200"/>
      <c r="K18" s="206"/>
      <c r="L18" s="289" t="s">
        <v>255</v>
      </c>
      <c r="M18" s="291"/>
      <c r="N18" s="190">
        <v>0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26"/>
      <c r="H19" s="210" t="s">
        <v>178</v>
      </c>
      <c r="I19" s="210" t="s">
        <v>287</v>
      </c>
      <c r="J19" s="91"/>
      <c r="K19" s="171"/>
      <c r="L19" s="323" t="s">
        <v>288</v>
      </c>
      <c r="M19" s="324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26"/>
      <c r="H20" s="188">
        <v>1</v>
      </c>
      <c r="I20" s="189">
        <f>99728/'Données projet'!C5</f>
        <v>9826.6773084237393</v>
      </c>
      <c r="J20" s="4"/>
      <c r="K20" s="171"/>
      <c r="O20" s="23"/>
      <c r="P20" s="4"/>
      <c r="Q20" s="233"/>
      <c r="R20" s="4"/>
      <c r="V20" s="286">
        <f>SUM(V10:V19)</f>
        <v>25986.681312562127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/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/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78">
        <f>'Données projet'!A36</f>
        <v>20</v>
      </c>
      <c r="B23" s="179">
        <f>'Données projet'!D36</f>
        <v>6</v>
      </c>
      <c r="C23" s="191">
        <v>20</v>
      </c>
      <c r="D23" s="180">
        <f>B23*C23</f>
        <v>120</v>
      </c>
      <c r="E23" s="191">
        <v>150</v>
      </c>
      <c r="F23" s="228"/>
      <c r="H23" s="188"/>
      <c r="I23" s="189"/>
      <c r="K23" s="206"/>
      <c r="L23" s="325" t="s">
        <v>260</v>
      </c>
      <c r="M23" s="325"/>
      <c r="N23" s="325"/>
      <c r="O23" s="23"/>
      <c r="P23" s="23"/>
      <c r="Q23" s="232"/>
      <c r="R23" s="23"/>
      <c r="S23" s="36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-69446.811510404383</v>
      </c>
      <c r="U23" s="338"/>
      <c r="V23" s="33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78">
        <f>'Données projet'!A37</f>
        <v>25</v>
      </c>
      <c r="B24" s="179">
        <f>'Données projet'!D37</f>
        <v>28</v>
      </c>
      <c r="C24" s="191">
        <v>20</v>
      </c>
      <c r="D24" s="180">
        <f t="shared" ref="D24:D42" si="2">B24*C24</f>
        <v>560</v>
      </c>
      <c r="E24" s="191">
        <v>150</v>
      </c>
      <c r="F24" s="231"/>
      <c r="H24" s="188"/>
      <c r="I24" s="189"/>
      <c r="K24" s="206"/>
      <c r="O24" s="23"/>
      <c r="P24" s="23"/>
      <c r="Q24" s="232"/>
      <c r="R24" s="23"/>
      <c r="S24" s="36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78">
        <f>'Données projet'!A38</f>
        <v>30</v>
      </c>
      <c r="B25" s="179">
        <f>'Données projet'!D38</f>
        <v>28</v>
      </c>
      <c r="C25" s="191">
        <v>50</v>
      </c>
      <c r="D25" s="180">
        <f t="shared" si="2"/>
        <v>1400</v>
      </c>
      <c r="E25" s="191">
        <v>150</v>
      </c>
      <c r="F25" s="231"/>
      <c r="H25" s="188"/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40">
        <f ca="1">T23-T24</f>
        <v>-69446.811510404383</v>
      </c>
      <c r="U25" s="340"/>
      <c r="V25" s="34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78">
        <f>'Données projet'!A39</f>
        <v>35</v>
      </c>
      <c r="B26" s="179">
        <f>'Données projet'!D39</f>
        <v>28</v>
      </c>
      <c r="C26" s="191">
        <v>100</v>
      </c>
      <c r="D26" s="180">
        <f t="shared" si="2"/>
        <v>2800</v>
      </c>
      <c r="E26" s="191">
        <v>150</v>
      </c>
      <c r="F26" s="231"/>
      <c r="G26" s="227"/>
      <c r="H26" s="188"/>
      <c r="I26" s="189"/>
      <c r="K26" s="206"/>
      <c r="L26" s="327" t="s">
        <v>258</v>
      </c>
      <c r="M26" s="328"/>
      <c r="N26" s="328"/>
      <c r="O26" s="328"/>
      <c r="P26" s="329"/>
      <c r="Q26" s="232"/>
      <c r="R26" s="23"/>
      <c r="S26" s="184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78">
        <f>'Données projet'!A40</f>
        <v>40</v>
      </c>
      <c r="B27" s="179">
        <f>'Données projet'!D40</f>
        <v>28</v>
      </c>
      <c r="C27" s="191">
        <v>100</v>
      </c>
      <c r="D27" s="180">
        <f t="shared" si="2"/>
        <v>2800</v>
      </c>
      <c r="E27" s="191">
        <v>150</v>
      </c>
      <c r="F27" s="231"/>
      <c r="G27" s="227"/>
      <c r="H27" s="188"/>
      <c r="I27" s="189"/>
      <c r="K27" s="206"/>
      <c r="L27" s="330"/>
      <c r="M27" s="331"/>
      <c r="N27" s="331"/>
      <c r="O27" s="331"/>
      <c r="P27" s="332"/>
      <c r="Q27" s="232"/>
      <c r="R27" s="23"/>
      <c r="S27" s="336" t="s">
        <v>267</v>
      </c>
      <c r="T27" s="336"/>
      <c r="U27" s="336"/>
      <c r="V27" s="33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78">
        <f>'Données projet'!A41</f>
        <v>45</v>
      </c>
      <c r="B28" s="179">
        <f>'Données projet'!D41</f>
        <v>28</v>
      </c>
      <c r="C28" s="191">
        <v>100</v>
      </c>
      <c r="D28" s="180">
        <f t="shared" si="2"/>
        <v>2800</v>
      </c>
      <c r="E28" s="191">
        <v>150</v>
      </c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78">
        <f>'Données projet'!A42</f>
        <v>50</v>
      </c>
      <c r="B29" s="179">
        <f>'Données projet'!D42</f>
        <v>28</v>
      </c>
      <c r="C29" s="191">
        <v>100</v>
      </c>
      <c r="D29" s="180">
        <f t="shared" si="2"/>
        <v>2800</v>
      </c>
      <c r="E29" s="191">
        <v>150</v>
      </c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78">
        <f>'Données projet'!A43</f>
        <v>55</v>
      </c>
      <c r="B30" s="179">
        <f>'Données projet'!D43</f>
        <v>28</v>
      </c>
      <c r="C30" s="191">
        <v>150</v>
      </c>
      <c r="D30" s="180">
        <f t="shared" si="2"/>
        <v>4200</v>
      </c>
      <c r="E30" s="191">
        <v>150</v>
      </c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78">
        <f>'Données projet'!A44</f>
        <v>60</v>
      </c>
      <c r="B31" s="179">
        <f>'Données projet'!D44</f>
        <v>28</v>
      </c>
      <c r="C31" s="191">
        <v>150</v>
      </c>
      <c r="D31" s="180">
        <f t="shared" si="2"/>
        <v>4200</v>
      </c>
      <c r="E31" s="191">
        <v>150</v>
      </c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78">
        <f>'Données projet'!A45</f>
        <v>65</v>
      </c>
      <c r="B32" s="179">
        <f>'Données projet'!D45</f>
        <v>28</v>
      </c>
      <c r="C32" s="191">
        <v>200</v>
      </c>
      <c r="D32" s="180">
        <f t="shared" si="2"/>
        <v>5600</v>
      </c>
      <c r="E32" s="191">
        <v>150</v>
      </c>
      <c r="F32" s="231"/>
      <c r="G32" s="201"/>
      <c r="H32" s="188"/>
      <c r="I32" s="189"/>
      <c r="K32" s="171"/>
      <c r="N32" s="4"/>
      <c r="O32" s="83" t="s">
        <v>178</v>
      </c>
      <c r="P32" s="83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78">
        <f>'Données projet'!A46</f>
        <v>70</v>
      </c>
      <c r="B33" s="179">
        <f>'Données projet'!D46</f>
        <v>28</v>
      </c>
      <c r="C33" s="191">
        <v>250</v>
      </c>
      <c r="D33" s="180">
        <f t="shared" si="2"/>
        <v>7000</v>
      </c>
      <c r="E33" s="191">
        <v>150</v>
      </c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78">
        <f>'Données projet'!A47</f>
        <v>75</v>
      </c>
      <c r="B34" s="179">
        <f>'Données projet'!D47</f>
        <v>28</v>
      </c>
      <c r="C34" s="191">
        <v>350</v>
      </c>
      <c r="D34" s="180">
        <f t="shared" si="2"/>
        <v>9800</v>
      </c>
      <c r="E34" s="191">
        <v>150</v>
      </c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78">
        <f>'Données projet'!A48</f>
        <v>85</v>
      </c>
      <c r="B35" s="179">
        <f>'Données projet'!D48</f>
        <v>56</v>
      </c>
      <c r="C35" s="191">
        <v>350</v>
      </c>
      <c r="D35" s="180">
        <f t="shared" si="2"/>
        <v>19600</v>
      </c>
      <c r="E35" s="191">
        <v>150</v>
      </c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78">
        <f>'Données projet'!A49</f>
        <v>95</v>
      </c>
      <c r="B36" s="179">
        <f>'Données projet'!D49</f>
        <v>56</v>
      </c>
      <c r="C36" s="191">
        <v>350</v>
      </c>
      <c r="D36" s="180">
        <f t="shared" si="2"/>
        <v>19600</v>
      </c>
      <c r="E36" s="191">
        <v>150</v>
      </c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78">
        <f>'Données projet'!A50</f>
        <v>105</v>
      </c>
      <c r="B37" s="179">
        <f>'Données projet'!D50</f>
        <v>53</v>
      </c>
      <c r="C37" s="191">
        <v>350</v>
      </c>
      <c r="D37" s="180">
        <f t="shared" si="2"/>
        <v>18550</v>
      </c>
      <c r="E37" s="191">
        <v>150</v>
      </c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78">
        <f>'Données projet'!A51</f>
        <v>115</v>
      </c>
      <c r="B38" s="179">
        <f>'Données projet'!D51</f>
        <v>49</v>
      </c>
      <c r="C38" s="191">
        <v>350</v>
      </c>
      <c r="D38" s="180">
        <f t="shared" si="2"/>
        <v>17150</v>
      </c>
      <c r="E38" s="191">
        <v>150</v>
      </c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78">
        <f>'Données projet'!A52</f>
        <v>125</v>
      </c>
      <c r="B39" s="179">
        <f>'Données projet'!D52</f>
        <v>45</v>
      </c>
      <c r="C39" s="191">
        <v>350</v>
      </c>
      <c r="D39" s="180">
        <f t="shared" si="2"/>
        <v>15750</v>
      </c>
      <c r="E39" s="191">
        <v>150</v>
      </c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78">
        <f>'Données projet'!A53</f>
        <v>135</v>
      </c>
      <c r="B40" s="179">
        <f>'Données projet'!D53</f>
        <v>43</v>
      </c>
      <c r="C40" s="191">
        <v>350</v>
      </c>
      <c r="D40" s="180">
        <f t="shared" si="2"/>
        <v>15050</v>
      </c>
      <c r="E40" s="191">
        <v>150</v>
      </c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78">
        <f>'Données projet'!A54</f>
        <v>145</v>
      </c>
      <c r="B41" s="179">
        <f>'Données projet'!D54</f>
        <v>39</v>
      </c>
      <c r="C41" s="191">
        <v>350</v>
      </c>
      <c r="D41" s="180">
        <f t="shared" si="2"/>
        <v>13650</v>
      </c>
      <c r="E41" s="191">
        <v>150</v>
      </c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78">
        <f>'Données projet'!A55</f>
        <v>150</v>
      </c>
      <c r="B42" s="179">
        <f>'Données projet'!D55</f>
        <v>316</v>
      </c>
      <c r="C42" s="191">
        <v>350</v>
      </c>
      <c r="D42" s="180">
        <f t="shared" si="2"/>
        <v>110600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2" t="str">
        <f>IF('Données projet'!$B$10="","",'Données projet'!$B$10)</f>
        <v>Chêne pédonculé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2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2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78">
        <f>'Données projet'!A62</f>
        <v>20</v>
      </c>
      <c r="B54" s="179">
        <f>'Données projet'!D62</f>
        <v>6</v>
      </c>
      <c r="C54" s="189">
        <v>20</v>
      </c>
      <c r="D54" s="177">
        <f>B54*C54</f>
        <v>120</v>
      </c>
      <c r="E54" s="191">
        <v>150</v>
      </c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78">
        <f>'Données projet'!A63</f>
        <v>25</v>
      </c>
      <c r="B55" s="179">
        <f>'Données projet'!D63</f>
        <v>28</v>
      </c>
      <c r="C55" s="189">
        <v>20</v>
      </c>
      <c r="D55" s="177">
        <f t="shared" ref="D55:D73" si="4">B55*C55</f>
        <v>560</v>
      </c>
      <c r="E55" s="191">
        <v>150</v>
      </c>
      <c r="F55" s="230"/>
      <c r="G55" s="203"/>
      <c r="H55" s="188"/>
      <c r="I55" s="189"/>
      <c r="J55" s="23"/>
      <c r="K55" s="171"/>
      <c r="L55" s="4"/>
      <c r="M55" s="4"/>
      <c r="N55" s="4"/>
      <c r="O55" s="192" t="str">
        <f>IF(O54+1&lt;=MIN('Données projet'!$E$9:$E$18),O54+1,"STOP")</f>
        <v>STOP</v>
      </c>
      <c r="P55" s="183" t="e">
        <f t="shared" si="3"/>
        <v>#VALUE!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78">
        <f>'Données projet'!A64</f>
        <v>30</v>
      </c>
      <c r="B56" s="179">
        <f>'Données projet'!D64</f>
        <v>28</v>
      </c>
      <c r="C56" s="189">
        <v>50</v>
      </c>
      <c r="D56" s="177">
        <f t="shared" si="4"/>
        <v>1400</v>
      </c>
      <c r="E56" s="191">
        <v>150</v>
      </c>
      <c r="F56" s="230"/>
      <c r="G56" s="203"/>
      <c r="H56" s="188"/>
      <c r="I56" s="189"/>
      <c r="J56" s="23"/>
      <c r="K56" s="171"/>
      <c r="L56" s="4"/>
      <c r="M56" s="4"/>
      <c r="N56" s="4"/>
      <c r="O56" s="192" t="e">
        <f>IF(O55+1&lt;=MIN('Données projet'!$E$9:$E$18),O55+1,"STOP")</f>
        <v>#VALUE!</v>
      </c>
      <c r="P56" s="183" t="e">
        <f t="shared" si="3"/>
        <v>#VALUE!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78">
        <f>'Données projet'!A65</f>
        <v>35</v>
      </c>
      <c r="B57" s="179">
        <f>'Données projet'!D65</f>
        <v>28</v>
      </c>
      <c r="C57" s="189">
        <v>100</v>
      </c>
      <c r="D57" s="177">
        <f t="shared" si="4"/>
        <v>2800</v>
      </c>
      <c r="E57" s="191">
        <v>150</v>
      </c>
      <c r="F57" s="230"/>
      <c r="G57" s="203"/>
      <c r="H57" s="188"/>
      <c r="I57" s="189"/>
      <c r="J57" s="23"/>
      <c r="K57" s="171"/>
      <c r="L57" s="4"/>
      <c r="M57" s="4"/>
      <c r="N57" s="4"/>
      <c r="O57" s="192" t="e">
        <f>IF(O56+1&lt;=MIN('Données projet'!$E$9:$E$18),O56+1,"STOP")</f>
        <v>#VALUE!</v>
      </c>
      <c r="P57" s="183" t="e">
        <f t="shared" si="3"/>
        <v>#VALUE!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78">
        <f>'Données projet'!A66</f>
        <v>40</v>
      </c>
      <c r="B58" s="179">
        <f>'Données projet'!D66</f>
        <v>28</v>
      </c>
      <c r="C58" s="189">
        <v>100</v>
      </c>
      <c r="D58" s="177">
        <f t="shared" si="4"/>
        <v>2800</v>
      </c>
      <c r="E58" s="191">
        <v>150</v>
      </c>
      <c r="F58" s="230"/>
      <c r="G58" s="203"/>
      <c r="H58" s="188"/>
      <c r="I58" s="189"/>
      <c r="J58" s="23"/>
      <c r="K58" s="171"/>
      <c r="L58" s="4"/>
      <c r="M58" s="4"/>
      <c r="N58" s="4"/>
      <c r="O58" s="192" t="e">
        <f>IF(O57+1&lt;=MIN('Données projet'!$E$9:$E$18),O57+1,"STOP")</f>
        <v>#VALUE!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78">
        <f>'Données projet'!A67</f>
        <v>45</v>
      </c>
      <c r="B59" s="179">
        <f>'Données projet'!D67</f>
        <v>28</v>
      </c>
      <c r="C59" s="189">
        <v>100</v>
      </c>
      <c r="D59" s="177">
        <f t="shared" si="4"/>
        <v>2800</v>
      </c>
      <c r="E59" s="191">
        <v>150</v>
      </c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78">
        <f>'Données projet'!A68</f>
        <v>50</v>
      </c>
      <c r="B60" s="179">
        <f>'Données projet'!D68</f>
        <v>28</v>
      </c>
      <c r="C60" s="189">
        <v>100</v>
      </c>
      <c r="D60" s="177">
        <f t="shared" si="4"/>
        <v>2800</v>
      </c>
      <c r="E60" s="191">
        <v>150</v>
      </c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78">
        <f>'Données projet'!A69</f>
        <v>55</v>
      </c>
      <c r="B61" s="179">
        <f>'Données projet'!D69</f>
        <v>28</v>
      </c>
      <c r="C61" s="189">
        <v>150</v>
      </c>
      <c r="D61" s="177">
        <f t="shared" si="4"/>
        <v>4200</v>
      </c>
      <c r="E61" s="191">
        <v>150</v>
      </c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78">
        <f>'Données projet'!A70</f>
        <v>60</v>
      </c>
      <c r="B62" s="179">
        <f>'Données projet'!D70</f>
        <v>28</v>
      </c>
      <c r="C62" s="189">
        <v>150</v>
      </c>
      <c r="D62" s="177">
        <f t="shared" si="4"/>
        <v>4200</v>
      </c>
      <c r="E62" s="191">
        <v>150</v>
      </c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78">
        <f>'Données projet'!A71</f>
        <v>65</v>
      </c>
      <c r="B63" s="179">
        <f>'Données projet'!D71</f>
        <v>28</v>
      </c>
      <c r="C63" s="189">
        <v>200</v>
      </c>
      <c r="D63" s="177">
        <f t="shared" si="4"/>
        <v>5600</v>
      </c>
      <c r="E63" s="191">
        <v>150</v>
      </c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78">
        <f>'Données projet'!A72</f>
        <v>70</v>
      </c>
      <c r="B64" s="179">
        <f>'Données projet'!D72</f>
        <v>28</v>
      </c>
      <c r="C64" s="189">
        <v>250</v>
      </c>
      <c r="D64" s="177">
        <f t="shared" si="4"/>
        <v>7000</v>
      </c>
      <c r="E64" s="191">
        <v>150</v>
      </c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78">
        <f>'Données projet'!A73</f>
        <v>75</v>
      </c>
      <c r="B65" s="179">
        <f>'Données projet'!D73</f>
        <v>28</v>
      </c>
      <c r="C65" s="189">
        <v>350</v>
      </c>
      <c r="D65" s="177">
        <f t="shared" si="4"/>
        <v>9800</v>
      </c>
      <c r="E65" s="191">
        <v>150</v>
      </c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78">
        <f>'Données projet'!A74</f>
        <v>85</v>
      </c>
      <c r="B66" s="179">
        <f>'Données projet'!D74</f>
        <v>56</v>
      </c>
      <c r="C66" s="189">
        <v>350</v>
      </c>
      <c r="D66" s="177">
        <f t="shared" si="4"/>
        <v>19600</v>
      </c>
      <c r="E66" s="191">
        <v>150</v>
      </c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78">
        <f>'Données projet'!A75</f>
        <v>95</v>
      </c>
      <c r="B67" s="179">
        <f>'Données projet'!D75</f>
        <v>56</v>
      </c>
      <c r="C67" s="189">
        <v>350</v>
      </c>
      <c r="D67" s="177">
        <f t="shared" si="4"/>
        <v>19600</v>
      </c>
      <c r="E67" s="191">
        <v>150</v>
      </c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78">
        <f>'Données projet'!A76</f>
        <v>105</v>
      </c>
      <c r="B68" s="179">
        <f>'Données projet'!D76</f>
        <v>53</v>
      </c>
      <c r="C68" s="189">
        <v>350</v>
      </c>
      <c r="D68" s="177">
        <f t="shared" si="4"/>
        <v>18550</v>
      </c>
      <c r="E68" s="191">
        <v>150</v>
      </c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78">
        <f>'Données projet'!A77</f>
        <v>115</v>
      </c>
      <c r="B69" s="179">
        <f>'Données projet'!D77</f>
        <v>49</v>
      </c>
      <c r="C69" s="189">
        <v>350</v>
      </c>
      <c r="D69" s="177">
        <f t="shared" si="4"/>
        <v>17150</v>
      </c>
      <c r="E69" s="191">
        <v>150</v>
      </c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78">
        <f>'Données projet'!A78</f>
        <v>125</v>
      </c>
      <c r="B70" s="179">
        <f>'Données projet'!D78</f>
        <v>45</v>
      </c>
      <c r="C70" s="189">
        <v>350</v>
      </c>
      <c r="D70" s="177">
        <f t="shared" si="4"/>
        <v>15750</v>
      </c>
      <c r="E70" s="191">
        <v>150</v>
      </c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78">
        <f>'Données projet'!A79</f>
        <v>135</v>
      </c>
      <c r="B71" s="179">
        <f>'Données projet'!D79</f>
        <v>43</v>
      </c>
      <c r="C71" s="189">
        <v>350</v>
      </c>
      <c r="D71" s="177">
        <f t="shared" si="4"/>
        <v>15050</v>
      </c>
      <c r="E71" s="191">
        <v>150</v>
      </c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78">
        <f>'Données projet'!A80</f>
        <v>145</v>
      </c>
      <c r="B72" s="179">
        <f>'Données projet'!D80</f>
        <v>39</v>
      </c>
      <c r="C72" s="189">
        <v>350</v>
      </c>
      <c r="D72" s="177">
        <f t="shared" si="4"/>
        <v>13650</v>
      </c>
      <c r="E72" s="191">
        <v>150</v>
      </c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78">
        <f>'Données projet'!A81</f>
        <v>150</v>
      </c>
      <c r="B73" s="179">
        <f>'Données projet'!D81</f>
        <v>316</v>
      </c>
      <c r="C73" s="189">
        <v>350</v>
      </c>
      <c r="D73" s="177">
        <f t="shared" si="4"/>
        <v>110600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2" t="str">
        <f>IF('Données projet'!B11="","",'Données projet'!B11)</f>
        <v>Cèdre de l'Atlas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78">
        <f>'Données projet'!A88</f>
        <v>20</v>
      </c>
      <c r="B85" s="179">
        <f>'Données projet'!D88</f>
        <v>31.6</v>
      </c>
      <c r="C85" s="189">
        <v>15</v>
      </c>
      <c r="D85" s="177">
        <f>B85*C85</f>
        <v>474</v>
      </c>
      <c r="E85" s="191">
        <v>150</v>
      </c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78">
        <f>'Données projet'!A89</f>
        <v>30</v>
      </c>
      <c r="B86" s="179">
        <f>'Données projet'!D89</f>
        <v>36.4</v>
      </c>
      <c r="C86" s="189">
        <v>15</v>
      </c>
      <c r="D86" s="177">
        <f t="shared" ref="D86:D104" si="6">B86*C86</f>
        <v>546</v>
      </c>
      <c r="E86" s="191">
        <v>150</v>
      </c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78">
        <f>'Données projet'!A90</f>
        <v>40</v>
      </c>
      <c r="B87" s="179">
        <f>'Données projet'!D90</f>
        <v>52.26666666666668</v>
      </c>
      <c r="C87" s="189">
        <v>30</v>
      </c>
      <c r="D87" s="177">
        <f t="shared" si="6"/>
        <v>1568.0000000000005</v>
      </c>
      <c r="E87" s="191">
        <v>150</v>
      </c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78">
        <f>'Données projet'!A91</f>
        <v>50</v>
      </c>
      <c r="B88" s="179">
        <f>'Données projet'!D91</f>
        <v>68.788888888888891</v>
      </c>
      <c r="C88" s="189">
        <v>30</v>
      </c>
      <c r="D88" s="177">
        <f t="shared" si="6"/>
        <v>2063.666666666667</v>
      </c>
      <c r="E88" s="191">
        <v>150</v>
      </c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78">
        <f>'Données projet'!A92</f>
        <v>60</v>
      </c>
      <c r="B89" s="179">
        <f>'Données projet'!D92</f>
        <v>88.535185185185185</v>
      </c>
      <c r="C89" s="189">
        <v>30</v>
      </c>
      <c r="D89" s="177">
        <f t="shared" si="6"/>
        <v>2656.0555555555557</v>
      </c>
      <c r="E89" s="191">
        <v>150</v>
      </c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78">
        <f>'Données projet'!A93</f>
        <v>70</v>
      </c>
      <c r="B90" s="179">
        <f>'Données projet'!D93</f>
        <v>111.0774691358025</v>
      </c>
      <c r="C90" s="189">
        <v>40</v>
      </c>
      <c r="D90" s="177">
        <f t="shared" si="6"/>
        <v>4443.0987654320998</v>
      </c>
      <c r="E90" s="191">
        <v>150</v>
      </c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78">
        <f>'Données projet'!A94</f>
        <v>80</v>
      </c>
      <c r="B91" s="179">
        <f>'Données projet'!D94</f>
        <v>135.65375514403294</v>
      </c>
      <c r="C91" s="189">
        <v>50</v>
      </c>
      <c r="D91" s="177">
        <f t="shared" si="6"/>
        <v>6782.6877572016474</v>
      </c>
      <c r="E91" s="191">
        <v>150</v>
      </c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78">
        <f>'Données projet'!A95</f>
        <v>90</v>
      </c>
      <c r="B92" s="179">
        <f>'Données projet'!D95</f>
        <v>160.72437414266119</v>
      </c>
      <c r="C92" s="189">
        <v>60</v>
      </c>
      <c r="D92" s="177">
        <f t="shared" si="6"/>
        <v>9643.4624485596723</v>
      </c>
      <c r="E92" s="191">
        <v>150</v>
      </c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78">
        <f>'Données projet'!A96</f>
        <v>100</v>
      </c>
      <c r="B93" s="179">
        <f>'Données projet'!D96</f>
        <v>599.95366083676254</v>
      </c>
      <c r="C93" s="189">
        <v>60</v>
      </c>
      <c r="D93" s="177">
        <f t="shared" si="6"/>
        <v>35997.219650205749</v>
      </c>
      <c r="E93" s="191">
        <v>150</v>
      </c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2" t="str">
        <f>IF('Données projet'!B12="","",'Données projet'!B12)</f>
        <v>Charme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78">
        <f>'Données projet'!A114</f>
        <v>25</v>
      </c>
      <c r="B116" s="179">
        <f>'Données projet'!D114</f>
        <v>8</v>
      </c>
      <c r="C116" s="189">
        <v>20</v>
      </c>
      <c r="D116" s="177">
        <f>B116*C116</f>
        <v>160</v>
      </c>
      <c r="E116" s="191">
        <v>150</v>
      </c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78">
        <f>'Données projet'!A115</f>
        <v>30</v>
      </c>
      <c r="B117" s="179">
        <f>'Données projet'!D115</f>
        <v>21</v>
      </c>
      <c r="C117" s="189">
        <v>20</v>
      </c>
      <c r="D117" s="177">
        <f t="shared" ref="D117:D135" si="8">B117*C117</f>
        <v>420</v>
      </c>
      <c r="E117" s="191">
        <v>150</v>
      </c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78">
        <f>'Données projet'!A116</f>
        <v>35</v>
      </c>
      <c r="B118" s="179">
        <f>'Données projet'!D116</f>
        <v>21</v>
      </c>
      <c r="C118" s="189">
        <v>20</v>
      </c>
      <c r="D118" s="177">
        <f t="shared" si="8"/>
        <v>420</v>
      </c>
      <c r="E118" s="191">
        <v>150</v>
      </c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78">
        <f>'Données projet'!A117</f>
        <v>40</v>
      </c>
      <c r="B119" s="179">
        <f>'Données projet'!D117</f>
        <v>21</v>
      </c>
      <c r="C119" s="189">
        <v>20</v>
      </c>
      <c r="D119" s="177">
        <f t="shared" si="8"/>
        <v>420</v>
      </c>
      <c r="E119" s="191">
        <v>150</v>
      </c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78">
        <f>'Données projet'!A118</f>
        <v>45</v>
      </c>
      <c r="B120" s="179">
        <f>'Données projet'!D118</f>
        <v>21</v>
      </c>
      <c r="C120" s="189">
        <v>20</v>
      </c>
      <c r="D120" s="177">
        <f t="shared" si="8"/>
        <v>420</v>
      </c>
      <c r="E120" s="191">
        <v>150</v>
      </c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78">
        <f>'Données projet'!A119</f>
        <v>50</v>
      </c>
      <c r="B121" s="179">
        <f>'Données projet'!D119</f>
        <v>21</v>
      </c>
      <c r="C121" s="189">
        <v>30</v>
      </c>
      <c r="D121" s="177">
        <f t="shared" si="8"/>
        <v>630</v>
      </c>
      <c r="E121" s="191">
        <v>150</v>
      </c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78">
        <f>'Données projet'!A120</f>
        <v>55</v>
      </c>
      <c r="B122" s="179">
        <f>'Données projet'!D120</f>
        <v>21</v>
      </c>
      <c r="C122" s="189">
        <v>30</v>
      </c>
      <c r="D122" s="177">
        <f t="shared" si="8"/>
        <v>630</v>
      </c>
      <c r="E122" s="191">
        <v>150</v>
      </c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78">
        <f>'Données projet'!A121</f>
        <v>60</v>
      </c>
      <c r="B123" s="179">
        <f>'Données projet'!D121</f>
        <v>21</v>
      </c>
      <c r="C123" s="189">
        <v>30</v>
      </c>
      <c r="D123" s="177">
        <f t="shared" si="8"/>
        <v>630</v>
      </c>
      <c r="E123" s="191">
        <v>150</v>
      </c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78">
        <f>'Données projet'!A122</f>
        <v>65</v>
      </c>
      <c r="B124" s="179">
        <f>'Données projet'!D122</f>
        <v>21</v>
      </c>
      <c r="C124" s="189">
        <v>30</v>
      </c>
      <c r="D124" s="177">
        <f t="shared" si="8"/>
        <v>630</v>
      </c>
      <c r="E124" s="191">
        <v>150</v>
      </c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78">
        <f>'Données projet'!A123</f>
        <v>70</v>
      </c>
      <c r="B125" s="179">
        <f>'Données projet'!D123</f>
        <v>21</v>
      </c>
      <c r="C125" s="189">
        <v>30</v>
      </c>
      <c r="D125" s="177">
        <f t="shared" si="8"/>
        <v>630</v>
      </c>
      <c r="E125" s="191">
        <v>150</v>
      </c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78">
        <f>'Données projet'!A124</f>
        <v>75</v>
      </c>
      <c r="B126" s="179">
        <f>'Données projet'!D124</f>
        <v>21</v>
      </c>
      <c r="C126" s="189">
        <v>30</v>
      </c>
      <c r="D126" s="177">
        <f t="shared" si="8"/>
        <v>630</v>
      </c>
      <c r="E126" s="191">
        <v>150</v>
      </c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78">
        <f>'Données projet'!A125</f>
        <v>80</v>
      </c>
      <c r="B127" s="179">
        <f>'Données projet'!D125</f>
        <v>21</v>
      </c>
      <c r="C127" s="189">
        <v>40</v>
      </c>
      <c r="D127" s="177">
        <f t="shared" si="8"/>
        <v>840</v>
      </c>
      <c r="E127" s="191">
        <v>150</v>
      </c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78">
        <f>'Données projet'!A126</f>
        <v>85</v>
      </c>
      <c r="B128" s="179">
        <f>'Données projet'!D126</f>
        <v>21</v>
      </c>
      <c r="C128" s="189">
        <v>40</v>
      </c>
      <c r="D128" s="177">
        <f t="shared" si="8"/>
        <v>840</v>
      </c>
      <c r="E128" s="191">
        <v>150</v>
      </c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78">
        <f>'Données projet'!A127</f>
        <v>90</v>
      </c>
      <c r="B129" s="179">
        <f>'Données projet'!D127</f>
        <v>21</v>
      </c>
      <c r="C129" s="189">
        <v>40</v>
      </c>
      <c r="D129" s="177">
        <f t="shared" si="8"/>
        <v>840</v>
      </c>
      <c r="E129" s="191">
        <v>150</v>
      </c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78">
        <f>'Données projet'!A128</f>
        <v>100</v>
      </c>
      <c r="B130" s="179">
        <f>'Données projet'!D128</f>
        <v>42</v>
      </c>
      <c r="C130" s="189">
        <v>40</v>
      </c>
      <c r="D130" s="177">
        <f t="shared" si="8"/>
        <v>1680</v>
      </c>
      <c r="E130" s="191">
        <v>150</v>
      </c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78">
        <f>'Données projet'!A129</f>
        <v>110</v>
      </c>
      <c r="B131" s="179">
        <f>'Données projet'!D129</f>
        <v>39</v>
      </c>
      <c r="C131" s="189">
        <v>40</v>
      </c>
      <c r="D131" s="177">
        <f t="shared" si="8"/>
        <v>1560</v>
      </c>
      <c r="E131" s="191">
        <v>150</v>
      </c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78">
        <f>'Données projet'!A130</f>
        <v>120</v>
      </c>
      <c r="B132" s="179">
        <f>'Données projet'!D130</f>
        <v>35</v>
      </c>
      <c r="C132" s="189">
        <v>40</v>
      </c>
      <c r="D132" s="177">
        <f t="shared" si="8"/>
        <v>1400</v>
      </c>
      <c r="E132" s="191">
        <v>150</v>
      </c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78">
        <f>'Données projet'!A131</f>
        <v>130</v>
      </c>
      <c r="B133" s="179">
        <f>'Données projet'!D131</f>
        <v>31</v>
      </c>
      <c r="C133" s="189">
        <v>40</v>
      </c>
      <c r="D133" s="177">
        <f t="shared" si="8"/>
        <v>1240</v>
      </c>
      <c r="E133" s="191">
        <v>150</v>
      </c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78">
        <f>'Données projet'!A132</f>
        <v>140</v>
      </c>
      <c r="B134" s="179">
        <f>'Données projet'!D132</f>
        <v>27</v>
      </c>
      <c r="C134" s="189">
        <v>40</v>
      </c>
      <c r="D134" s="177">
        <f t="shared" si="8"/>
        <v>1080</v>
      </c>
      <c r="E134" s="191">
        <v>150</v>
      </c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78">
        <f>'Données projet'!A133</f>
        <v>150</v>
      </c>
      <c r="B135" s="179">
        <f>'Données projet'!D133</f>
        <v>293</v>
      </c>
      <c r="C135" s="189">
        <v>40</v>
      </c>
      <c r="D135" s="177">
        <f t="shared" si="8"/>
        <v>11720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2" t="str">
        <f>IF('Données projet'!B13="","",'Données projet'!B13)</f>
        <v>Douglas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19</v>
      </c>
      <c r="B147" s="173">
        <f>'Données projet'!D140</f>
        <v>0</v>
      </c>
      <c r="C147" s="189">
        <v>15</v>
      </c>
      <c r="D147" s="180">
        <f>B147*C147</f>
        <v>0</v>
      </c>
      <c r="E147" s="191">
        <v>150</v>
      </c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25</v>
      </c>
      <c r="B148" s="173">
        <f>'Données projet'!D141</f>
        <v>54</v>
      </c>
      <c r="C148" s="189">
        <v>15</v>
      </c>
      <c r="D148" s="180">
        <f t="shared" ref="D148:D166" si="10">B148*C148</f>
        <v>810</v>
      </c>
      <c r="E148" s="191">
        <v>150</v>
      </c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3">
        <f>'Données projet'!D142</f>
        <v>54</v>
      </c>
      <c r="C149" s="189">
        <v>30</v>
      </c>
      <c r="D149" s="180">
        <f t="shared" si="10"/>
        <v>1620</v>
      </c>
      <c r="E149" s="191">
        <v>150</v>
      </c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35</v>
      </c>
      <c r="B150" s="173">
        <f>'Données projet'!D143</f>
        <v>69</v>
      </c>
      <c r="C150" s="189">
        <v>30</v>
      </c>
      <c r="D150" s="180">
        <f t="shared" si="10"/>
        <v>2070</v>
      </c>
      <c r="E150" s="191">
        <v>150</v>
      </c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40</v>
      </c>
      <c r="B151" s="173">
        <f>'Données projet'!D144</f>
        <v>72</v>
      </c>
      <c r="C151" s="189">
        <v>30</v>
      </c>
      <c r="D151" s="180">
        <f t="shared" si="10"/>
        <v>2160</v>
      </c>
      <c r="E151" s="191">
        <v>150</v>
      </c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45</v>
      </c>
      <c r="B152" s="173">
        <f>'Données projet'!D145</f>
        <v>66</v>
      </c>
      <c r="C152" s="189">
        <v>40</v>
      </c>
      <c r="D152" s="180">
        <f t="shared" si="10"/>
        <v>2640</v>
      </c>
      <c r="E152" s="191">
        <v>150</v>
      </c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50</v>
      </c>
      <c r="B153" s="173">
        <f>'Données projet'!D146</f>
        <v>48</v>
      </c>
      <c r="C153" s="189">
        <v>50</v>
      </c>
      <c r="D153" s="180">
        <f t="shared" si="10"/>
        <v>2400</v>
      </c>
      <c r="E153" s="191">
        <v>150</v>
      </c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55</v>
      </c>
      <c r="B154" s="173">
        <f>'Données projet'!D147</f>
        <v>35</v>
      </c>
      <c r="C154" s="189">
        <v>60</v>
      </c>
      <c r="D154" s="180">
        <f t="shared" si="10"/>
        <v>2100</v>
      </c>
      <c r="E154" s="191">
        <v>150</v>
      </c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60</v>
      </c>
      <c r="B155" s="173">
        <f>'Données projet'!D148</f>
        <v>666</v>
      </c>
      <c r="C155" s="189">
        <v>60</v>
      </c>
      <c r="D155" s="180">
        <f t="shared" si="10"/>
        <v>39960</v>
      </c>
      <c r="E155" s="191">
        <v>150</v>
      </c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2" t="str">
        <f>IF('Données projet'!B14="","",'Données projet'!B14)</f>
        <v>Aulne glutineux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78">
        <f>'Données projet'!A166</f>
        <v>15</v>
      </c>
      <c r="B178" s="179">
        <f>'Données projet'!D166</f>
        <v>20</v>
      </c>
      <c r="C178" s="191">
        <v>20</v>
      </c>
      <c r="D178" s="177">
        <f>B178*C178</f>
        <v>400</v>
      </c>
      <c r="E178" s="191">
        <v>150</v>
      </c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78">
        <f>'Données projet'!A167</f>
        <v>25</v>
      </c>
      <c r="B179" s="179">
        <f>'Données projet'!D167</f>
        <v>29.047699999999999</v>
      </c>
      <c r="C179" s="191">
        <v>20</v>
      </c>
      <c r="D179" s="177">
        <f t="shared" ref="D179:D197" si="11">B179*C179</f>
        <v>580.95399999999995</v>
      </c>
      <c r="E179" s="191">
        <v>150</v>
      </c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78">
        <f>'Données projet'!A168</f>
        <v>35</v>
      </c>
      <c r="B180" s="179">
        <f>'Données projet'!D168</f>
        <v>44.097616666666674</v>
      </c>
      <c r="C180" s="191">
        <v>20</v>
      </c>
      <c r="D180" s="177">
        <f t="shared" si="11"/>
        <v>881.95233333333351</v>
      </c>
      <c r="E180" s="191">
        <v>150</v>
      </c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78">
        <f>'Données projet'!A169</f>
        <v>45</v>
      </c>
      <c r="B181" s="179">
        <f>'Données projet'!D169</f>
        <v>60.759213888888908</v>
      </c>
      <c r="C181" s="191">
        <v>20</v>
      </c>
      <c r="D181" s="177">
        <f t="shared" si="11"/>
        <v>1215.1842777777781</v>
      </c>
      <c r="E181" s="191">
        <v>150</v>
      </c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78">
        <f>'Données projet'!A170</f>
        <v>55</v>
      </c>
      <c r="B182" s="179">
        <f>'Données projet'!D170</f>
        <v>468.51506944444446</v>
      </c>
      <c r="C182" s="191">
        <v>20</v>
      </c>
      <c r="D182" s="177">
        <f t="shared" si="11"/>
        <v>9370.3013888888891</v>
      </c>
      <c r="E182" s="191">
        <v>150</v>
      </c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2" t="str">
        <f>IF('Données projet'!$B$15="","",'Données projet'!$B$15)</f>
        <v>Alisier torminal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78">
        <f>'Données projet'!A192</f>
        <v>42</v>
      </c>
      <c r="B209" s="179">
        <f>'Données projet'!D192</f>
        <v>24</v>
      </c>
      <c r="C209" s="191">
        <v>20</v>
      </c>
      <c r="D209" s="177">
        <f>B209*C209</f>
        <v>480</v>
      </c>
      <c r="E209" s="191">
        <v>150</v>
      </c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78">
        <f>'Données projet'!A193</f>
        <v>48</v>
      </c>
      <c r="B210" s="179">
        <f>'Données projet'!D193</f>
        <v>22.400000000000002</v>
      </c>
      <c r="C210" s="191">
        <v>20</v>
      </c>
      <c r="D210" s="177">
        <f t="shared" ref="D210:D228" si="12">B210*C210</f>
        <v>448.00000000000006</v>
      </c>
      <c r="E210" s="191">
        <v>150</v>
      </c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78">
        <f>'Données projet'!A194</f>
        <v>56</v>
      </c>
      <c r="B211" s="179">
        <f>'Données projet'!D194</f>
        <v>28.8</v>
      </c>
      <c r="C211" s="191">
        <v>20</v>
      </c>
      <c r="D211" s="177">
        <f t="shared" si="12"/>
        <v>576</v>
      </c>
      <c r="E211" s="191">
        <v>150</v>
      </c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78">
        <f>'Données projet'!A195</f>
        <v>64</v>
      </c>
      <c r="B212" s="179">
        <f>'Données projet'!D195</f>
        <v>32.800000000000004</v>
      </c>
      <c r="C212" s="191">
        <v>20</v>
      </c>
      <c r="D212" s="177">
        <f t="shared" si="12"/>
        <v>656.00000000000011</v>
      </c>
      <c r="E212" s="191">
        <v>150</v>
      </c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78">
        <f>'Données projet'!A196</f>
        <v>72</v>
      </c>
      <c r="B213" s="179">
        <f>'Données projet'!D196</f>
        <v>25.6</v>
      </c>
      <c r="C213" s="191">
        <v>20</v>
      </c>
      <c r="D213" s="177">
        <f t="shared" si="12"/>
        <v>512</v>
      </c>
      <c r="E213" s="191">
        <v>150</v>
      </c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78">
        <f>'Données projet'!A197</f>
        <v>81</v>
      </c>
      <c r="B214" s="179">
        <f>'Données projet'!D197</f>
        <v>24.8</v>
      </c>
      <c r="C214" s="191">
        <v>30</v>
      </c>
      <c r="D214" s="177">
        <f t="shared" si="12"/>
        <v>744</v>
      </c>
      <c r="E214" s="191">
        <v>150</v>
      </c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78">
        <f>'Données projet'!A198</f>
        <v>90</v>
      </c>
      <c r="B215" s="179">
        <f>'Données projet'!D198</f>
        <v>24</v>
      </c>
      <c r="C215" s="191">
        <v>30</v>
      </c>
      <c r="D215" s="177">
        <f t="shared" si="12"/>
        <v>720</v>
      </c>
      <c r="E215" s="191">
        <v>150</v>
      </c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78">
        <f>'Données projet'!A199</f>
        <v>102</v>
      </c>
      <c r="B216" s="179">
        <f>'Données projet'!D199</f>
        <v>32.800000000000004</v>
      </c>
      <c r="C216" s="191">
        <v>30</v>
      </c>
      <c r="D216" s="177">
        <f t="shared" si="12"/>
        <v>984.00000000000011</v>
      </c>
      <c r="E216" s="191">
        <v>150</v>
      </c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78">
        <f>'Données projet'!A200</f>
        <v>114</v>
      </c>
      <c r="B217" s="179">
        <f>'Données projet'!D200</f>
        <v>29.6</v>
      </c>
      <c r="C217" s="191">
        <v>30</v>
      </c>
      <c r="D217" s="177">
        <f t="shared" si="12"/>
        <v>888</v>
      </c>
      <c r="E217" s="191">
        <v>150</v>
      </c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78">
        <f>'Données projet'!A201</f>
        <v>126</v>
      </c>
      <c r="B218" s="179">
        <f>'Données projet'!D201</f>
        <v>30.400000000000002</v>
      </c>
      <c r="C218" s="191">
        <v>30</v>
      </c>
      <c r="D218" s="177">
        <f t="shared" si="12"/>
        <v>912.00000000000011</v>
      </c>
      <c r="E218" s="191">
        <v>150</v>
      </c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78">
        <f>'Données projet'!A202</f>
        <v>138</v>
      </c>
      <c r="B219" s="179">
        <f>'Données projet'!D202</f>
        <v>31.200000000000003</v>
      </c>
      <c r="C219" s="191">
        <v>60</v>
      </c>
      <c r="D219" s="177">
        <f t="shared" si="12"/>
        <v>1872.0000000000002</v>
      </c>
      <c r="E219" s="191">
        <v>150</v>
      </c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78">
        <f>'Données projet'!A203</f>
        <v>153</v>
      </c>
      <c r="B220" s="179">
        <f>'Données projet'!D203</f>
        <v>236.8</v>
      </c>
      <c r="C220" s="191">
        <v>60</v>
      </c>
      <c r="D220" s="177">
        <f t="shared" si="12"/>
        <v>14208</v>
      </c>
      <c r="E220" s="191">
        <v>150</v>
      </c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2" t="str">
        <f>IF('Données projet'!$B$16="","",'Données projet'!$B$16)</f>
        <v>Peuplier Koster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78">
        <f>'Données projet'!A218</f>
        <v>2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78">
        <f>'Données projet'!A219</f>
        <v>3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78">
        <f>'Données projet'!A220</f>
        <v>4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78">
        <f>'Données projet'!A221</f>
        <v>5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78">
        <f>'Données projet'!A222</f>
        <v>6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78">
        <f>'Données projet'!A223</f>
        <v>7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78">
        <f>'Données projet'!A224</f>
        <v>8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78">
        <f>'Données projet'!A225</f>
        <v>9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78">
        <f>'Données projet'!A226</f>
        <v>10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78">
        <f>'Données projet'!A227</f>
        <v>11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78">
        <f>'Données projet'!A228</f>
        <v>12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78">
        <f>'Données projet'!A229</f>
        <v>13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78">
        <f>'Données projet'!A230</f>
        <v>14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78">
        <f>'Données projet'!A231</f>
        <v>15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78">
        <f>'Données projet'!A232</f>
        <v>16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78">
        <f>'Données projet'!A233</f>
        <v>17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78">
        <f>'Données projet'!A234</f>
        <v>18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78">
        <f>'Données projet'!A235</f>
        <v>19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78">
        <f>'Données projet'!A236</f>
        <v>20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78">
        <f>'Données projet'!A237</f>
        <v>21</v>
      </c>
      <c r="B259" s="179">
        <f>'Données projet'!D237</f>
        <v>225.9</v>
      </c>
      <c r="C259" s="191">
        <v>40</v>
      </c>
      <c r="D259" s="177">
        <f t="shared" si="13"/>
        <v>9036</v>
      </c>
      <c r="E259" s="191">
        <v>150</v>
      </c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TP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BOUREL Clément</cp:lastModifiedBy>
  <dcterms:created xsi:type="dcterms:W3CDTF">2021-02-01T08:22:39Z</dcterms:created>
  <dcterms:modified xsi:type="dcterms:W3CDTF">2025-06-16T15:45:24Z</dcterms:modified>
</cp:coreProperties>
</file>