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MARCADET - 19618204 LE/"/>
    </mc:Choice>
  </mc:AlternateContent>
  <xr:revisionPtr revIDLastSave="152" documentId="13_ncr:1_{91C62E09-7A97-40C6-8A6D-8C8B5668C142}" xr6:coauthVersionLast="47" xr6:coauthVersionMax="47" xr10:uidLastSave="{96DCB194-7453-4693-B735-A9447290AC22}"/>
  <bookViews>
    <workbookView xWindow="-28920" yWindow="7515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I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HI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W155" i="2"/>
  <c r="ED154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HI156" i="2"/>
  <c r="HH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EY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X161" i="2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HG162" i="2"/>
  <c r="EB162" i="2"/>
  <c r="ED161" i="2"/>
  <c r="DI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HH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A164" i="2"/>
  <c r="EY163" i="2"/>
  <c r="FR164" i="2"/>
  <c r="ED163" i="2"/>
  <c r="HH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Y171" i="2"/>
  <c r="EV172" i="2"/>
  <c r="ED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FQ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Y184" i="2"/>
  <c r="ED184" i="2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FS186" i="2"/>
  <c r="ED185" i="2"/>
  <c r="HH186" i="2"/>
  <c r="HG186" i="2"/>
  <c r="EW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HI188" i="2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HI191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HG194" i="2"/>
  <c r="FQ194" i="2"/>
  <c r="ED193" i="2"/>
  <c r="EA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FQ195" i="2"/>
  <c r="EY194" i="2"/>
  <c r="EX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FS199" i="2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W202" i="2"/>
  <c r="FZ6" i="2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117" i="2" a="1"/>
  <c r="BC117" i="2" s="1"/>
  <c r="DN50" i="2" a="1"/>
  <c r="DN50" i="2" s="1"/>
  <c r="CS137" i="2" a="1"/>
  <c r="CS137" i="2" s="1"/>
  <c r="CS105" i="2" a="1"/>
  <c r="CS105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38" i="2" a="1"/>
  <c r="GT138" i="2" s="1"/>
  <c r="EI37" i="2" a="1"/>
  <c r="EI37" i="2" s="1"/>
  <c r="DN6" i="2" a="1"/>
  <c r="DN6" i="2" s="1"/>
  <c r="DO6" i="2" s="1"/>
  <c r="FD82" i="2" a="1"/>
  <c r="FD82" i="2" s="1"/>
  <c r="HJ202" i="2"/>
  <c r="AX200" i="2"/>
  <c r="EI142" i="2" l="1" a="1"/>
  <c r="EI142" i="2" s="1"/>
  <c r="EI106" i="2" a="1"/>
  <c r="EI106" i="2" s="1"/>
  <c r="EI166" i="2" a="1"/>
  <c r="EI166" i="2" s="1"/>
  <c r="CS129" i="2" a="1"/>
  <c r="CS129" i="2" s="1"/>
  <c r="BC126" i="2" a="1"/>
  <c r="BC126" i="2" s="1"/>
  <c r="BC68" i="2" a="1"/>
  <c r="BC68" i="2" s="1"/>
  <c r="EI139" i="2" a="1"/>
  <c r="EI139" i="2" s="1"/>
  <c r="BC32" i="2" a="1"/>
  <c r="BC32" i="2" s="1"/>
  <c r="BC181" i="2" a="1"/>
  <c r="BC181" i="2" s="1"/>
  <c r="EI35" i="2" a="1"/>
  <c r="EI35" i="2" s="1"/>
  <c r="EI67" i="2" a="1"/>
  <c r="EI67" i="2" s="1"/>
  <c r="BC192" i="2" a="1"/>
  <c r="BC192" i="2" s="1"/>
  <c r="BC65" i="2" a="1"/>
  <c r="BC65" i="2" s="1"/>
  <c r="GT102" i="2" a="1"/>
  <c r="GT102" i="2" s="1"/>
  <c r="EI16" i="2" a="1"/>
  <c r="EI16" i="2" s="1"/>
  <c r="FD167" i="2" a="1"/>
  <c r="FD167" i="2" s="1"/>
  <c r="BC114" i="2" a="1"/>
  <c r="BC114" i="2" s="1"/>
  <c r="FD189" i="2" a="1"/>
  <c r="FD189" i="2" s="1"/>
  <c r="EI128" i="2" a="1"/>
  <c r="EI128" i="2" s="1"/>
  <c r="FD48" i="2" a="1"/>
  <c r="FD48" i="2" s="1"/>
  <c r="BC82" i="2" a="1"/>
  <c r="BC82" i="2" s="1"/>
  <c r="EI113" i="2" a="1"/>
  <c r="EI113" i="2" s="1"/>
  <c r="EI20" i="2" a="1"/>
  <c r="EI20" i="2" s="1"/>
  <c r="BC47" i="2" a="1"/>
  <c r="BC47" i="2" s="1"/>
  <c r="EI34" i="2" a="1"/>
  <c r="EI34" i="2" s="1"/>
  <c r="GT11" i="2" a="1"/>
  <c r="GT11" i="2" s="1"/>
  <c r="GT15" i="2" a="1"/>
  <c r="GT15" i="2" s="1"/>
  <c r="EI195" i="2" a="1"/>
  <c r="EI195" i="2" s="1"/>
  <c r="FY50" i="2" a="1"/>
  <c r="FY50" i="2" s="1"/>
  <c r="EI71" i="2" a="1"/>
  <c r="EI71" i="2" s="1"/>
  <c r="EI165" i="2" a="1"/>
  <c r="EI165" i="2" s="1"/>
  <c r="EY202" i="2"/>
  <c r="EI36" i="2" a="1"/>
  <c r="EI36" i="2" s="1"/>
  <c r="EI57" i="2" a="1"/>
  <c r="EI57" i="2" s="1"/>
  <c r="EI87" i="2" a="1"/>
  <c r="EI87" i="2" s="1"/>
  <c r="EI109" i="2" a="1"/>
  <c r="EI109" i="2" s="1"/>
  <c r="EI38" i="2" a="1"/>
  <c r="EI38" i="2" s="1"/>
  <c r="FD160" i="2" a="1"/>
  <c r="FD160" i="2" s="1"/>
  <c r="FD159" i="2" a="1"/>
  <c r="FD159" i="2" s="1"/>
  <c r="FD188" i="2" a="1"/>
  <c r="FD188" i="2" s="1"/>
  <c r="DN65" i="2" a="1"/>
  <c r="DN65" i="2" s="1"/>
  <c r="DN70" i="2" a="1"/>
  <c r="DN70" i="2" s="1"/>
  <c r="DN168" i="2" a="1"/>
  <c r="DN168" i="2" s="1"/>
  <c r="DN113" i="2" a="1"/>
  <c r="DN113" i="2" s="1"/>
  <c r="DN63" i="2" a="1"/>
  <c r="DN63" i="2" s="1"/>
  <c r="DN114" i="2" a="1"/>
  <c r="DN114" i="2" s="1"/>
  <c r="DN103" i="2" a="1"/>
  <c r="DN103" i="2" s="1"/>
  <c r="FY142" i="2" a="1"/>
  <c r="FY142" i="2" s="1"/>
  <c r="FY190" i="2" a="1"/>
  <c r="FY190" i="2" s="1"/>
  <c r="FY104" i="2" a="1"/>
  <c r="FY104" i="2" s="1"/>
  <c r="FY35" i="2" a="1"/>
  <c r="FY35" i="2" s="1"/>
  <c r="EI170" i="2" a="1"/>
  <c r="EI170" i="2" s="1"/>
  <c r="BC84" i="2" a="1"/>
  <c r="BC84" i="2" s="1"/>
  <c r="BC164" i="2" a="1"/>
  <c r="BC164" i="2" s="1"/>
  <c r="DN187" i="2" a="1"/>
  <c r="DN187" i="2" s="1"/>
  <c r="DN184" i="2" a="1"/>
  <c r="DN184" i="2" s="1"/>
  <c r="DN31" i="2" a="1"/>
  <c r="DN31" i="2" s="1"/>
  <c r="GT107" i="2" a="1"/>
  <c r="GT107" i="2" s="1"/>
  <c r="GT147" i="2" a="1"/>
  <c r="GT147" i="2" s="1"/>
  <c r="DN167" i="2" a="1"/>
  <c r="DN167" i="2" s="1"/>
  <c r="GT174" i="2" a="1"/>
  <c r="GT174" i="2" s="1"/>
  <c r="CS116" i="2" a="1"/>
  <c r="CS116" i="2" s="1"/>
  <c r="DN16" i="2" a="1"/>
  <c r="DN16" i="2" s="1"/>
  <c r="GT190" i="2" a="1"/>
  <c r="GT190" i="2" s="1"/>
  <c r="DN150" i="2" a="1"/>
  <c r="DN150" i="2" s="1"/>
  <c r="DN162" i="2" a="1"/>
  <c r="DN162" i="2" s="1"/>
  <c r="GT191" i="2" a="1"/>
  <c r="GT191" i="2" s="1"/>
  <c r="DN43" i="2" a="1"/>
  <c r="DN43" i="2" s="1"/>
  <c r="GT133" i="2" a="1"/>
  <c r="GT133" i="2" s="1"/>
  <c r="CS24" i="2" a="1"/>
  <c r="CS24" i="2" s="1"/>
  <c r="GT38" i="2" a="1"/>
  <c r="GT38" i="2" s="1"/>
  <c r="BC143" i="2" a="1"/>
  <c r="BC143" i="2" s="1"/>
  <c r="FY196" i="2" a="1"/>
  <c r="FY196" i="2" s="1"/>
  <c r="DN66" i="2" a="1"/>
  <c r="DN66" i="2" s="1"/>
  <c r="DN186" i="2" a="1"/>
  <c r="DN186" i="2" s="1"/>
  <c r="GT121" i="2" a="1"/>
  <c r="GT121" i="2" s="1"/>
  <c r="BC58" i="2" a="1"/>
  <c r="BC58" i="2" s="1"/>
  <c r="DN55" i="2" a="1"/>
  <c r="DN55" i="2" s="1"/>
  <c r="BX107" i="2" a="1"/>
  <c r="BX107" i="2" s="1"/>
  <c r="DN152" i="2" a="1"/>
  <c r="DN152" i="2" s="1"/>
  <c r="CS72" i="2" a="1"/>
  <c r="CS72" i="2" s="1"/>
  <c r="DN29" i="2" a="1"/>
  <c r="DN29" i="2" s="1"/>
  <c r="GT152" i="2" a="1"/>
  <c r="GT152" i="2" s="1"/>
  <c r="DN45" i="2" a="1"/>
  <c r="DN45" i="2" s="1"/>
  <c r="DN41" i="2" a="1"/>
  <c r="DN41" i="2" s="1"/>
  <c r="GT33" i="2" a="1"/>
  <c r="GT33" i="2" s="1"/>
  <c r="CS134" i="2" a="1"/>
  <c r="CS134" i="2" s="1"/>
  <c r="FY30" i="2" a="1"/>
  <c r="FY30" i="2" s="1"/>
  <c r="DN192" i="2" a="1"/>
  <c r="DN192" i="2" s="1"/>
  <c r="DN49" i="2" a="1"/>
  <c r="DN49" i="2" s="1"/>
  <c r="DN132" i="2" a="1"/>
  <c r="DN132" i="2" s="1"/>
  <c r="DN164" i="2" a="1"/>
  <c r="DN164" i="2" s="1"/>
  <c r="GT126" i="2" a="1"/>
  <c r="GT126" i="2" s="1"/>
  <c r="BC31" i="2" a="1"/>
  <c r="BC31" i="2" s="1"/>
  <c r="CS38" i="2" a="1"/>
  <c r="CS38" i="2" s="1"/>
  <c r="DN188" i="2" a="1"/>
  <c r="DN188" i="2" s="1"/>
  <c r="DN137" i="2" a="1"/>
  <c r="DN137" i="2" s="1"/>
  <c r="GT122" i="2" a="1"/>
  <c r="GT122" i="2" s="1"/>
  <c r="BC34" i="2" a="1"/>
  <c r="BC34" i="2" s="1"/>
  <c r="FS203" i="2"/>
  <c r="DN123" i="2" a="1"/>
  <c r="DN123" i="2" s="1"/>
  <c r="DN135" i="2" a="1"/>
  <c r="DN135" i="2" s="1"/>
  <c r="DN86" i="2" a="1"/>
  <c r="DN86" i="2" s="1"/>
  <c r="DN46" i="2" a="1"/>
  <c r="DN46" i="2" s="1"/>
  <c r="CS161" i="2" a="1"/>
  <c r="CS161" i="2" s="1"/>
  <c r="DN177" i="2" a="1"/>
  <c r="DN177" i="2" s="1"/>
  <c r="GT68" i="2" a="1"/>
  <c r="GT68" i="2" s="1"/>
  <c r="DN115" i="2" a="1"/>
  <c r="DN115" i="2" s="1"/>
  <c r="GT181" i="2" a="1"/>
  <c r="GT181" i="2" s="1"/>
  <c r="DN176" i="2" a="1"/>
  <c r="DN176" i="2" s="1"/>
  <c r="AH62" i="2" a="1"/>
  <c r="AH62" i="2" s="1"/>
  <c r="CS66" i="2" a="1"/>
  <c r="CS66" i="2" s="1"/>
  <c r="FY78" i="2" a="1"/>
  <c r="FY78" i="2" s="1"/>
  <c r="DN190" i="2" a="1"/>
  <c r="DN190" i="2" s="1"/>
  <c r="DN80" i="2" a="1"/>
  <c r="DN80" i="2" s="1"/>
  <c r="GT21" i="2" a="1"/>
  <c r="GT21" i="2" s="1"/>
  <c r="BC55" i="2" a="1"/>
  <c r="BC55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25" i="2" a="1"/>
  <c r="DN25" i="2" s="1"/>
  <c r="DN110" i="2" a="1"/>
  <c r="DN110" i="2" s="1"/>
  <c r="DN30" i="2" a="1"/>
  <c r="DN30" i="2" s="1"/>
  <c r="GT74" i="2" a="1"/>
  <c r="GT74" i="2" s="1"/>
  <c r="GT51" i="2" a="1"/>
  <c r="GT51" i="2" s="1"/>
  <c r="DN38" i="2" a="1"/>
  <c r="DN38" i="2" s="1"/>
  <c r="GT178" i="2" a="1"/>
  <c r="GT178" i="2" s="1"/>
  <c r="CS52" i="2" a="1"/>
  <c r="CS52" i="2" s="1"/>
  <c r="CS114" i="2" a="1"/>
  <c r="CS114" i="2" s="1"/>
  <c r="GT189" i="2" a="1"/>
  <c r="GT189" i="2" s="1"/>
  <c r="AH163" i="2" a="1"/>
  <c r="AH163" i="2" s="1"/>
  <c r="DN124" i="2" a="1"/>
  <c r="DN124" i="2" s="1"/>
  <c r="AH92" i="2" a="1"/>
  <c r="AH92" i="2" s="1"/>
  <c r="CS56" i="2" a="1"/>
  <c r="CS56" i="2" s="1"/>
  <c r="GT198" i="2" a="1"/>
  <c r="GT198" i="2" s="1"/>
  <c r="DN153" i="2" a="1"/>
  <c r="DN153" i="2" s="1"/>
  <c r="GT184" i="2" a="1"/>
  <c r="GT184" i="2" s="1"/>
  <c r="DN133" i="2" a="1"/>
  <c r="DN133" i="2" s="1"/>
  <c r="CS185" i="2" a="1"/>
  <c r="CS185" i="2" s="1"/>
  <c r="GT12" i="2" a="1"/>
  <c r="GT12" i="2" s="1"/>
  <c r="BC130" i="2" a="1"/>
  <c r="BC130" i="2" s="1"/>
  <c r="CS77" i="2" a="1"/>
  <c r="CS77" i="2" s="1"/>
  <c r="DN129" i="2" a="1"/>
  <c r="DN129" i="2" s="1"/>
  <c r="DN56" i="2" a="1"/>
  <c r="DN56" i="2" s="1"/>
  <c r="FY69" i="2" a="1"/>
  <c r="FY69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T203" i="2"/>
  <c r="DI203" i="2"/>
  <c r="FZ10" i="2"/>
  <c r="FZ11" i="2" s="1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37" i="2" l="1"/>
  <c r="FJ29" i="2"/>
  <c r="FJ69" i="2"/>
  <c r="FJ122" i="2"/>
  <c r="FJ73" i="2"/>
  <c r="FJ21" i="2"/>
  <c r="FJ105" i="2"/>
  <c r="FJ48" i="2"/>
  <c r="FJ82" i="2"/>
  <c r="FJ121" i="2"/>
  <c r="FJ157" i="2"/>
  <c r="FJ86" i="2"/>
  <c r="FJ196" i="2"/>
  <c r="FJ31" i="2"/>
  <c r="FJ129" i="2"/>
  <c r="FJ156" i="2"/>
  <c r="FJ77" i="2"/>
  <c r="FJ92" i="2"/>
  <c r="FJ16" i="2"/>
  <c r="FJ151" i="2"/>
  <c r="FJ43" i="2"/>
  <c r="FJ56" i="2"/>
  <c r="FJ125" i="2"/>
  <c r="FJ3" i="2"/>
  <c r="C13" i="4" s="1"/>
  <c r="E13" i="4" s="1"/>
  <c r="F13" i="4" s="1"/>
  <c r="G13" i="4" s="1"/>
  <c r="L13" i="4" s="1"/>
  <c r="FJ180" i="2"/>
  <c r="FJ27" i="2"/>
  <c r="FJ153" i="2"/>
  <c r="FJ114" i="2"/>
  <c r="FJ126" i="2"/>
  <c r="FJ60" i="2"/>
  <c r="FJ74" i="2"/>
  <c r="FJ188" i="2"/>
  <c r="FJ119" i="2"/>
  <c r="FJ94" i="2"/>
  <c r="FJ20" i="2"/>
  <c r="FJ189" i="2"/>
  <c r="FJ26" i="2"/>
  <c r="FJ7" i="2"/>
  <c r="FJ97" i="2"/>
  <c r="FJ172" i="2"/>
  <c r="FJ24" i="2"/>
  <c r="FJ115" i="2"/>
  <c r="FJ10" i="2"/>
  <c r="FJ107" i="2"/>
  <c r="FJ84" i="2"/>
  <c r="FJ52" i="2"/>
  <c r="FJ85" i="2"/>
  <c r="FJ35" i="2"/>
  <c r="FJ76" i="2"/>
  <c r="FJ8" i="2"/>
  <c r="FJ169" i="2"/>
  <c r="FJ37" i="2"/>
  <c r="FJ34" i="2"/>
  <c r="FJ165" i="2"/>
  <c r="FJ106" i="2"/>
  <c r="FJ49" i="2"/>
  <c r="FJ41" i="2"/>
  <c r="FJ93" i="2"/>
  <c r="FJ134" i="2"/>
  <c r="FJ179" i="2"/>
  <c r="FJ28" i="2"/>
  <c r="FJ5" i="2"/>
  <c r="FJ143" i="2"/>
  <c r="FJ191" i="2"/>
  <c r="FE84" i="2"/>
  <c r="FF83" i="2"/>
  <c r="FG83" i="2" s="1"/>
  <c r="FH83" i="2" s="1"/>
  <c r="FI83" i="2" s="1"/>
  <c r="FJ11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" i="2" l="1"/>
  <c r="FJ182" i="2"/>
  <c r="FJ152" i="2"/>
  <c r="FJ30" i="2"/>
  <c r="FJ142" i="2"/>
  <c r="FJ95" i="2"/>
  <c r="FJ177" i="2"/>
  <c r="FJ65" i="2"/>
  <c r="FJ155" i="2"/>
  <c r="FJ148" i="2"/>
  <c r="FJ201" i="2"/>
  <c r="FJ68" i="2"/>
  <c r="FJ193" i="2"/>
  <c r="FJ109" i="2"/>
  <c r="FJ194" i="2"/>
  <c r="FJ19" i="2"/>
  <c r="FJ58" i="2"/>
  <c r="FJ98" i="2"/>
  <c r="FJ171" i="2"/>
  <c r="FJ83" i="2"/>
  <c r="FJ59" i="2"/>
  <c r="FJ173" i="2"/>
  <c r="FJ181" i="2"/>
  <c r="FJ46" i="2"/>
  <c r="FJ50" i="2"/>
  <c r="FJ159" i="2"/>
  <c r="FJ170" i="2"/>
  <c r="FJ45" i="2"/>
  <c r="FJ147" i="2"/>
  <c r="FJ163" i="2"/>
  <c r="FJ53" i="2"/>
  <c r="FJ158" i="2"/>
  <c r="FJ47" i="2"/>
  <c r="FJ197" i="2"/>
  <c r="FJ42" i="2"/>
  <c r="FJ112" i="2"/>
  <c r="FJ199" i="2"/>
  <c r="FJ141" i="2"/>
  <c r="FJ89" i="2"/>
  <c r="FJ128" i="2"/>
  <c r="FJ11" i="2"/>
  <c r="FJ178" i="2"/>
  <c r="FJ63" i="2"/>
  <c r="FJ6" i="2"/>
  <c r="FJ100" i="2"/>
  <c r="FJ190" i="2"/>
  <c r="FJ168" i="2"/>
  <c r="FJ102" i="2"/>
  <c r="FJ67" i="2"/>
  <c r="FJ175" i="2"/>
  <c r="FJ203" i="2"/>
  <c r="FJ144" i="2"/>
  <c r="FJ130" i="2"/>
  <c r="FJ131" i="2"/>
  <c r="FJ22" i="2"/>
  <c r="FJ55" i="2"/>
  <c r="FJ39" i="2"/>
  <c r="FJ192" i="2"/>
  <c r="FJ185" i="2"/>
  <c r="FJ184" i="2"/>
  <c r="FJ101" i="2"/>
  <c r="FJ135" i="2"/>
  <c r="FJ162" i="2"/>
  <c r="FJ80" i="2"/>
  <c r="FJ71" i="2"/>
  <c r="FJ33" i="2"/>
  <c r="FJ145" i="2"/>
  <c r="FJ111" i="2"/>
  <c r="FJ12" i="2"/>
  <c r="FJ17" i="2"/>
  <c r="FJ186" i="2"/>
  <c r="FJ40" i="2"/>
  <c r="FJ123" i="2"/>
  <c r="FJ9" i="2"/>
  <c r="FJ96" i="2"/>
  <c r="FJ166" i="2"/>
  <c r="FJ118" i="2"/>
  <c r="FJ127" i="2"/>
  <c r="FJ51" i="2"/>
  <c r="FJ75" i="2"/>
  <c r="FJ13" i="2"/>
  <c r="FJ90" i="2"/>
  <c r="FJ66" i="2"/>
  <c r="FJ187" i="2"/>
  <c r="FJ4" i="2"/>
  <c r="FJ44" i="2"/>
  <c r="FJ116" i="2"/>
  <c r="FJ91" i="2"/>
  <c r="FJ167" i="2"/>
  <c r="FJ81" i="2"/>
  <c r="FJ104" i="2"/>
  <c r="FJ164" i="2"/>
  <c r="FJ78" i="2"/>
  <c r="FJ87" i="2"/>
  <c r="FJ113" i="2"/>
  <c r="FJ70" i="2"/>
  <c r="FJ62" i="2"/>
  <c r="FJ146" i="2"/>
  <c r="FJ124" i="2"/>
  <c r="FJ176" i="2"/>
  <c r="FJ99" i="2"/>
  <c r="FJ202" i="2"/>
  <c r="FJ88" i="2"/>
  <c r="FJ136" i="2"/>
  <c r="FJ72" i="2"/>
  <c r="FJ149" i="2"/>
  <c r="FJ108" i="2"/>
  <c r="FJ200" i="2"/>
  <c r="FJ25" i="2"/>
  <c r="FJ64" i="2"/>
  <c r="FJ140" i="2"/>
  <c r="FJ79" i="2"/>
  <c r="FJ133" i="2"/>
  <c r="FJ32" i="2"/>
  <c r="FJ195" i="2"/>
  <c r="FJ161" i="2"/>
  <c r="FJ160" i="2"/>
  <c r="FJ139" i="2"/>
  <c r="FJ23" i="2"/>
  <c r="FJ103" i="2"/>
  <c r="FJ117" i="2"/>
  <c r="FJ138" i="2"/>
  <c r="FJ198" i="2"/>
  <c r="FJ18" i="2"/>
  <c r="FJ14" i="2"/>
  <c r="FJ174" i="2"/>
  <c r="FJ120" i="2"/>
  <c r="FJ54" i="2"/>
  <c r="FJ154" i="2"/>
  <c r="FJ57" i="2"/>
  <c r="FJ183" i="2"/>
  <c r="FJ38" i="2"/>
  <c r="FJ36" i="2"/>
  <c r="FJ132" i="2"/>
  <c r="FJ150" i="2"/>
  <c r="FJ61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1" i="2" l="1"/>
  <c r="GE154" i="2"/>
  <c r="GE10" i="2"/>
  <c r="GE16" i="2"/>
  <c r="GE111" i="2"/>
  <c r="GE170" i="2"/>
  <c r="GE71" i="2"/>
  <c r="GE78" i="2"/>
  <c r="GE165" i="2"/>
  <c r="GE39" i="2"/>
  <c r="GE200" i="2"/>
  <c r="GE18" i="2"/>
  <c r="GE9" i="2"/>
  <c r="GE33" i="2"/>
  <c r="GE146" i="2"/>
  <c r="GE83" i="2"/>
  <c r="GE82" i="2"/>
  <c r="GE127" i="2"/>
  <c r="GE174" i="2"/>
  <c r="GE137" i="2"/>
  <c r="GE160" i="2"/>
  <c r="GE148" i="2"/>
  <c r="GE193" i="2"/>
  <c r="GE95" i="2"/>
  <c r="GE17" i="2"/>
  <c r="GE172" i="2"/>
  <c r="GE50" i="2"/>
  <c r="GE62" i="2"/>
  <c r="GE5" i="2"/>
  <c r="GE164" i="2"/>
  <c r="GE133" i="2"/>
  <c r="GE97" i="2"/>
  <c r="GE102" i="2"/>
  <c r="GE73" i="2"/>
  <c r="GE67" i="2"/>
  <c r="GE184" i="2"/>
  <c r="GE161" i="2"/>
  <c r="GE24" i="2"/>
  <c r="GE96" i="2"/>
  <c r="GE89" i="2"/>
  <c r="GE93" i="2"/>
  <c r="GE187" i="2"/>
  <c r="GE90" i="2"/>
  <c r="GE142" i="2"/>
  <c r="GE27" i="2"/>
  <c r="GE77" i="2"/>
  <c r="GE31" i="2"/>
  <c r="GE80" i="2"/>
  <c r="GE178" i="2"/>
  <c r="GE26" i="2"/>
  <c r="GE113" i="2"/>
  <c r="GE116" i="2"/>
  <c r="GE91" i="2"/>
  <c r="GE57" i="2"/>
  <c r="GE192" i="2"/>
  <c r="GE135" i="2"/>
  <c r="GE22" i="2"/>
  <c r="GE145" i="2"/>
  <c r="GE130" i="2"/>
  <c r="GE202" i="2"/>
  <c r="GE53" i="2"/>
  <c r="GE34" i="2"/>
  <c r="GE88" i="2"/>
  <c r="GE101" i="2"/>
  <c r="GE37" i="2"/>
  <c r="GE183" i="2"/>
  <c r="GE43" i="2"/>
  <c r="GE54" i="2"/>
  <c r="GE176" i="2"/>
  <c r="GE203" i="2"/>
  <c r="GE60" i="2"/>
  <c r="GE109" i="2"/>
  <c r="GE155" i="2"/>
  <c r="GE104" i="2"/>
  <c r="GE195" i="2"/>
  <c r="GE75" i="2"/>
  <c r="GE179" i="2"/>
  <c r="GE173" i="2"/>
  <c r="GE19" i="2"/>
  <c r="GE42" i="2"/>
  <c r="GE115" i="2"/>
  <c r="GE117" i="2"/>
  <c r="GE198" i="2"/>
  <c r="GE106" i="2"/>
  <c r="GE29" i="2"/>
  <c r="GE188" i="2"/>
  <c r="GE132" i="2"/>
  <c r="GE8" i="2"/>
  <c r="GE51" i="2"/>
  <c r="GE3" i="2"/>
  <c r="C14" i="4" s="1"/>
  <c r="E14" i="4" s="1"/>
  <c r="F14" i="4" s="1"/>
  <c r="G14" i="4" s="1"/>
  <c r="L14" i="4" s="1"/>
  <c r="GE140" i="2"/>
  <c r="GE138" i="2"/>
  <c r="GE143" i="2"/>
  <c r="GE92" i="2"/>
  <c r="GE55" i="2"/>
  <c r="GE85" i="2"/>
  <c r="GE189" i="2"/>
  <c r="GE98" i="2"/>
  <c r="GE125" i="2"/>
  <c r="GE118" i="2"/>
  <c r="GE110" i="2"/>
  <c r="GE185" i="2"/>
  <c r="GE169" i="2"/>
  <c r="GE163" i="2"/>
  <c r="GE196" i="2"/>
  <c r="GE41" i="2"/>
  <c r="GE153" i="2"/>
  <c r="GE58" i="2"/>
  <c r="GE7" i="2"/>
  <c r="GE112" i="2"/>
  <c r="GE108" i="2"/>
  <c r="GE186" i="2"/>
  <c r="GE56" i="2"/>
  <c r="GE38" i="2"/>
  <c r="GE20" i="2"/>
  <c r="GE120" i="2"/>
  <c r="GE199" i="2"/>
  <c r="GE65" i="2"/>
  <c r="GE194" i="2"/>
  <c r="GE14" i="2"/>
  <c r="GE23" i="2"/>
  <c r="GE139" i="2"/>
  <c r="GE40" i="2"/>
  <c r="GE158" i="2"/>
  <c r="GE15" i="2"/>
  <c r="GE28" i="2"/>
  <c r="GE105" i="2"/>
  <c r="GE123" i="2"/>
  <c r="GE167" i="2"/>
  <c r="GE86" i="2"/>
  <c r="GE175" i="2"/>
  <c r="GE149" i="2"/>
  <c r="GE46" i="2"/>
  <c r="GE64" i="2"/>
  <c r="GE6" i="2"/>
  <c r="GE25" i="2"/>
  <c r="GE70" i="2"/>
  <c r="GE59" i="2"/>
  <c r="GE35" i="2"/>
  <c r="GE114" i="2"/>
  <c r="GE159" i="2"/>
  <c r="GE13" i="2"/>
  <c r="GE147" i="2"/>
  <c r="GE119" i="2"/>
  <c r="GE87" i="2"/>
  <c r="GE151" i="2"/>
  <c r="GE47" i="2"/>
  <c r="GE49" i="2"/>
  <c r="GE69" i="2"/>
  <c r="GE129" i="2"/>
  <c r="GE100" i="2"/>
  <c r="GE76" i="2"/>
  <c r="GE74" i="2"/>
  <c r="GE141" i="2"/>
  <c r="GE66" i="2"/>
  <c r="GE156" i="2"/>
  <c r="GE52" i="2"/>
  <c r="GE4" i="2"/>
  <c r="GE190" i="2"/>
  <c r="GE45" i="2"/>
  <c r="GE121" i="2"/>
  <c r="GE144" i="2"/>
  <c r="GE63" i="2"/>
  <c r="GE103" i="2"/>
  <c r="GE128" i="2"/>
  <c r="GE68" i="2"/>
  <c r="GE182" i="2"/>
  <c r="GE72" i="2"/>
  <c r="GE150" i="2"/>
  <c r="GE122" i="2"/>
  <c r="GE136" i="2"/>
  <c r="GE201" i="2"/>
  <c r="GE171" i="2"/>
  <c r="GE131" i="2"/>
  <c r="GE177" i="2"/>
  <c r="GE48" i="2"/>
  <c r="GE94" i="2"/>
  <c r="GE191" i="2"/>
  <c r="GE124" i="2"/>
  <c r="GE134" i="2"/>
  <c r="GE99" i="2"/>
  <c r="GE32" i="2"/>
  <c r="GE84" i="2"/>
  <c r="GE30" i="2"/>
  <c r="GE181" i="2"/>
  <c r="GE152" i="2"/>
  <c r="GE180" i="2"/>
  <c r="GE157" i="2"/>
  <c r="GE12" i="2"/>
  <c r="GE61" i="2"/>
  <c r="GE21" i="2"/>
  <c r="GE107" i="2"/>
  <c r="GE81" i="2"/>
  <c r="GE36" i="2"/>
  <c r="GE126" i="2"/>
  <c r="GE166" i="2"/>
  <c r="GE162" i="2"/>
  <c r="GE79" i="2"/>
  <c r="GE168" i="2"/>
  <c r="GE44" i="2"/>
  <c r="GE19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33" i="2" l="1"/>
  <c r="CD3" i="2"/>
  <c r="C9" i="4" s="1"/>
  <c r="E9" i="4" s="1"/>
  <c r="F9" i="4" s="1"/>
  <c r="G9" i="4" s="1"/>
  <c r="L9" i="4" s="1"/>
  <c r="CD8" i="2"/>
  <c r="CD60" i="2"/>
  <c r="CD152" i="2"/>
  <c r="CD114" i="2"/>
  <c r="CD17" i="2"/>
  <c r="CD106" i="2"/>
  <c r="CD150" i="2"/>
  <c r="CD46" i="2"/>
  <c r="CD129" i="2"/>
  <c r="CD88" i="2"/>
  <c r="CD121" i="2"/>
  <c r="CD127" i="2"/>
  <c r="CD198" i="2"/>
  <c r="CD177" i="2"/>
  <c r="CD117" i="2"/>
  <c r="CD154" i="2"/>
  <c r="CD5" i="2"/>
  <c r="CD51" i="2"/>
  <c r="CD13" i="2"/>
  <c r="CD181" i="2"/>
  <c r="CD83" i="2"/>
  <c r="CD28" i="2"/>
  <c r="CD107" i="2"/>
  <c r="CD68" i="2"/>
  <c r="CD97" i="2"/>
  <c r="CD134" i="2"/>
  <c r="CD76" i="2"/>
  <c r="CD70" i="2"/>
  <c r="CD53" i="2"/>
  <c r="CD135" i="2"/>
  <c r="CD136" i="2"/>
  <c r="CD163" i="2"/>
  <c r="CD133" i="2"/>
  <c r="CD38" i="2"/>
  <c r="CD24" i="2"/>
  <c r="CD140" i="2"/>
  <c r="CD6" i="2"/>
  <c r="CD185" i="2"/>
  <c r="CD71" i="2"/>
  <c r="CD196" i="2"/>
  <c r="CD63" i="2"/>
  <c r="CD189" i="2"/>
  <c r="CD77" i="2"/>
  <c r="CD27" i="2"/>
  <c r="CD93" i="2"/>
  <c r="CD200" i="2"/>
  <c r="CD23" i="2"/>
  <c r="CD21" i="2"/>
  <c r="CD86" i="2"/>
  <c r="CD55" i="2"/>
  <c r="CD44" i="2"/>
  <c r="CD144" i="2"/>
  <c r="CD164" i="2"/>
  <c r="CD4" i="2"/>
  <c r="CD190" i="2"/>
  <c r="CD191" i="2"/>
  <c r="CD100" i="2"/>
  <c r="CD87" i="2"/>
  <c r="CD161" i="2"/>
  <c r="CD157" i="2"/>
  <c r="CD109" i="2"/>
  <c r="CD187" i="2"/>
  <c r="CD65" i="2"/>
  <c r="CD180" i="2"/>
  <c r="CD61" i="2"/>
  <c r="CD67" i="2"/>
  <c r="CD73" i="2"/>
  <c r="CD22" i="2"/>
  <c r="CD25" i="2"/>
  <c r="CD112" i="2"/>
  <c r="CD74" i="2"/>
  <c r="CD115" i="2"/>
  <c r="CD101" i="2"/>
  <c r="CD128" i="2"/>
  <c r="CD165" i="2"/>
  <c r="CD183" i="2"/>
  <c r="CD123" i="2"/>
  <c r="CD145" i="2"/>
  <c r="CD104" i="2"/>
  <c r="CD34" i="2"/>
  <c r="CD14" i="2"/>
  <c r="CD7" i="2"/>
  <c r="CD179" i="2"/>
  <c r="CD42" i="2"/>
  <c r="CD138" i="2"/>
  <c r="CD197" i="2"/>
  <c r="CD159" i="2"/>
  <c r="CD48" i="2"/>
  <c r="CD194" i="2"/>
  <c r="CD132" i="2"/>
  <c r="CD162" i="2"/>
  <c r="CD45" i="2"/>
  <c r="CD166" i="2"/>
  <c r="CD175" i="2"/>
  <c r="CD57" i="2"/>
  <c r="CD116" i="2"/>
  <c r="CD41" i="2"/>
  <c r="CD120" i="2"/>
  <c r="CD186" i="2"/>
  <c r="CD153" i="2"/>
  <c r="CD119" i="2"/>
  <c r="CD156" i="2"/>
  <c r="CD31" i="2"/>
  <c r="CD49" i="2"/>
  <c r="CD143" i="2"/>
  <c r="CD56" i="2"/>
  <c r="CD9" i="2"/>
  <c r="CD59" i="2"/>
  <c r="CD20" i="2"/>
  <c r="CD146" i="2"/>
  <c r="CD90" i="2"/>
  <c r="CD29" i="2"/>
  <c r="CD32" i="2"/>
  <c r="CD125" i="2"/>
  <c r="CD105" i="2"/>
  <c r="CD12" i="2"/>
  <c r="CD118" i="2"/>
  <c r="CD142" i="2"/>
  <c r="CD96" i="2"/>
  <c r="CD149" i="2"/>
  <c r="CD108" i="2"/>
  <c r="CD84" i="2"/>
  <c r="CD188" i="2"/>
  <c r="CD171" i="2"/>
  <c r="CD137" i="2"/>
  <c r="CD203" i="2"/>
  <c r="CD113" i="2"/>
  <c r="CD82" i="2"/>
  <c r="CD94" i="2"/>
  <c r="CD78" i="2"/>
  <c r="CD124" i="2"/>
  <c r="CD10" i="2"/>
  <c r="CD64" i="2"/>
  <c r="CD72" i="2"/>
  <c r="CD126" i="2"/>
  <c r="CD81" i="2"/>
  <c r="CD40" i="2"/>
  <c r="CD155" i="2"/>
  <c r="CD18" i="2"/>
  <c r="CD167" i="2"/>
  <c r="CD52" i="2"/>
  <c r="CD158" i="2"/>
  <c r="CD202" i="2"/>
  <c r="CD69" i="2"/>
  <c r="CD131" i="2"/>
  <c r="CD85" i="2"/>
  <c r="CD195" i="2"/>
  <c r="CD47" i="2"/>
  <c r="CD148" i="2"/>
  <c r="CD174" i="2"/>
  <c r="CD95" i="2"/>
  <c r="CD92" i="2"/>
  <c r="CD19" i="2"/>
  <c r="CD91" i="2"/>
  <c r="CD58" i="2"/>
  <c r="CD102" i="2"/>
  <c r="CD151" i="2"/>
  <c r="CD182" i="2"/>
  <c r="CD160" i="2"/>
  <c r="CD139" i="2"/>
  <c r="CD39" i="2"/>
  <c r="CD50" i="2"/>
  <c r="CD169" i="2"/>
  <c r="CD43" i="2"/>
  <c r="CD54" i="2"/>
  <c r="CD30" i="2"/>
  <c r="CD141" i="2"/>
  <c r="CD35" i="2"/>
  <c r="CD11" i="2"/>
  <c r="CD170" i="2"/>
  <c r="CD168" i="2"/>
  <c r="CD193" i="2"/>
  <c r="CD75" i="2"/>
  <c r="CD79" i="2"/>
  <c r="CD122" i="2"/>
  <c r="CD99" i="2"/>
  <c r="CD178" i="2"/>
  <c r="CD89" i="2"/>
  <c r="CD103" i="2"/>
  <c r="CD37" i="2"/>
  <c r="CD173" i="2"/>
  <c r="CD15" i="2"/>
  <c r="CD98" i="2"/>
  <c r="CD130" i="2"/>
  <c r="CD199" i="2"/>
  <c r="CD80" i="2"/>
  <c r="CD16" i="2"/>
  <c r="CD201" i="2"/>
  <c r="CD192" i="2"/>
  <c r="CD36" i="2"/>
  <c r="CD66" i="2"/>
  <c r="CD110" i="2"/>
  <c r="CD26" i="2"/>
  <c r="CD184" i="2"/>
  <c r="CD62" i="2"/>
  <c r="CD176" i="2"/>
  <c r="CD172" i="2"/>
  <c r="CD147" i="2"/>
  <c r="CD111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34" i="2" l="1"/>
  <c r="AN74" i="2"/>
  <c r="AN160" i="2"/>
  <c r="AN129" i="2"/>
  <c r="AN173" i="2"/>
  <c r="AN171" i="2"/>
  <c r="AN154" i="2"/>
  <c r="AN105" i="2"/>
  <c r="AN146" i="2"/>
  <c r="AN190" i="2"/>
  <c r="AN87" i="2"/>
  <c r="AN94" i="2"/>
  <c r="AN202" i="2"/>
  <c r="AN62" i="2"/>
  <c r="AN127" i="2"/>
  <c r="AN158" i="2"/>
  <c r="AN83" i="2"/>
  <c r="AN164" i="2"/>
  <c r="AN119" i="2"/>
  <c r="AN7" i="2"/>
  <c r="AN54" i="2"/>
  <c r="AN194" i="2"/>
  <c r="AN60" i="2"/>
  <c r="AN70" i="2"/>
  <c r="AN96" i="2"/>
  <c r="AN142" i="2"/>
  <c r="AN113" i="2"/>
  <c r="AN108" i="2"/>
  <c r="AN15" i="2"/>
  <c r="AN100" i="2"/>
  <c r="AN59" i="2"/>
  <c r="AN27" i="2"/>
  <c r="AN170" i="2"/>
  <c r="AN182" i="2"/>
  <c r="AN166" i="2"/>
  <c r="AN199" i="2"/>
  <c r="AN72" i="2"/>
  <c r="AN79" i="2"/>
  <c r="AN53" i="2"/>
  <c r="AN184" i="2"/>
  <c r="AN68" i="2"/>
  <c r="AN192" i="2"/>
  <c r="AN10" i="2"/>
  <c r="AN114" i="2"/>
  <c r="AN109" i="2"/>
  <c r="AN12" i="2"/>
  <c r="AN77" i="2"/>
  <c r="AN124" i="2"/>
  <c r="AN65" i="2"/>
  <c r="AN24" i="2"/>
  <c r="AN52" i="2"/>
  <c r="AN5" i="2"/>
  <c r="AN9" i="2"/>
  <c r="AN13" i="2"/>
  <c r="AN78" i="2"/>
  <c r="AN148" i="2"/>
  <c r="AN189" i="2"/>
  <c r="AN140" i="2"/>
  <c r="AN8" i="2"/>
  <c r="AN165" i="2"/>
  <c r="AN61" i="2"/>
  <c r="AN161" i="2"/>
  <c r="AN88" i="2"/>
  <c r="AN37" i="2"/>
  <c r="AN200" i="2"/>
  <c r="AN56" i="2"/>
  <c r="AN63" i="2"/>
  <c r="AN163" i="2"/>
  <c r="AN11" i="2"/>
  <c r="AN156" i="2"/>
  <c r="AN48" i="2"/>
  <c r="AN183" i="2"/>
  <c r="AN97" i="2"/>
  <c r="AN64" i="2"/>
  <c r="AN133" i="2"/>
  <c r="AN121" i="2"/>
  <c r="AN147" i="2"/>
  <c r="AN177" i="2"/>
  <c r="AN187" i="2"/>
  <c r="AN201" i="2"/>
  <c r="AN3" i="2"/>
  <c r="C7" i="4" s="1"/>
  <c r="E7" i="4" s="1"/>
  <c r="F7" i="4" s="1"/>
  <c r="G7" i="4" s="1"/>
  <c r="L7" i="4" s="1"/>
  <c r="AN107" i="2"/>
  <c r="AN195" i="2"/>
  <c r="AN45" i="2"/>
  <c r="AN135" i="2"/>
  <c r="AN172" i="2"/>
  <c r="AN49" i="2"/>
  <c r="AN43" i="2"/>
  <c r="AN76" i="2"/>
  <c r="AN85" i="2"/>
  <c r="AN106" i="2"/>
  <c r="AN25" i="2"/>
  <c r="AN17" i="2"/>
  <c r="AN141" i="2"/>
  <c r="AN84" i="2"/>
  <c r="AN103" i="2"/>
  <c r="AN143" i="2"/>
  <c r="AN139" i="2"/>
  <c r="AN126" i="2"/>
  <c r="AN136" i="2"/>
  <c r="AN176" i="2"/>
  <c r="AN44" i="2"/>
  <c r="AN169" i="2"/>
  <c r="AN90" i="2"/>
  <c r="AN30" i="2"/>
  <c r="AN81" i="2"/>
  <c r="AN41" i="2"/>
  <c r="AN31" i="2"/>
  <c r="AN91" i="2"/>
  <c r="AN19" i="2"/>
  <c r="AN151" i="2"/>
  <c r="AN167" i="2"/>
  <c r="AN144" i="2"/>
  <c r="AN168" i="2"/>
  <c r="AN38" i="2"/>
  <c r="AN80" i="2"/>
  <c r="AN26" i="2"/>
  <c r="AN67" i="2"/>
  <c r="AN29" i="2"/>
  <c r="AN110" i="2"/>
  <c r="AN66" i="2"/>
  <c r="AN32" i="2"/>
  <c r="AN131" i="2"/>
  <c r="AN116" i="2"/>
  <c r="AN71" i="2"/>
  <c r="AN16" i="2"/>
  <c r="AN157" i="2"/>
  <c r="AN101" i="2"/>
  <c r="AN123" i="2"/>
  <c r="AN23" i="2"/>
  <c r="AN120" i="2"/>
  <c r="AN51" i="2"/>
  <c r="AN115" i="2"/>
  <c r="AN58" i="2"/>
  <c r="AN104" i="2"/>
  <c r="AN138" i="2"/>
  <c r="AN175" i="2"/>
  <c r="AN162" i="2"/>
  <c r="AN35" i="2"/>
  <c r="AN179" i="2"/>
  <c r="AN196" i="2"/>
  <c r="AN132" i="2"/>
  <c r="AN193" i="2"/>
  <c r="AN152" i="2"/>
  <c r="AN82" i="2"/>
  <c r="AN98" i="2"/>
  <c r="AN89" i="2"/>
  <c r="AN155" i="2"/>
  <c r="AN159" i="2"/>
  <c r="AN14" i="2"/>
  <c r="AN149" i="2"/>
  <c r="AN47" i="2"/>
  <c r="AN203" i="2"/>
  <c r="AN4" i="2"/>
  <c r="AN39" i="2"/>
  <c r="AN191" i="2"/>
  <c r="AN122" i="2"/>
  <c r="AN42" i="2"/>
  <c r="AN69" i="2"/>
  <c r="AN188" i="2"/>
  <c r="AN180" i="2"/>
  <c r="AN6" i="2"/>
  <c r="AN55" i="2"/>
  <c r="AN125" i="2"/>
  <c r="AN185" i="2"/>
  <c r="AN112" i="2"/>
  <c r="AN50" i="2"/>
  <c r="AN102" i="2"/>
  <c r="AN33" i="2"/>
  <c r="AN117" i="2"/>
  <c r="AN118" i="2"/>
  <c r="AN130" i="2"/>
  <c r="AN111" i="2"/>
  <c r="AN197" i="2"/>
  <c r="AN28" i="2"/>
  <c r="AN86" i="2"/>
  <c r="AN40" i="2"/>
  <c r="AN153" i="2"/>
  <c r="AN178" i="2"/>
  <c r="AN99" i="2"/>
  <c r="AN150" i="2"/>
  <c r="AN18" i="2"/>
  <c r="AN75" i="2"/>
  <c r="AN57" i="2"/>
  <c r="AN134" i="2"/>
  <c r="AN145" i="2"/>
  <c r="AN36" i="2"/>
  <c r="AN20" i="2"/>
  <c r="AN186" i="2"/>
  <c r="AN92" i="2"/>
  <c r="AN73" i="2"/>
  <c r="AN21" i="2"/>
  <c r="AN137" i="2"/>
  <c r="AN128" i="2"/>
  <c r="AN93" i="2"/>
  <c r="AN198" i="2"/>
  <c r="AN22" i="2"/>
  <c r="AN46" i="2"/>
  <c r="AN174" i="2"/>
  <c r="AN181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4" i="2" l="1"/>
  <c r="BI192" i="2"/>
  <c r="BI47" i="2"/>
  <c r="BI180" i="2"/>
  <c r="BI183" i="2"/>
  <c r="BI172" i="2"/>
  <c r="BI201" i="2"/>
  <c r="BI173" i="2"/>
  <c r="BI156" i="2"/>
  <c r="BI43" i="2"/>
  <c r="BI106" i="2"/>
  <c r="BI142" i="2"/>
  <c r="BI95" i="2"/>
  <c r="BI137" i="2"/>
  <c r="BI4" i="2"/>
  <c r="BI34" i="2"/>
  <c r="BI198" i="2"/>
  <c r="BI64" i="2"/>
  <c r="BI5" i="2"/>
  <c r="BI54" i="2"/>
  <c r="BI92" i="2"/>
  <c r="BI69" i="2"/>
  <c r="BI167" i="2"/>
  <c r="BI28" i="2"/>
  <c r="BI199" i="2"/>
  <c r="BI133" i="2"/>
  <c r="BI184" i="2"/>
  <c r="BI53" i="2"/>
  <c r="BI94" i="2"/>
  <c r="BI155" i="2"/>
  <c r="BI90" i="2"/>
  <c r="BI91" i="2"/>
  <c r="BI70" i="2"/>
  <c r="BI148" i="2"/>
  <c r="BI82" i="2"/>
  <c r="BI115" i="2"/>
  <c r="BI21" i="2"/>
  <c r="BI175" i="2"/>
  <c r="BI23" i="2"/>
  <c r="BI111" i="2"/>
  <c r="BI14" i="2"/>
  <c r="BI20" i="2"/>
  <c r="BI174" i="2"/>
  <c r="BI37" i="2"/>
  <c r="BI119" i="2"/>
  <c r="BI60" i="2"/>
  <c r="BI50" i="2"/>
  <c r="BI108" i="2"/>
  <c r="BI130" i="2"/>
  <c r="BI88" i="2"/>
  <c r="BI120" i="2"/>
  <c r="BI89" i="2"/>
  <c r="BI10" i="2"/>
  <c r="BI76" i="2"/>
  <c r="BI123" i="2"/>
  <c r="BI61" i="2"/>
  <c r="BI154" i="2"/>
  <c r="BI127" i="2"/>
  <c r="BI136" i="2"/>
  <c r="BI3" i="2"/>
  <c r="C8" i="4" s="1"/>
  <c r="E8" i="4" s="1"/>
  <c r="F8" i="4" s="1"/>
  <c r="G8" i="4" s="1"/>
  <c r="L8" i="4" s="1"/>
  <c r="BI178" i="2"/>
  <c r="BI68" i="2"/>
  <c r="BI85" i="2"/>
  <c r="BI52" i="2"/>
  <c r="BI161" i="2"/>
  <c r="BI146" i="2"/>
  <c r="BI97" i="2"/>
  <c r="BI66" i="2"/>
  <c r="BI83" i="2"/>
  <c r="BI116" i="2"/>
  <c r="BI141" i="2"/>
  <c r="BI190" i="2"/>
  <c r="BI101" i="2"/>
  <c r="BI162" i="2"/>
  <c r="BI145" i="2"/>
  <c r="BI81" i="2"/>
  <c r="BI165" i="2"/>
  <c r="BI38" i="2"/>
  <c r="BI79" i="2"/>
  <c r="BI181" i="2"/>
  <c r="BI150" i="2"/>
  <c r="BI134" i="2"/>
  <c r="BI153" i="2"/>
  <c r="BI51" i="2"/>
  <c r="BI182" i="2"/>
  <c r="BI73" i="2"/>
  <c r="BI170" i="2"/>
  <c r="BI117" i="2"/>
  <c r="BI46" i="2"/>
  <c r="BI75" i="2"/>
  <c r="BI59" i="2"/>
  <c r="BI118" i="2"/>
  <c r="BI77" i="2"/>
  <c r="BI126" i="2"/>
  <c r="BI96" i="2"/>
  <c r="BI49" i="2"/>
  <c r="BI197" i="2"/>
  <c r="BI149" i="2"/>
  <c r="BI98" i="2"/>
  <c r="BI151" i="2"/>
  <c r="BI25" i="2"/>
  <c r="BI158" i="2"/>
  <c r="BI22" i="2"/>
  <c r="BI48" i="2"/>
  <c r="BI26" i="2"/>
  <c r="BI29" i="2"/>
  <c r="BI24" i="2"/>
  <c r="BI103" i="2"/>
  <c r="BI188" i="2"/>
  <c r="BI132" i="2"/>
  <c r="BI164" i="2"/>
  <c r="BI143" i="2"/>
  <c r="BI195" i="2"/>
  <c r="BI202" i="2"/>
  <c r="BI35" i="2"/>
  <c r="BI186" i="2"/>
  <c r="BI45" i="2"/>
  <c r="BI171" i="2"/>
  <c r="BI102" i="2"/>
  <c r="BI78" i="2"/>
  <c r="BI147" i="2"/>
  <c r="BI168" i="2"/>
  <c r="BI30" i="2"/>
  <c r="BI15" i="2"/>
  <c r="BI131" i="2"/>
  <c r="BI65" i="2"/>
  <c r="BI191" i="2"/>
  <c r="BI67" i="2"/>
  <c r="BI125" i="2"/>
  <c r="BI7" i="2"/>
  <c r="BI139" i="2"/>
  <c r="BI152" i="2"/>
  <c r="BI138" i="2"/>
  <c r="BI13" i="2"/>
  <c r="BI42" i="2"/>
  <c r="BI18" i="2"/>
  <c r="BI71" i="2"/>
  <c r="BI99" i="2"/>
  <c r="BI72" i="2"/>
  <c r="BI112" i="2"/>
  <c r="BI113" i="2"/>
  <c r="BI159" i="2"/>
  <c r="BI55" i="2"/>
  <c r="BI9" i="2"/>
  <c r="BI105" i="2"/>
  <c r="BI11" i="2"/>
  <c r="BI100" i="2"/>
  <c r="BI196" i="2"/>
  <c r="BI17" i="2"/>
  <c r="BI12" i="2"/>
  <c r="BI135" i="2"/>
  <c r="BI185" i="2"/>
  <c r="BI63" i="2"/>
  <c r="BI110" i="2"/>
  <c r="BI128" i="2"/>
  <c r="BI107" i="2"/>
  <c r="BI177" i="2"/>
  <c r="BI6" i="2"/>
  <c r="BI109" i="2"/>
  <c r="BI31" i="2"/>
  <c r="BI39" i="2"/>
  <c r="BI144" i="2"/>
  <c r="BI176" i="2"/>
  <c r="BI16" i="2"/>
  <c r="BI129" i="2"/>
  <c r="BI121" i="2"/>
  <c r="BI27" i="2"/>
  <c r="BI56" i="2"/>
  <c r="BI193" i="2"/>
  <c r="BI200" i="2"/>
  <c r="BI93" i="2"/>
  <c r="BI104" i="2"/>
  <c r="BI33" i="2"/>
  <c r="BI74" i="2"/>
  <c r="BI179" i="2"/>
  <c r="BI36" i="2"/>
  <c r="BI8" i="2"/>
  <c r="BI80" i="2"/>
  <c r="BI114" i="2"/>
  <c r="BI169" i="2"/>
  <c r="BI157" i="2"/>
  <c r="BI41" i="2"/>
  <c r="BI140" i="2"/>
  <c r="BI86" i="2"/>
  <c r="BI187" i="2"/>
  <c r="BI84" i="2"/>
  <c r="BI160" i="2"/>
  <c r="BI122" i="2"/>
  <c r="BI189" i="2"/>
  <c r="BI57" i="2"/>
  <c r="BI58" i="2"/>
  <c r="BI40" i="2"/>
  <c r="BI19" i="2"/>
  <c r="BI32" i="2"/>
  <c r="BI166" i="2"/>
  <c r="BI62" i="2"/>
  <c r="BI44" i="2"/>
  <c r="BI163" i="2"/>
  <c r="BI124" i="2"/>
  <c r="BI87" i="2"/>
  <c r="BI20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<sst xmlns="http://schemas.openxmlformats.org/spreadsheetml/2006/main" count="1183" uniqueCount="327">
  <si>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</si>
  <si>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</si>
  <si>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</si>
  <si>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</si>
  <si>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</si>
  <si>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</si>
  <si>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</si>
  <si>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</si>
  <si>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</si>
  <si>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</si>
  <si>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</si>
  <si>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</si>
  <si>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</si>
  <si>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</si>
  <si>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</si>
  <si>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</si>
  <si>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</si>
  <si>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</si>
  <si>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</si>
  <si>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</si>
  <si>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</si>
  <si>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</si>
  <si>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</si>
  <si>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</si>
  <si>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</si>
  <si>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</si>
  <si>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</si>
  <si>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</si>
  <si>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</si>
  <si>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</si>
  <si>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</si>
  <si>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</si>
  <si>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</si>
  <si>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</si>
  <si>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</si>
  <si>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</si>
  <si>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</si>
  <si>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</si>
  <si>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</si>
  <si>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</si>
  <si>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</si>
  <si>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</si>
  <si>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</si>
  <si>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</si>
  <si>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</si>
  <si>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</si>
  <si>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</si>
  <si>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</si>
  <si>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</si>
  <si>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</si>
  <si>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</si>
  <si>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</si>
  <si>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</si>
  <si>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</si>
  <si>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</si>
  <si>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</si>
  <si>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</si>
  <si>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</si>
  <si>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</si>
  <si>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</si>
  <si>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</si>
  <si>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</si>
  <si>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</si>
  <si>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</si>
  <si>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</si>
  <si>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</si>
  <si>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</si>
  <si>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</si>
  <si>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</si>
  <si>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</si>
  <si>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</si>
  <si>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</si>
  <si>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</si>
  <si>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</si>
  <si>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</si>
  <si>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</si>
  <si>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</si>
  <si>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</si>
  <si>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</si>
  <si>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</si>
  <si>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</si>
  <si>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</si>
  <si>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</si>
  <si>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</si>
  <si>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</si>
  <si>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</si>
  <si>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</si>
  <si>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</si>
  <si>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</si>
  <si>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</si>
  <si>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</si>
  <si>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</si>
  <si>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</si>
  <si>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</si>
  <si>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</si>
  <si>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</si>
  <si>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</si>
  <si>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</si>
  <si>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</si>
  <si>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</si>
  <si>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</si>
  <si>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</si>
  <si>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</si>
  <si>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</si>
  <si>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</si>
  <si>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</si>
  <si>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</si>
  <si>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</si>
  <si>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</si>
  <si>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</si>
  <si>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</si>
  <si>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</si>
  <si>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</si>
  <si>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</si>
  <si>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</si>
  <si>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</si>
  <si>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</si>
  <si>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</si>
  <si>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</si>
  <si>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</si>
  <si>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</si>
  <si>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</si>
  <si>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</si>
  <si>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</si>
  <si>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</si>
  <si>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</si>
  <si>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</si>
  <si>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</si>
  <si>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</si>
  <si>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</si>
  <si>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</si>
  <si>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</si>
  <si>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</si>
  <si>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</si>
  <si>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</si>
  <si>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</si>
  <si>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</si>
  <si>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</si>
  <si>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</si>
  <si>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</si>
  <si>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</si>
  <si>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</si>
  <si>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</si>
  <si>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</si>
  <si>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</si>
  <si>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</si>
  <si>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</si>
  <si>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</si>
  <si>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</si>
  <si>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</si>
  <si>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</si>
  <si>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</si>
  <si>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</si>
  <si>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</si>
  <si>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</si>
  <si>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</si>
  <si>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</si>
  <si>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</si>
  <si>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</si>
  <si>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</si>
  <si>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</si>
  <si>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</si>
  <si>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</si>
  <si>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</si>
  <si>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</si>
  <si>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</si>
  <si>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</si>
  <si>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</si>
  <si>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</si>
  <si>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</si>
  <si>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</si>
  <si>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</si>
  <si>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</si>
  <si>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</si>
  <si>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</si>
  <si>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</si>
  <si>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</si>
  <si>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</si>
  <si>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</si>
  <si>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</si>
  <si>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</si>
  <si>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</si>
  <si>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</si>
  <si>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</si>
  <si>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</si>
  <si>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</si>
  <si>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</si>
  <si>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</si>
  <si>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</si>
  <si>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</si>
  <si>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</si>
  <si>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</si>
  <si>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</si>
  <si>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</si>
  <si>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</si>
  <si>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</si>
  <si>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</si>
  <si>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</si>
  <si>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</si>
  <si>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</si>
  <si>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</si>
  <si>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</si>
  <si>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</si>
  <si>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</si>
  <si>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</si>
  <si>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</si>
  <si>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</si>
  <si>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</si>
  <si>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</si>
  <si>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</si>
  <si>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</si>
  <si>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</si>
  <si>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</si>
  <si>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</si>
  <si>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</si>
  <si>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</si>
  <si>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</si>
  <si>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</si>
  <si>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</si>
  <si>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</si>
  <si>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</si>
  <si>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</si>
  <si>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</si>
  <si>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</si>
  <si>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</si>
  <si>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</si>
  <si>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</si>
  <si>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</si>
  <si>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</si>
  <si>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</si>
  <si>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</si>
  <si>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</si>
  <si>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</si>
  <si>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</si>
  <si>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</si>
  <si>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</si>
  <si>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</si>
  <si>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</si>
  <si>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</si>
  <si>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</si>
  <si>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</si>
  <si>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</si>
  <si>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</si>
  <si>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</si>
  <si>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</si>
  <si>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</si>
  <si>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</si>
  <si>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</si>
  <si>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</si>
  <si>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</si>
  <si>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</si>
  <si>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</si>
  <si>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</si>
  <si>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</si>
  <si>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</si>
  <si>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</si>
  <si>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</si>
  <si>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</si>
  <si>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</si>
  <si>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</si>
  <si>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</si>
  <si>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</si>
  <si>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</si>
  <si>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</si>
  <si>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</si>
  <si>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</si>
  <si>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</si>
  <si>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</si>
  <si>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</si>
  <si>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</si>
  <si>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</si>
  <si>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</si>
  <si>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</si>
  <si>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</si>
  <si>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</si>
  <si>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</si>
  <si>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</si>
  <si>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</si>
  <si>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</si>
  <si>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</si>
  <si>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</si>
  <si>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</si>
  <si>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</si>
  <si>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</si>
  <si>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</si>
  <si>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</si>
  <si>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</si>
  <si>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</si>
  <si>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</si>
  <si>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</si>
  <si>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</si>
  <si>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</si>
  <si>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</si>
  <si>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</si>
  <si>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</si>
  <si>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</si>
  <si>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</si>
  <si>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</si>
  <si>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</si>
  <si>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</si>
  <si>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</si>
  <si>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</si>
  <si>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</si>
  <si>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</si>
  <si>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</si>
  <si>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</si>
  <si>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</si>
  <si>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</si>
  <si>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</si>
  <si>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</si>
  <si>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</si>
  <si>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</si>
  <si>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</si>
  <si>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</si>
  <si>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</si>
  <si>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</si>
  <si>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</si>
  <si>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</si>
  <si>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</si>
  <si>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</si>
  <si>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</si>
  <si>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</si>
  <si>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</si>
  <si>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</si>
  <si>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ONF_CHS_F2</t>
  </si>
  <si>
    <t>Oosterban_CHP_F6</t>
  </si>
  <si>
    <t>Oosterbaan_CHP_F3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</si>
</sst>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195.51269709583858</c:v>
                </c:pt>
                <c:pt idx="32">
                  <c:v>220.7804177203171</c:v>
                </c:pt>
                <c:pt idx="33">
                  <c:v>245.98172527600511</c:v>
                </c:pt>
                <c:pt idx="34">
                  <c:v>271.12437982914287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2.8046705301677695</c:v>
                </c:pt>
                <c:pt idx="2">
                  <c:v>3.1927833913387604</c:v>
                </c:pt>
                <c:pt idx="3">
                  <c:v>3.6347940169818869</c:v>
                </c:pt>
                <c:pt idx="4">
                  <c:v>4.138212245997984</c:v>
                </c:pt>
                <c:pt idx="5">
                  <c:v>4.7115975670429551</c:v>
                </c:pt>
                <c:pt idx="6">
                  <c:v>5.3647062538758172</c:v>
                </c:pt>
                <c:pt idx="7">
                  <c:v>6.1086591808372646</c:v>
                </c:pt>
                <c:pt idx="8">
                  <c:v>6.9561332322567706</c:v>
                </c:pt>
                <c:pt idx="9">
                  <c:v>7.9215796310621043</c:v>
                </c:pt>
                <c:pt idx="10">
                  <c:v>9.0214729815678627</c:v>
                </c:pt>
                <c:pt idx="11">
                  <c:v>10.27459535760328</c:v>
                </c:pt>
                <c:pt idx="12">
                  <c:v>11.702360379232074</c:v>
                </c:pt>
                <c:pt idx="13">
                  <c:v>13.329182920083669</c:v>
                </c:pt>
                <c:pt idx="14">
                  <c:v>15.182900885051957</c:v>
                </c:pt>
                <c:pt idx="15">
                  <c:v>17.295256408866681</c:v>
                </c:pt>
                <c:pt idx="16">
                  <c:v>19.702444865842441</c:v>
                </c:pt>
                <c:pt idx="17">
                  <c:v>22.4457412682785</c:v>
                </c:pt>
                <c:pt idx="18">
                  <c:v>25.572214986441086</c:v>
                </c:pt>
                <c:pt idx="19">
                  <c:v>29.135545270706046</c:v>
                </c:pt>
                <c:pt idx="20">
                  <c:v>33.196951823568313</c:v>
                </c:pt>
                <c:pt idx="21">
                  <c:v>37.826256687013839</c:v>
                </c:pt>
                <c:pt idx="22">
                  <c:v>43.103096014812643</c:v>
                </c:pt>
                <c:pt idx="23">
                  <c:v>49.118302930308708</c:v>
                </c:pt>
                <c:pt idx="24">
                  <c:v>55.975485674724347</c:v>
                </c:pt>
                <c:pt idx="25">
                  <c:v>63.792828681944599</c:v>
                </c:pt>
                <c:pt idx="26">
                  <c:v>56.061641236741394</c:v>
                </c:pt>
                <c:pt idx="27">
                  <c:v>60.758664951449532</c:v>
                </c:pt>
                <c:pt idx="28">
                  <c:v>65.446238534745476</c:v>
                </c:pt>
                <c:pt idx="29">
                  <c:v>70.12513653700411</c:v>
                </c:pt>
                <c:pt idx="30">
                  <c:v>74.796021309276838</c:v>
                </c:pt>
                <c:pt idx="31">
                  <c:v>69.024963200598023</c:v>
                </c:pt>
                <c:pt idx="32">
                  <c:v>74.246901998535463</c:v>
                </c:pt>
                <c:pt idx="33">
                  <c:v>79.459465416986305</c:v>
                </c:pt>
                <c:pt idx="34">
                  <c:v>84.663356999575399</c:v>
                </c:pt>
                <c:pt idx="35">
                  <c:v>89.859186449778818</c:v>
                </c:pt>
                <c:pt idx="36">
                  <c:v>83.020921016204383</c:v>
                </c:pt>
                <c:pt idx="37">
                  <c:v>88.492613413798736</c:v>
                </c:pt>
                <c:pt idx="38">
                  <c:v>93.95581470162206</c:v>
                </c:pt>
                <c:pt idx="39">
                  <c:v>99.411089547125641</c:v>
                </c:pt>
                <c:pt idx="40">
                  <c:v>104.85893539971271</c:v>
                </c:pt>
                <c:pt idx="41">
                  <c:v>97.775308598973098</c:v>
                </c:pt>
                <c:pt idx="42">
                  <c:v>102.95300570862183</c:v>
                </c:pt>
                <c:pt idx="43">
                  <c:v>108.12426266746674</c:v>
                </c:pt>
                <c:pt idx="44">
                  <c:v>113.28943174536323</c:v>
                </c:pt>
                <c:pt idx="45">
                  <c:v>118.4488303778091</c:v>
                </c:pt>
                <c:pt idx="46">
                  <c:v>111.65896352261181</c:v>
                </c:pt>
                <c:pt idx="47">
                  <c:v>117.09163673234582</c:v>
                </c:pt>
                <c:pt idx="48">
                  <c:v>122.51815347270004</c:v>
                </c:pt>
                <c:pt idx="49">
                  <c:v>127.93882555090117</c:v>
                </c:pt>
                <c:pt idx="50">
                  <c:v>133.35393612722473</c:v>
                </c:pt>
                <c:pt idx="51">
                  <c:v>125.22920177249996</c:v>
                </c:pt>
                <c:pt idx="52">
                  <c:v>130.64705934220805</c:v>
                </c:pt>
                <c:pt idx="53">
                  <c:v>136.05948743402288</c:v>
                </c:pt>
                <c:pt idx="54">
                  <c:v>141.46673300785451</c:v>
                </c:pt>
                <c:pt idx="55">
                  <c:v>146.86902255756758</c:v>
                </c:pt>
                <c:pt idx="56">
                  <c:v>138.4933752865501</c:v>
                </c:pt>
                <c:pt idx="57">
                  <c:v>143.62823149736116</c:v>
                </c:pt>
                <c:pt idx="58">
                  <c:v>148.75869211239265</c:v>
                </c:pt>
                <c:pt idx="59">
                  <c:v>153.88493047498628</c:v>
                </c:pt>
                <c:pt idx="60">
                  <c:v>159.00710740925433</c:v>
                </c:pt>
                <c:pt idx="61">
                  <c:v>150.10810479136106</c:v>
                </c:pt>
                <c:pt idx="62">
                  <c:v>154.69396130079127</c:v>
                </c:pt>
                <c:pt idx="63">
                  <c:v>159.27658604648744</c:v>
                </c:pt>
                <c:pt idx="64">
                  <c:v>163.85608536141791</c:v>
                </c:pt>
                <c:pt idx="65">
                  <c:v>168.43255913514398</c:v>
                </c:pt>
                <c:pt idx="66">
                  <c:v>159.81551090350086</c:v>
                </c:pt>
                <c:pt idx="67">
                  <c:v>164.66391547709154</c:v>
                </c:pt>
                <c:pt idx="68">
                  <c:v>169.50894708984382</c:v>
                </c:pt>
                <c:pt idx="69">
                  <c:v>174.35071597703742</c:v>
                </c:pt>
                <c:pt idx="70">
                  <c:v>179.18932573756373</c:v>
                </c:pt>
                <c:pt idx="71">
                  <c:v>170.85420562822495</c:v>
                </c:pt>
                <c:pt idx="72">
                  <c:v>175.96393197512032</c:v>
                </c:pt>
                <c:pt idx="73">
                  <c:v>181.07017531419433</c:v>
                </c:pt>
                <c:pt idx="74">
                  <c:v>186.17304793890639</c:v>
                </c:pt>
                <c:pt idx="75">
                  <c:v>191.27265547124125</c:v>
                </c:pt>
                <c:pt idx="76">
                  <c:v>182.41335890660068</c:v>
                </c:pt>
                <c:pt idx="77">
                  <c:v>186.97846357505659</c:v>
                </c:pt>
                <c:pt idx="78">
                  <c:v>191.54096733406013</c:v>
                </c:pt>
                <c:pt idx="79">
                  <c:v>196.1009410197469</c:v>
                </c:pt>
                <c:pt idx="80">
                  <c:v>200.65845189771687</c:v>
                </c:pt>
                <c:pt idx="81">
                  <c:v>192.61412738977916</c:v>
                </c:pt>
                <c:pt idx="82">
                  <c:v>196.63724533165635</c:v>
                </c:pt>
                <c:pt idx="83">
                  <c:v>200.65845189771684</c:v>
                </c:pt>
                <c:pt idx="84">
                  <c:v>204.6777908882267</c:v>
                </c:pt>
                <c:pt idx="85">
                  <c:v>208.6953042388391</c:v>
                </c:pt>
                <c:pt idx="86">
                  <c:v>200.9264654591816</c:v>
                </c:pt>
                <c:pt idx="87">
                  <c:v>205.2135639219039</c:v>
                </c:pt>
                <c:pt idx="88">
                  <c:v>209.49859139809257</c:v>
                </c:pt>
                <c:pt idx="89">
                  <c:v>213.78159631913351</c:v>
                </c:pt>
                <c:pt idx="90">
                  <c:v>218.06262501321623</c:v>
                </c:pt>
                <c:pt idx="91">
                  <c:v>209.76633796921715</c:v>
                </c:pt>
                <c:pt idx="92">
                  <c:v>213.51396687937299</c:v>
                </c:pt>
                <c:pt idx="93">
                  <c:v>217.26008059869164</c:v>
                </c:pt>
                <c:pt idx="94">
                  <c:v>221.00470900086501</c:v>
                </c:pt>
                <c:pt idx="95">
                  <c:v>224.747880862334</c:v>
                </c:pt>
                <c:pt idx="96">
                  <c:v>216.72501311831573</c:v>
                </c:pt>
                <c:pt idx="97">
                  <c:v>220.73728418197564</c:v>
                </c:pt>
                <c:pt idx="98">
                  <c:v>224.74788086233397</c:v>
                </c:pt>
                <c:pt idx="99">
                  <c:v>228.75683732102837</c:v>
                </c:pt>
                <c:pt idx="100">
                  <c:v>232.76418642204786</c:v>
                </c:pt>
                <c:pt idx="101">
                  <c:v>224.74788086233397</c:v>
                </c:pt>
                <c:pt idx="102">
                  <c:v>228.75683732102837</c:v>
                </c:pt>
                <c:pt idx="103">
                  <c:v>232.76418642204783</c:v>
                </c:pt>
                <c:pt idx="104">
                  <c:v>236.76995980303874</c:v>
                </c:pt>
                <c:pt idx="105">
                  <c:v>240.7741879415245</c:v>
                </c:pt>
                <c:pt idx="106">
                  <c:v>231.4285800062448</c:v>
                </c:pt>
                <c:pt idx="107">
                  <c:v>235.4348751848735</c:v>
                </c:pt>
                <c:pt idx="108">
                  <c:v>239.4396150868331</c:v>
                </c:pt>
                <c:pt idx="109">
                  <c:v>243.44282945071109</c:v>
                </c:pt>
                <c:pt idx="110">
                  <c:v>247.44454695521941</c:v>
                </c:pt>
                <c:pt idx="111">
                  <c:v>238.10487273662932</c:v>
                </c:pt>
                <c:pt idx="112">
                  <c:v>242.10859237550062</c:v>
                </c:pt>
                <c:pt idx="113">
                  <c:v>246.11080570974036</c:v>
                </c:pt>
                <c:pt idx="114">
                  <c:v>250.11154074210015</c:v>
                </c:pt>
                <c:pt idx="115">
                  <c:v>254.11082450457027</c:v>
                </c:pt>
                <c:pt idx="116">
                  <c:v>244.77690021648286</c:v>
                </c:pt>
                <c:pt idx="117">
                  <c:v>248.77812496567788</c:v>
                </c:pt>
                <c:pt idx="118">
                  <c:v>252.77788953910442</c:v>
                </c:pt>
                <c:pt idx="119">
                  <c:v>256.77622034886826</c:v>
                </c:pt>
                <c:pt idx="120">
                  <c:v>260.77314291579108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3.1092402674913333</c:v>
                </c:pt>
                <c:pt idx="2">
                  <c:v>3.5396473110534372</c:v>
                </c:pt>
                <c:pt idx="3">
                  <c:v>4.0298449343355021</c:v>
                </c:pt>
                <c:pt idx="4">
                  <c:v>4.5881665834252843</c:v>
                </c:pt>
                <c:pt idx="5">
                  <c:v>5.2241107997848353</c:v>
                </c:pt>
                <c:pt idx="6">
                  <c:v>5.9485045811559294</c:v>
                </c:pt>
                <c:pt idx="7">
                  <c:v>6.7736897086835919</c:v>
                </c:pt>
                <c:pt idx="8">
                  <c:v>7.7137352768799827</c:v>
                </c:pt>
                <c:pt idx="9">
                  <c:v>8.7846801202073674</c:v>
                </c:pt>
                <c:pt idx="10">
                  <c:v>10.00480935191826</c:v>
                </c:pt>
                <c:pt idx="11">
                  <c:v>11.394969826526763</c:v>
                </c:pt>
                <c:pt idx="12">
                  <c:v>12.978930017375999</c:v>
                </c:pt>
                <c:pt idx="13">
                  <c:v>14.78379057717733</c:v>
                </c:pt>
                <c:pt idx="14">
                  <c:v>16.840452735794738</c:v>
                </c:pt>
                <c:pt idx="15">
                  <c:v>19.184152701539233</c:v>
                </c:pt>
                <c:pt idx="16">
                  <c:v>21.855071387651531</c:v>
                </c:pt>
                <c:pt idx="17">
                  <c:v>24.899030104845522</c:v>
                </c:pt>
                <c:pt idx="18">
                  <c:v>28.368284367017722</c:v>
                </c:pt>
                <c:pt idx="19">
                  <c:v>32.322429677060249</c:v>
                </c:pt>
                <c:pt idx="20">
                  <c:v>36.829435123489624</c:v>
                </c:pt>
                <c:pt idx="21">
                  <c:v>41.966822860976492</c:v>
                </c:pt>
                <c:pt idx="22">
                  <c:v>47.823014108422548</c:v>
                </c:pt>
                <c:pt idx="23">
                  <c:v>54.49886522220018</c:v>
                </c:pt>
                <c:pt idx="24">
                  <c:v>62.1094207412091</c:v>
                </c:pt>
                <c:pt idx="25">
                  <c:v>70.785914113520676</c:v>
                </c:pt>
                <c:pt idx="26">
                  <c:v>62.205043467435083</c:v>
                </c:pt>
                <c:pt idx="27">
                  <c:v>67.418252434882959</c:v>
                </c:pt>
                <c:pt idx="28">
                  <c:v>72.621074462699383</c:v>
                </c:pt>
                <c:pt idx="29">
                  <c:v>77.814360883805975</c:v>
                </c:pt>
                <c:pt idx="30">
                  <c:v>82.998839709283871</c:v>
                </c:pt>
                <c:pt idx="31">
                  <c:v>76.593228716491353</c:v>
                </c:pt>
                <c:pt idx="32">
                  <c:v>82.389336878942132</c:v>
                </c:pt>
                <c:pt idx="33">
                  <c:v>88.17514026397744</c:v>
                </c:pt>
                <c:pt idx="34">
                  <c:v>93.951412158744404</c:v>
                </c:pt>
                <c:pt idx="35">
                  <c:v>99.718822707701648</c:v>
                </c:pt>
                <c:pt idx="36">
                  <c:v>92.12831353805602</c:v>
                </c:pt>
                <c:pt idx="37">
                  <c:v>98.20190799184445</c:v>
                </c:pt>
                <c:pt idx="38">
                  <c:v>104.26616959715183</c:v>
                </c:pt>
                <c:pt idx="39">
                  <c:v>110.32171899791132</c:v>
                </c:pt>
                <c:pt idx="40">
                  <c:v>116.36910295656413</c:v>
                </c:pt>
                <c:pt idx="41">
                  <c:v>108.5059351378378</c:v>
                </c:pt>
                <c:pt idx="42">
                  <c:v>114.25341585529281</c:v>
                </c:pt>
                <c:pt idx="43">
                  <c:v>119.9938179984192</c:v>
                </c:pt>
                <c:pt idx="44">
                  <c:v>125.72752875820527</c:v>
                </c:pt>
                <c:pt idx="45">
                  <c:v>131.45489703809045</c:v>
                </c:pt>
                <c:pt idx="46">
                  <c:v>123.91758428338612</c:v>
                </c:pt>
                <c:pt idx="47">
                  <c:v>129.94829150829943</c:v>
                </c:pt>
                <c:pt idx="48">
                  <c:v>135.97223196214878</c:v>
                </c:pt>
                <c:pt idx="49">
                  <c:v>141.98974836216203</c:v>
                </c:pt>
                <c:pt idx="50">
                  <c:v>148.0011519387929</c:v>
                </c:pt>
                <c:pt idx="51">
                  <c:v>138.981773030516</c:v>
                </c:pt>
                <c:pt idx="52">
                  <c:v>144.99619591483781</c:v>
                </c:pt>
                <c:pt idx="53">
                  <c:v>151.00465108753238</c:v>
                </c:pt>
                <c:pt idx="54">
                  <c:v>157.00740999008178</c:v>
                </c:pt>
                <c:pt idx="55">
                  <c:v>163.00472156908765</c:v>
                </c:pt>
                <c:pt idx="56">
                  <c:v>153.70658212773148</c:v>
                </c:pt>
                <c:pt idx="57">
                  <c:v>159.40697505237429</c:v>
                </c:pt>
                <c:pt idx="58">
                  <c:v>165.10253663806381</c:v>
                </c:pt>
                <c:pt idx="59">
                  <c:v>170.79345741197324</c:v>
                </c:pt>
                <c:pt idx="60">
                  <c:v>176.47991414099315</c:v>
                </c:pt>
                <c:pt idx="61">
                  <c:v>166.60058986040733</c:v>
                </c:pt>
                <c:pt idx="62">
                  <c:v>171.69161142115618</c:v>
                </c:pt>
                <c:pt idx="63">
                  <c:v>176.77908084772355</c:v>
                </c:pt>
                <c:pt idx="64">
                  <c:v>181.86311501405271</c:v>
                </c:pt>
                <c:pt idx="65">
                  <c:v>186.94382371193376</c:v>
                </c:pt>
                <c:pt idx="66">
                  <c:v>177.37737863013214</c:v>
                </c:pt>
                <c:pt idx="67">
                  <c:v>182.75994928458809</c:v>
                </c:pt>
                <c:pt idx="68">
                  <c:v>188.13881261063989</c:v>
                </c:pt>
                <c:pt idx="69">
                  <c:v>193.51408977138519</c:v>
                </c:pt>
                <c:pt idx="70">
                  <c:v>198.88589463565646</c:v>
                </c:pt>
                <c:pt idx="71">
                  <c:v>189.63229988510196</c:v>
                </c:pt>
                <c:pt idx="72">
                  <c:v>195.30507177803074</c:v>
                </c:pt>
                <c:pt idx="73">
                  <c:v>200.97401538642035</c:v>
                </c:pt>
                <c:pt idx="74">
                  <c:v>206.63925413557965</c:v>
                </c:pt>
                <c:pt idx="75">
                  <c:v>212.30090411798696</c:v>
                </c:pt>
                <c:pt idx="76">
                  <c:v>202.46522202184815</c:v>
                </c:pt>
                <c:pt idx="77">
                  <c:v>207.53343457497158</c:v>
                </c:pt>
                <c:pt idx="78">
                  <c:v>212.59878838589444</c:v>
                </c:pt>
                <c:pt idx="79">
                  <c:v>217.6613613128637</c:v>
                </c:pt>
                <c:pt idx="80">
                  <c:v>222.7212272896368</c:v>
                </c:pt>
                <c:pt idx="81">
                  <c:v>213.79022939829215</c:v>
                </c:pt>
                <c:pt idx="82">
                  <c:v>218.25677877090325</c:v>
                </c:pt>
                <c:pt idx="83">
                  <c:v>222.72122728963677</c:v>
                </c:pt>
                <c:pt idx="84">
                  <c:v>227.18362309675649</c:v>
                </c:pt>
                <c:pt idx="85">
                  <c:v>231.64401228507097</c:v>
                </c:pt>
                <c:pt idx="86">
                  <c:v>223.01878368505007</c:v>
                </c:pt>
                <c:pt idx="87">
                  <c:v>227.77845661001425</c:v>
                </c:pt>
                <c:pt idx="88">
                  <c:v>232.53585324789174</c:v>
                </c:pt>
                <c:pt idx="89">
                  <c:v>237.29102683115707</c:v>
                </c:pt>
                <c:pt idx="90">
                  <c:v>242.04402828059514</c:v>
                </c:pt>
                <c:pt idx="91">
                  <c:v>232.83311618574081</c:v>
                </c:pt>
                <c:pt idx="92">
                  <c:v>236.9938926361111</c:v>
                </c:pt>
                <c:pt idx="93">
                  <c:v>241.15300369210016</c:v>
                </c:pt>
                <c:pt idx="94">
                  <c:v>245.31048218883168</c:v>
                </c:pt>
                <c:pt idx="95">
                  <c:v>249.46635975540599</c:v>
                </c:pt>
                <c:pt idx="96">
                  <c:v>240.55894567488869</c:v>
                </c:pt>
                <c:pt idx="97">
                  <c:v>245.01357289908535</c:v>
                </c:pt>
                <c:pt idx="98">
                  <c:v>249.46635975540599</c:v>
                </c:pt>
                <c:pt idx="99">
                  <c:v>253.91734379199207</c:v>
                </c:pt>
                <c:pt idx="100">
                  <c:v>258.36656113069779</c:v>
                </c:pt>
                <c:pt idx="101">
                  <c:v>249.46635975540599</c:v>
                </c:pt>
                <c:pt idx="102">
                  <c:v>253.91734379199201</c:v>
                </c:pt>
                <c:pt idx="103">
                  <c:v>258.36656113069773</c:v>
                </c:pt>
                <c:pt idx="104">
                  <c:v>262.81404654546509</c:v>
                </c:pt>
                <c:pt idx="105">
                  <c:v>267.25983353510821</c:v>
                </c:pt>
                <c:pt idx="106">
                  <c:v>256.88368281077402</c:v>
                </c:pt>
                <c:pt idx="107">
                  <c:v>261.33174174990069</c:v>
                </c:pt>
                <c:pt idx="108">
                  <c:v>265.77809123503482</c:v>
                </c:pt>
                <c:pt idx="109">
                  <c:v>270.22276395280261</c:v>
                </c:pt>
                <c:pt idx="110">
                  <c:v>274.66579142488757</c:v>
                </c:pt>
                <c:pt idx="111">
                  <c:v>264.29616263705952</c:v>
                </c:pt>
                <c:pt idx="112">
                  <c:v>268.74139071862339</c:v>
                </c:pt>
                <c:pt idx="113">
                  <c:v>273.18496317291664</c:v>
                </c:pt>
                <c:pt idx="114">
                  <c:v>277.62691077865344</c:v>
                </c:pt>
                <c:pt idx="115">
                  <c:v>282.06726324755317</c:v>
                </c:pt>
                <c:pt idx="116">
                  <c:v>271.70395439099497</c:v>
                </c:pt>
                <c:pt idx="117">
                  <c:v>276.14644026006192</c:v>
                </c:pt>
                <c:pt idx="118">
                  <c:v>280.58732120355739</c:v>
                </c:pt>
                <c:pt idx="119">
                  <c:v>285.02662625186548</c:v>
                </c:pt>
                <c:pt idx="120">
                  <c:v>289.46438345573239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2.4670108822502219</c:v>
                </c:pt>
                <c:pt idx="2">
                  <c:v>2.926315474182879</c:v>
                </c:pt>
                <c:pt idx="3">
                  <c:v>3.4714497035147267</c:v>
                </c:pt>
                <c:pt idx="4">
                  <c:v>4.118508393558308</c:v>
                </c:pt>
                <c:pt idx="5">
                  <c:v>4.8866143192598175</c:v>
                </c:pt>
                <c:pt idx="6">
                  <c:v>5.798489586681348</c:v>
                </c:pt>
                <c:pt idx="7">
                  <c:v>6.8811351340607763</c:v>
                </c:pt>
                <c:pt idx="8">
                  <c:v>8.1666388666710859</c:v>
                </c:pt>
                <c:pt idx="9">
                  <c:v>9.6931368382804681</c:v>
                </c:pt>
                <c:pt idx="10">
                  <c:v>11.505956535902856</c:v>
                </c:pt>
                <c:pt idx="11">
                  <c:v>13.658976853645887</c:v>
                </c:pt>
                <c:pt idx="12">
                  <c:v>16.216245924874816</c:v>
                </c:pt>
                <c:pt idx="13">
                  <c:v>19.253905821024624</c:v>
                </c:pt>
                <c:pt idx="14">
                  <c:v>22.862482460158173</c:v>
                </c:pt>
                <c:pt idx="15">
                  <c:v>27.149610184662851</c:v>
                </c:pt>
                <c:pt idx="16">
                  <c:v>32.24327370590894</c:v>
                </c:pt>
                <c:pt idx="17">
                  <c:v>38.295665880093075</c:v>
                </c:pt>
                <c:pt idx="18">
                  <c:v>45.487778557424171</c:v>
                </c:pt>
                <c:pt idx="19">
                  <c:v>54.034866112484217</c:v>
                </c:pt>
                <c:pt idx="20">
                  <c:v>64.192947903636622</c:v>
                </c:pt>
                <c:pt idx="21">
                  <c:v>59.102014803832951</c:v>
                </c:pt>
                <c:pt idx="22">
                  <c:v>64.424098420473612</c:v>
                </c:pt>
                <c:pt idx="23">
                  <c:v>69.734803600053766</c:v>
                </c:pt>
                <c:pt idx="24">
                  <c:v>75.035121697679017</c:v>
                </c:pt>
                <c:pt idx="25">
                  <c:v>80.325892057250982</c:v>
                </c:pt>
                <c:pt idx="26">
                  <c:v>76.646331669997508</c:v>
                </c:pt>
                <c:pt idx="27">
                  <c:v>82.164057018091412</c:v>
                </c:pt>
                <c:pt idx="28">
                  <c:v>87.672415653160456</c:v>
                </c:pt>
                <c:pt idx="29">
                  <c:v>93.172080657101844</c:v>
                </c:pt>
                <c:pt idx="30">
                  <c:v>98.663638916304237</c:v>
                </c:pt>
                <c:pt idx="31">
                  <c:v>93.858957567836981</c:v>
                </c:pt>
                <c:pt idx="32">
                  <c:v>99.349540078518643</c:v>
                </c:pt>
                <c:pt idx="33">
                  <c:v>104.83259201464182</c:v>
                </c:pt>
                <c:pt idx="34">
                  <c:v>110.30856380243615</c:v>
                </c:pt>
                <c:pt idx="35">
                  <c:v>115.77785737197435</c:v>
                </c:pt>
                <c:pt idx="36">
                  <c:v>109.85249314434161</c:v>
                </c:pt>
                <c:pt idx="37">
                  <c:v>115.32232892790154</c:v>
                </c:pt>
                <c:pt idx="38">
                  <c:v>120.78581860368736</c:v>
                </c:pt>
                <c:pt idx="39">
                  <c:v>126.24329041370743</c:v>
                </c:pt>
                <c:pt idx="40">
                  <c:v>131.69504183024623</c:v>
                </c:pt>
                <c:pt idx="41">
                  <c:v>125.7887234996597</c:v>
                </c:pt>
                <c:pt idx="42">
                  <c:v>131.24094092949005</c:v>
                </c:pt>
                <c:pt idx="43">
                  <c:v>136.68768710570427</c:v>
                </c:pt>
                <c:pt idx="44">
                  <c:v>142.12921131181261</c:v>
                </c:pt>
                <c:pt idx="45">
                  <c:v>147.56574213893074</c:v>
                </c:pt>
                <c:pt idx="46">
                  <c:v>140.3159356207652</c:v>
                </c:pt>
                <c:pt idx="47">
                  <c:v>145.52761451594594</c:v>
                </c:pt>
                <c:pt idx="48">
                  <c:v>150.73483015282747</c:v>
                </c:pt>
                <c:pt idx="49">
                  <c:v>155.93775882820455</c:v>
                </c:pt>
                <c:pt idx="50">
                  <c:v>161.13656408640864</c:v>
                </c:pt>
                <c:pt idx="51">
                  <c:v>153.67613191785088</c:v>
                </c:pt>
                <c:pt idx="52">
                  <c:v>158.65068353627368</c:v>
                </c:pt>
                <c:pt idx="53">
                  <c:v>163.62153641581833</c:v>
                </c:pt>
                <c:pt idx="54">
                  <c:v>168.58881903979511</c:v>
                </c:pt>
                <c:pt idx="55">
                  <c:v>173.55265168473863</c:v>
                </c:pt>
                <c:pt idx="56">
                  <c:v>165.87982733683168</c:v>
                </c:pt>
                <c:pt idx="57">
                  <c:v>170.61988827467206</c:v>
                </c:pt>
                <c:pt idx="58">
                  <c:v>175.35684862651081</c:v>
                </c:pt>
                <c:pt idx="59">
                  <c:v>180.09080416161893</c:v>
                </c:pt>
                <c:pt idx="60">
                  <c:v>184.82184519189613</c:v>
                </c:pt>
                <c:pt idx="61">
                  <c:v>176.93516310576447</c:v>
                </c:pt>
                <c:pt idx="62">
                  <c:v>181.44282374804376</c:v>
                </c:pt>
                <c:pt idx="63">
                  <c:v>185.9478634358592</c:v>
                </c:pt>
                <c:pt idx="64">
                  <c:v>190.45035477579154</c:v>
                </c:pt>
                <c:pt idx="65">
                  <c:v>194.95036665337298</c:v>
                </c:pt>
                <c:pt idx="66">
                  <c:v>187.07372242622981</c:v>
                </c:pt>
                <c:pt idx="67">
                  <c:v>191.57558758167247</c:v>
                </c:pt>
                <c:pt idx="68">
                  <c:v>196.07498994746314</c:v>
                </c:pt>
                <c:pt idx="69">
                  <c:v>200.57199414028253</c:v>
                </c:pt>
                <c:pt idx="70">
                  <c:v>205.06666163639463</c:v>
                </c:pt>
                <c:pt idx="71">
                  <c:v>196.74969192320927</c:v>
                </c:pt>
                <c:pt idx="72">
                  <c:v>200.79678251340351</c:v>
                </c:pt>
                <c:pt idx="73">
                  <c:v>204.84198284284162</c:v>
                </c:pt>
                <c:pt idx="74">
                  <c:v>208.88533559507187</c:v>
                </c:pt>
                <c:pt idx="75">
                  <c:v>212.92688166259384</c:v>
                </c:pt>
                <c:pt idx="76">
                  <c:v>204.61729834734868</c:v>
                </c:pt>
                <c:pt idx="77">
                  <c:v>208.66075265393101</c:v>
                </c:pt>
                <c:pt idx="78">
                  <c:v>212.70239804910179</c:v>
                </c:pt>
                <c:pt idx="79">
                  <c:v>216.74227383360707</c:v>
                </c:pt>
                <c:pt idx="80">
                  <c:v>220.78041772031693</c:v>
                </c:pt>
                <c:pt idx="81">
                  <c:v>212.02891441405961</c:v>
                </c:pt>
                <c:pt idx="82">
                  <c:v>215.62026142299865</c:v>
                </c:pt>
                <c:pt idx="83">
                  <c:v>219.21023188421313</c:v>
                </c:pt>
                <c:pt idx="84">
                  <c:v>222.79885157604664</c:v>
                </c:pt>
                <c:pt idx="85">
                  <c:v>226.3861453767432</c:v>
                </c:pt>
                <c:pt idx="86">
                  <c:v>218.53721607804448</c:v>
                </c:pt>
                <c:pt idx="87">
                  <c:v>221.90182191224508</c:v>
                </c:pt>
                <c:pt idx="88">
                  <c:v>225.2652570256333</c:v>
                </c:pt>
                <c:pt idx="89">
                  <c:v>228.62754140696123</c:v>
                </c:pt>
                <c:pt idx="90">
                  <c:v>231.98869440771659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3.0667377729618424</c:v>
                </c:pt>
                <c:pt idx="2">
                  <c:v>3.6476185573115179</c:v>
                </c:pt>
                <c:pt idx="3">
                  <c:v>4.3389300752052948</c:v>
                </c:pt>
                <c:pt idx="4">
                  <c:v>5.1617386995071506</c:v>
                </c:pt>
                <c:pt idx="5">
                  <c:v>6.1411424901631699</c:v>
                </c:pt>
                <c:pt idx="6">
                  <c:v>7.3070450851261457</c:v>
                </c:pt>
                <c:pt idx="7">
                  <c:v>8.6950785505114965</c:v>
                </c:pt>
                <c:pt idx="8">
                  <c:v>10.347703934203979</c:v>
                </c:pt>
                <c:pt idx="9">
                  <c:v>12.315523826598733</c:v>
                </c:pt>
                <c:pt idx="10">
                  <c:v>14.658847869138306</c:v>
                </c:pt>
                <c:pt idx="11">
                  <c:v>17.449560075033236</c:v>
                </c:pt>
                <c:pt idx="12">
                  <c:v>20.773346286961637</c:v>
                </c:pt>
                <c:pt idx="13">
                  <c:v>24.73235139219355</c:v>
                </c:pt>
                <c:pt idx="14">
                  <c:v>29.44834940314243</c:v>
                </c:pt>
                <c:pt idx="15">
                  <c:v>35.066525616899931</c:v>
                </c:pt>
                <c:pt idx="16">
                  <c:v>41.759989299912178</c:v>
                </c:pt>
                <c:pt idx="17">
                  <c:v>49.735158311794855</c:v>
                </c:pt>
                <c:pt idx="18">
                  <c:v>59.238184512018925</c:v>
                </c:pt>
                <c:pt idx="19">
                  <c:v>70.562621553066407</c:v>
                </c:pt>
                <c:pt idx="20">
                  <c:v>84.058575791096885</c:v>
                </c:pt>
                <c:pt idx="21">
                  <c:v>77.739160391000937</c:v>
                </c:pt>
                <c:pt idx="22">
                  <c:v>87.213726481127466</c:v>
                </c:pt>
                <c:pt idx="23">
                  <c:v>96.662413352519309</c:v>
                </c:pt>
                <c:pt idx="24">
                  <c:v>106.08811230295805</c:v>
                </c:pt>
                <c:pt idx="25">
                  <c:v>115.49315724580329</c:v>
                </c:pt>
                <c:pt idx="26">
                  <c:v>104.09051930919685</c:v>
                </c:pt>
                <c:pt idx="27">
                  <c:v>114.06939797149329</c:v>
                </c:pt>
                <c:pt idx="28">
                  <c:v>124.02689857686327</c:v>
                </c:pt>
                <c:pt idx="29">
                  <c:v>133.96498182774516</c:v>
                </c:pt>
                <c:pt idx="30">
                  <c:v>143.88529311683055</c:v>
                </c:pt>
                <c:pt idx="31">
                  <c:v>130.27585021725716</c:v>
                </c:pt>
                <c:pt idx="32">
                  <c:v>140.76930698956343</c:v>
                </c:pt>
                <c:pt idx="33">
                  <c:v>151.24399874683334</c:v>
                </c:pt>
                <c:pt idx="34">
                  <c:v>161.7014097002957</c:v>
                </c:pt>
                <c:pt idx="35">
                  <c:v>172.14281609576435</c:v>
                </c:pt>
                <c:pt idx="36">
                  <c:v>155.76816400389899</c:v>
                </c:pt>
                <c:pt idx="37">
                  <c:v>166.21850807657395</c:v>
                </c:pt>
                <c:pt idx="38">
                  <c:v>176.65334556506778</c:v>
                </c:pt>
                <c:pt idx="39">
                  <c:v>187.07372242622989</c:v>
                </c:pt>
                <c:pt idx="40">
                  <c:v>197.48055842458885</c:v>
                </c:pt>
                <c:pt idx="41">
                  <c:v>179.75276217507769</c:v>
                </c:pt>
                <c:pt idx="42">
                  <c:v>190.16902240443497</c:v>
                </c:pt>
                <c:pt idx="43">
                  <c:v>200.57199414028261</c:v>
                </c:pt>
                <c:pt idx="44">
                  <c:v>210.96246436484742</c:v>
                </c:pt>
                <c:pt idx="45">
                  <c:v>221.34113612269516</c:v>
                </c:pt>
                <c:pt idx="46">
                  <c:v>202.53869517569194</c:v>
                </c:pt>
                <c:pt idx="47">
                  <c:v>213.20747850946884</c:v>
                </c:pt>
                <c:pt idx="48">
                  <c:v>223.86396670660386</c:v>
                </c:pt>
                <c:pt idx="49">
                  <c:v>234.5088279873479</c:v>
                </c:pt>
                <c:pt idx="50">
                  <c:v>245.14266489892438</c:v>
                </c:pt>
                <c:pt idx="51">
                  <c:v>224.42450689810255</c:v>
                </c:pt>
                <c:pt idx="52">
                  <c:v>234.5088279873479</c:v>
                </c:pt>
                <c:pt idx="53">
                  <c:v>244.58325506145638</c:v>
                </c:pt>
                <c:pt idx="54">
                  <c:v>254.64825343072164</c:v>
                </c:pt>
                <c:pt idx="55">
                  <c:v>264.70424858721663</c:v>
                </c:pt>
                <c:pt idx="56">
                  <c:v>244.02381613322621</c:v>
                </c:pt>
                <c:pt idx="57">
                  <c:v>254.08932681243948</c:v>
                </c:pt>
                <c:pt idx="58">
                  <c:v>264.14581159940968</c:v>
                </c:pt>
                <c:pt idx="59">
                  <c:v>274.19366282243953</c:v>
                </c:pt>
                <c:pt idx="60">
                  <c:v>284.23324168590011</c:v>
                </c:pt>
                <c:pt idx="61">
                  <c:v>263.30810614969681</c:v>
                </c:pt>
                <c:pt idx="62">
                  <c:v>273.07764977637981</c:v>
                </c:pt>
                <c:pt idx="63">
                  <c:v>282.83933776674917</c:v>
                </c:pt>
                <c:pt idx="64">
                  <c:v>292.59347966647721</c:v>
                </c:pt>
                <c:pt idx="65">
                  <c:v>302.34036268238674</c:v>
                </c:pt>
                <c:pt idx="66">
                  <c:v>280.88761342403114</c:v>
                </c:pt>
                <c:pt idx="67">
                  <c:v>290.0859761754287</c:v>
                </c:pt>
                <c:pt idx="68">
                  <c:v>299.27782222086955</c:v>
                </c:pt>
                <c:pt idx="69">
                  <c:v>308.4633800870244</c:v>
                </c:pt>
                <c:pt idx="70">
                  <c:v>317.64286356879654</c:v>
                </c:pt>
                <c:pt idx="71">
                  <c:v>296.21458319381435</c:v>
                </c:pt>
                <c:pt idx="72">
                  <c:v>305.40221266685131</c:v>
                </c:pt>
                <c:pt idx="73">
                  <c:v>314.58369804007611</c:v>
                </c:pt>
                <c:pt idx="74">
                  <c:v>323.75924405165352</c:v>
                </c:pt>
                <c:pt idx="75">
                  <c:v>332.92904287941269</c:v>
                </c:pt>
                <c:pt idx="76">
                  <c:v>310.96746933537781</c:v>
                </c:pt>
                <c:pt idx="77">
                  <c:v>319.58926505280829</c:v>
                </c:pt>
                <c:pt idx="78">
                  <c:v>328.20591343097357</c:v>
                </c:pt>
                <c:pt idx="79">
                  <c:v>336.81756876832509</c:v>
                </c:pt>
                <c:pt idx="80">
                  <c:v>345.42437682332138</c:v>
                </c:pt>
                <c:pt idx="81">
                  <c:v>324.31515116468751</c:v>
                </c:pt>
                <c:pt idx="82">
                  <c:v>332.37345771931626</c:v>
                </c:pt>
                <c:pt idx="83">
                  <c:v>340.42745740486822</c:v>
                </c:pt>
                <c:pt idx="84">
                  <c:v>348.47726656937743</c:v>
                </c:pt>
                <c:pt idx="85">
                  <c:v>356.52299574267926</c:v>
                </c:pt>
                <c:pt idx="86">
                  <c:v>336.53984985620832</c:v>
                </c:pt>
                <c:pt idx="87">
                  <c:v>344.31408841451486</c:v>
                </c:pt>
                <c:pt idx="88">
                  <c:v>352.08447089489567</c:v>
                </c:pt>
                <c:pt idx="89">
                  <c:v>359.85109447267001</c:v>
                </c:pt>
                <c:pt idx="90">
                  <c:v>367.61405178287436</c:v>
                </c:pt>
                <c:pt idx="91">
                  <c:v>347.36719306587491</c:v>
                </c:pt>
                <c:pt idx="92">
                  <c:v>354.85869163217507</c:v>
                </c:pt>
                <c:pt idx="93">
                  <c:v>362.34672625077218</c:v>
                </c:pt>
                <c:pt idx="94">
                  <c:v>369.83137866172956</c:v>
                </c:pt>
                <c:pt idx="95">
                  <c:v>377.31272702396603</c:v>
                </c:pt>
                <c:pt idx="96">
                  <c:v>357.63243724288844</c:v>
                </c:pt>
                <c:pt idx="97">
                  <c:v>364.28751324563115</c:v>
                </c:pt>
                <c:pt idx="98">
                  <c:v>370.93993321022725</c:v>
                </c:pt>
                <c:pt idx="99">
                  <c:v>377.58975153367811</c:v>
                </c:pt>
                <c:pt idx="100">
                  <c:v>384.23702053892913</c:v>
                </c:pt>
                <c:pt idx="101">
                  <c:v>365.95086507890193</c:v>
                </c:pt>
                <c:pt idx="102">
                  <c:v>372.60262961654695</c:v>
                </c:pt>
                <c:pt idx="103">
                  <c:v>379.25180578361056</c:v>
                </c:pt>
                <c:pt idx="104">
                  <c:v>385.89844540272958</c:v>
                </c:pt>
                <c:pt idx="105">
                  <c:v>392.54259836416287</c:v>
                </c:pt>
                <c:pt idx="106">
                  <c:v>375.09637117701817</c:v>
                </c:pt>
                <c:pt idx="107">
                  <c:v>381.1906687730571</c:v>
                </c:pt>
                <c:pt idx="108">
                  <c:v>387.2828473763459</c:v>
                </c:pt>
                <c:pt idx="109">
                  <c:v>393.37294505418572</c:v>
                </c:pt>
                <c:pt idx="110">
                  <c:v>399.46099859791866</c:v>
                </c:pt>
                <c:pt idx="111">
                  <c:v>381.74459017179055</c:v>
                </c:pt>
                <c:pt idx="112">
                  <c:v>387.55971485934646</c:v>
                </c:pt>
                <c:pt idx="113">
                  <c:v>393.37294505418566</c:v>
                </c:pt>
                <c:pt idx="114">
                  <c:v>399.1843127300603</c:v>
                </c:pt>
                <c:pt idx="115">
                  <c:v>404.99384885292994</c:v>
                </c:pt>
                <c:pt idx="116">
                  <c:v>382.85238055108954</c:v>
                </c:pt>
                <c:pt idx="117">
                  <c:v>382.85238055108954</c:v>
                </c:pt>
                <c:pt idx="118">
                  <c:v>382.85238055108954</c:v>
                </c:pt>
                <c:pt idx="119">
                  <c:v>382.85238055108954</c:v>
                </c:pt>
                <c:pt idx="120">
                  <c:v>382.85238055108954</c:v>
                </c:pt>
                <c:pt idx="121">
                  <c:v>382.85238055108954</c:v>
                </c:pt>
                <c:pt idx="122">
                  <c:v>382.85238055108954</c:v>
                </c:pt>
                <c:pt idx="123">
                  <c:v>382.85238055108954</c:v>
                </c:pt>
                <c:pt idx="124">
                  <c:v>382.85238055108954</c:v>
                </c:pt>
                <c:pt idx="125">
                  <c:v>382.85238055108954</c:v>
                </c:pt>
                <c:pt idx="126">
                  <c:v>382.85238055108954</c:v>
                </c:pt>
                <c:pt idx="127">
                  <c:v>382.85238055108954</c:v>
                </c:pt>
                <c:pt idx="128">
                  <c:v>382.85238055108954</c:v>
                </c:pt>
                <c:pt idx="129">
                  <c:v>382.85238055108954</c:v>
                </c:pt>
                <c:pt idx="130">
                  <c:v>382.85238055108954</c:v>
                </c:pt>
                <c:pt idx="131">
                  <c:v>382.85238055108954</c:v>
                </c:pt>
                <c:pt idx="132">
                  <c:v>382.85238055108954</c:v>
                </c:pt>
                <c:pt idx="133">
                  <c:v>382.85238055108954</c:v>
                </c:pt>
                <c:pt idx="134">
                  <c:v>382.85238055108954</c:v>
                </c:pt>
                <c:pt idx="135">
                  <c:v>382.85238055108954</c:v>
                </c:pt>
                <c:pt idx="136">
                  <c:v>382.85238055108954</c:v>
                </c:pt>
                <c:pt idx="137">
                  <c:v>382.85238055108954</c:v>
                </c:pt>
                <c:pt idx="138">
                  <c:v>382.85238055108954</c:v>
                </c:pt>
                <c:pt idx="139">
                  <c:v>382.85238055108954</c:v>
                </c:pt>
                <c:pt idx="140">
                  <c:v>382.85238055108954</c:v>
                </c:pt>
                <c:pt idx="141">
                  <c:v>382.85238055108954</c:v>
                </c:pt>
                <c:pt idx="142">
                  <c:v>382.85238055108954</c:v>
                </c:pt>
                <c:pt idx="143">
                  <c:v>382.85238055108954</c:v>
                </c:pt>
                <c:pt idx="144">
                  <c:v>382.85238055108954</c:v>
                </c:pt>
                <c:pt idx="145">
                  <c:v>382.85238055108954</c:v>
                </c:pt>
                <c:pt idx="146">
                  <c:v>382.85238055108954</c:v>
                </c:pt>
                <c:pt idx="147">
                  <c:v>382.85238055108954</c:v>
                </c:pt>
                <c:pt idx="148">
                  <c:v>382.85238055108954</c:v>
                </c:pt>
                <c:pt idx="149">
                  <c:v>382.85238055108954</c:v>
                </c:pt>
                <c:pt idx="150">
                  <c:v>382.85238055108954</c:v>
                </c:pt>
                <c:pt idx="151">
                  <c:v>382.85238055108954</c:v>
                </c:pt>
                <c:pt idx="152">
                  <c:v>382.85238055108954</c:v>
                </c:pt>
                <c:pt idx="153">
                  <c:v>382.85238055108954</c:v>
                </c:pt>
                <c:pt idx="154">
                  <c:v>382.85238055108954</c:v>
                </c:pt>
                <c:pt idx="155">
                  <c:v>382.85238055108954</c:v>
                </c:pt>
                <c:pt idx="156">
                  <c:v>382.85238055108954</c:v>
                </c:pt>
                <c:pt idx="157">
                  <c:v>382.85238055108954</c:v>
                </c:pt>
                <c:pt idx="158">
                  <c:v>382.85238055108954</c:v>
                </c:pt>
                <c:pt idx="159">
                  <c:v>382.85238055108954</c:v>
                </c:pt>
                <c:pt idx="160">
                  <c:v>382.85238055108954</c:v>
                </c:pt>
                <c:pt idx="161">
                  <c:v>382.85238055108954</c:v>
                </c:pt>
                <c:pt idx="162">
                  <c:v>382.85238055108954</c:v>
                </c:pt>
                <c:pt idx="163">
                  <c:v>382.85238055108954</c:v>
                </c:pt>
                <c:pt idx="164">
                  <c:v>382.85238055108954</c:v>
                </c:pt>
                <c:pt idx="165">
                  <c:v>382.85238055108954</c:v>
                </c:pt>
                <c:pt idx="166">
                  <c:v>382.85238055108954</c:v>
                </c:pt>
                <c:pt idx="167">
                  <c:v>382.85238055108954</c:v>
                </c:pt>
                <c:pt idx="168">
                  <c:v>382.85238055108954</c:v>
                </c:pt>
                <c:pt idx="169">
                  <c:v>382.85238055108954</c:v>
                </c:pt>
                <c:pt idx="170">
                  <c:v>382.85238055108954</c:v>
                </c:pt>
                <c:pt idx="171">
                  <c:v>382.85238055108954</c:v>
                </c:pt>
                <c:pt idx="172">
                  <c:v>382.85238055108954</c:v>
                </c:pt>
                <c:pt idx="173">
                  <c:v>382.85238055108954</c:v>
                </c:pt>
                <c:pt idx="174">
                  <c:v>382.85238055108954</c:v>
                </c:pt>
                <c:pt idx="175">
                  <c:v>382.85238055108954</c:v>
                </c:pt>
                <c:pt idx="176">
                  <c:v>382.85238055108954</c:v>
                </c:pt>
                <c:pt idx="177">
                  <c:v>382.85238055108954</c:v>
                </c:pt>
                <c:pt idx="178">
                  <c:v>382.85238055108954</c:v>
                </c:pt>
                <c:pt idx="179">
                  <c:v>382.85238055108954</c:v>
                </c:pt>
                <c:pt idx="180">
                  <c:v>382.85238055108954</c:v>
                </c:pt>
                <c:pt idx="181">
                  <c:v>382.85238055108954</c:v>
                </c:pt>
                <c:pt idx="182">
                  <c:v>382.85238055108954</c:v>
                </c:pt>
                <c:pt idx="183">
                  <c:v>382.85238055108954</c:v>
                </c:pt>
                <c:pt idx="184">
                  <c:v>382.85238055108954</c:v>
                </c:pt>
                <c:pt idx="185">
                  <c:v>382.85238055108954</c:v>
                </c:pt>
                <c:pt idx="186">
                  <c:v>382.85238055108954</c:v>
                </c:pt>
                <c:pt idx="187">
                  <c:v>382.85238055108954</c:v>
                </c:pt>
                <c:pt idx="188">
                  <c:v>382.85238055108954</c:v>
                </c:pt>
                <c:pt idx="189">
                  <c:v>382.85238055108954</c:v>
                </c:pt>
                <c:pt idx="190">
                  <c:v>382.85238055108954</c:v>
                </c:pt>
                <c:pt idx="191">
                  <c:v>382.85238055108954</c:v>
                </c:pt>
                <c:pt idx="192">
                  <c:v>382.85238055108954</c:v>
                </c:pt>
                <c:pt idx="193">
                  <c:v>382.85238055108954</c:v>
                </c:pt>
                <c:pt idx="194">
                  <c:v>382.85238055108954</c:v>
                </c:pt>
                <c:pt idx="195">
                  <c:v>382.85238055108954</c:v>
                </c:pt>
                <c:pt idx="196">
                  <c:v>382.85238055108954</c:v>
                </c:pt>
                <c:pt idx="197">
                  <c:v>382.85238055108954</c:v>
                </c:pt>
                <c:pt idx="198">
                  <c:v>382.85238055108954</c:v>
                </c:pt>
                <c:pt idx="199">
                  <c:v>382.85238055108954</c:v>
                </c:pt>
                <c:pt idx="200">
                  <c:v>382.85238055108954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2.0598130854067289</c:v>
                </c:pt>
                <c:pt idx="2">
                  <c:v>2.4494379497599144</c:v>
                </c:pt>
                <c:pt idx="3">
                  <c:v>2.9130388278323074</c:v>
                </c:pt>
                <c:pt idx="4">
                  <c:v>3.4647107766982983</c:v>
                </c:pt>
                <c:pt idx="5">
                  <c:v>4.1212433393556713</c:v>
                </c:pt>
                <c:pt idx="6">
                  <c:v>4.902637219424693</c:v>
                </c:pt>
                <c:pt idx="7">
                  <c:v>5.8327203107348708</c:v>
                </c:pt>
                <c:pt idx="8">
                  <c:v>6.9398822372294804</c:v>
                </c:pt>
                <c:pt idx="9">
                  <c:v>8.2579502605447033</c:v>
                </c:pt>
                <c:pt idx="10">
                  <c:v>9.8272338315211361</c:v>
                </c:pt>
                <c:pt idx="11">
                  <c:v>11.695770336913489</c:v>
                </c:pt>
                <c:pt idx="12">
                  <c:v>13.920810889859885</c:v>
                </c:pt>
                <c:pt idx="13">
                  <c:v>16.57059253074933</c:v>
                </c:pt>
                <c:pt idx="14">
                  <c:v>19.726452181085573</c:v>
                </c:pt>
                <c:pt idx="15">
                  <c:v>23.485348410016101</c:v>
                </c:pt>
                <c:pt idx="16">
                  <c:v>27.962869869719654</c:v>
                </c:pt>
                <c:pt idx="17">
                  <c:v>33.296824536023927</c:v>
                </c:pt>
                <c:pt idx="18">
                  <c:v>39.651522137349311</c:v>
                </c:pt>
                <c:pt idx="19">
                  <c:v>47.22288394527282</c:v>
                </c:pt>
                <c:pt idx="20">
                  <c:v>56.244540122981597</c:v>
                </c:pt>
                <c:pt idx="21">
                  <c:v>52.020384623053708</c:v>
                </c:pt>
                <c:pt idx="22">
                  <c:v>58.353454703414485</c:v>
                </c:pt>
                <c:pt idx="23">
                  <c:v>64.66856117257484</c:v>
                </c:pt>
                <c:pt idx="24">
                  <c:v>70.967710974783941</c:v>
                </c:pt>
                <c:pt idx="25">
                  <c:v>77.252524155553886</c:v>
                </c:pt>
                <c:pt idx="26">
                  <c:v>69.632775520636997</c:v>
                </c:pt>
                <c:pt idx="27">
                  <c:v>76.301145689172898</c:v>
                </c:pt>
                <c:pt idx="28">
                  <c:v>82.954676649972768</c:v>
                </c:pt>
                <c:pt idx="29">
                  <c:v>89.594729390655559</c:v>
                </c:pt>
                <c:pt idx="30">
                  <c:v>96.222446032043663</c:v>
                </c:pt>
                <c:pt idx="31">
                  <c:v>87.12992095223332</c:v>
                </c:pt>
                <c:pt idx="32">
                  <c:v>94.140716854135107</c:v>
                </c:pt>
                <c:pt idx="33">
                  <c:v>101.13848734604518</c:v>
                </c:pt>
                <c:pt idx="34">
                  <c:v>108.12426266746684</c:v>
                </c:pt>
                <c:pt idx="35">
                  <c:v>115.09892870231459</c:v>
                </c:pt>
                <c:pt idx="36">
                  <c:v>104.16078030302447</c:v>
                </c:pt>
                <c:pt idx="37">
                  <c:v>111.1416502716159</c:v>
                </c:pt>
                <c:pt idx="38">
                  <c:v>118.11175661352553</c:v>
                </c:pt>
                <c:pt idx="39">
                  <c:v>125.07182536157403</c:v>
                </c:pt>
                <c:pt idx="40">
                  <c:v>132.02249495436959</c:v>
                </c:pt>
                <c:pt idx="41">
                  <c:v>120.1819843481781</c:v>
                </c:pt>
                <c:pt idx="42">
                  <c:v>127.13919560760012</c:v>
                </c:pt>
                <c:pt idx="43">
                  <c:v>134.0871828895406</c:v>
                </c:pt>
                <c:pt idx="44">
                  <c:v>141.02649246407412</c:v>
                </c:pt>
                <c:pt idx="45">
                  <c:v>147.9576123374022</c:v>
                </c:pt>
                <c:pt idx="46">
                  <c:v>135.40067522615209</c:v>
                </c:pt>
                <c:pt idx="47">
                  <c:v>142.52579115025171</c:v>
                </c:pt>
                <c:pt idx="48">
                  <c:v>149.64237261832491</c:v>
                </c:pt>
                <c:pt idx="49">
                  <c:v>156.75088346387858</c:v>
                </c:pt>
                <c:pt idx="50">
                  <c:v>163.85174193462572</c:v>
                </c:pt>
                <c:pt idx="51">
                  <c:v>150.01670213403807</c:v>
                </c:pt>
                <c:pt idx="52">
                  <c:v>156.75088346387858</c:v>
                </c:pt>
                <c:pt idx="53">
                  <c:v>163.47819703457404</c:v>
                </c:pt>
                <c:pt idx="54">
                  <c:v>170.19896583320107</c:v>
                </c:pt>
                <c:pt idx="55">
                  <c:v>176.91348520770848</c:v>
                </c:pt>
                <c:pt idx="56">
                  <c:v>163.10463194167394</c:v>
                </c:pt>
                <c:pt idx="57">
                  <c:v>169.82575635137312</c:v>
                </c:pt>
                <c:pt idx="58">
                  <c:v>176.54061559438958</c:v>
                </c:pt>
                <c:pt idx="59">
                  <c:v>183.24948199861566</c:v>
                </c:pt>
                <c:pt idx="60">
                  <c:v>189.95260628780591</c:v>
                </c:pt>
                <c:pt idx="61">
                  <c:v>175.98127648998835</c:v>
                </c:pt>
                <c:pt idx="62">
                  <c:v>182.50434037130813</c:v>
                </c:pt>
                <c:pt idx="63">
                  <c:v>189.02195139881823</c:v>
                </c:pt>
                <c:pt idx="64">
                  <c:v>195.5343244382826</c:v>
                </c:pt>
                <c:pt idx="65">
                  <c:v>202.04165884934017</c:v>
                </c:pt>
                <c:pt idx="66">
                  <c:v>187.71885487389389</c:v>
                </c:pt>
                <c:pt idx="67">
                  <c:v>193.86020319325181</c:v>
                </c:pt>
                <c:pt idx="68">
                  <c:v>199.99702805410388</c:v>
                </c:pt>
                <c:pt idx="69">
                  <c:v>206.12948808427799</c:v>
                </c:pt>
                <c:pt idx="70">
                  <c:v>212.25773168580147</c:v>
                </c:pt>
                <c:pt idx="71">
                  <c:v>197.95191236170558</c:v>
                </c:pt>
                <c:pt idx="72">
                  <c:v>204.08581036189616</c:v>
                </c:pt>
                <c:pt idx="73">
                  <c:v>210.21544354167881</c:v>
                </c:pt>
                <c:pt idx="74">
                  <c:v>216.34095401650256</c:v>
                </c:pt>
                <c:pt idx="75">
                  <c:v>222.46247518327698</c:v>
                </c:pt>
                <c:pt idx="76">
                  <c:v>207.80123939191051</c:v>
                </c:pt>
                <c:pt idx="77">
                  <c:v>213.5571334405995</c:v>
                </c:pt>
                <c:pt idx="78">
                  <c:v>219.30945455294048</c:v>
                </c:pt>
                <c:pt idx="79">
                  <c:v>225.05830983252937</c:v>
                </c:pt>
                <c:pt idx="80">
                  <c:v>230.80380045507431</c:v>
                </c:pt>
                <c:pt idx="81">
                  <c:v>216.71206756109029</c:v>
                </c:pt>
                <c:pt idx="82">
                  <c:v>222.09158511674138</c:v>
                </c:pt>
                <c:pt idx="83">
                  <c:v>227.46811313386058</c:v>
                </c:pt>
                <c:pt idx="84">
                  <c:v>232.84173237341909</c:v>
                </c:pt>
                <c:pt idx="85">
                  <c:v>238.21251955778698</c:v>
                </c:pt>
                <c:pt idx="86">
                  <c:v>224.87291593457962</c:v>
                </c:pt>
                <c:pt idx="87">
                  <c:v>230.06263248550883</c:v>
                </c:pt>
                <c:pt idx="88">
                  <c:v>235.2496724067712</c:v>
                </c:pt>
                <c:pt idx="89">
                  <c:v>240.43410315093078</c:v>
                </c:pt>
                <c:pt idx="90">
                  <c:v>245.61598901899268</c:v>
                </c:pt>
                <c:pt idx="91">
                  <c:v>232.10071357664606</c:v>
                </c:pt>
                <c:pt idx="92">
                  <c:v>237.10155093403486</c:v>
                </c:pt>
                <c:pt idx="93">
                  <c:v>242.09998385215556</c:v>
                </c:pt>
                <c:pt idx="94">
                  <c:v>247.09606906945621</c:v>
                </c:pt>
                <c:pt idx="95">
                  <c:v>252.08986083859631</c:v>
                </c:pt>
                <c:pt idx="96">
                  <c:v>238.95309966042669</c:v>
                </c:pt>
                <c:pt idx="97">
                  <c:v>243.39548840660663</c:v>
                </c:pt>
                <c:pt idx="98">
                  <c:v>247.83603350993602</c:v>
                </c:pt>
                <c:pt idx="99">
                  <c:v>252.27477272915084</c:v>
                </c:pt>
                <c:pt idx="100">
                  <c:v>256.71174238331639</c:v>
                </c:pt>
                <c:pt idx="101">
                  <c:v>244.50579602362004</c:v>
                </c:pt>
                <c:pt idx="102">
                  <c:v>248.94588617368993</c:v>
                </c:pt>
                <c:pt idx="103">
                  <c:v>253.38417965117685</c:v>
                </c:pt>
                <c:pt idx="104">
                  <c:v>257.82071242786628</c:v>
                </c:pt>
                <c:pt idx="105">
                  <c:v>262.25551913421657</c:v>
                </c:pt>
                <c:pt idx="106">
                  <c:v>250.6104548131033</c:v>
                </c:pt>
                <c:pt idx="107">
                  <c:v>254.67834869061383</c:v>
                </c:pt>
                <c:pt idx="108">
                  <c:v>258.74477170602881</c:v>
                </c:pt>
                <c:pt idx="109">
                  <c:v>262.80975028310553</c:v>
                </c:pt>
                <c:pt idx="110">
                  <c:v>266.8733099599167</c:v>
                </c:pt>
                <c:pt idx="111">
                  <c:v>255.04808388603203</c:v>
                </c:pt>
                <c:pt idx="112">
                  <c:v>258.92957459921269</c:v>
                </c:pt>
                <c:pt idx="113">
                  <c:v>262.80975028310553</c:v>
                </c:pt>
                <c:pt idx="114">
                  <c:v>266.68863313173625</c:v>
                </c:pt>
                <c:pt idx="115">
                  <c:v>270.56624463958929</c:v>
                </c:pt>
                <c:pt idx="116">
                  <c:v>255.78751789170556</c:v>
                </c:pt>
                <c:pt idx="117">
                  <c:v>255.78751789170556</c:v>
                </c:pt>
                <c:pt idx="118">
                  <c:v>255.78751789170556</c:v>
                </c:pt>
                <c:pt idx="119">
                  <c:v>255.78751789170556</c:v>
                </c:pt>
                <c:pt idx="120">
                  <c:v>255.78751789170556</c:v>
                </c:pt>
                <c:pt idx="121">
                  <c:v>255.78751789170556</c:v>
                </c:pt>
                <c:pt idx="122">
                  <c:v>255.78751789170556</c:v>
                </c:pt>
                <c:pt idx="123">
                  <c:v>255.78751789170556</c:v>
                </c:pt>
                <c:pt idx="124">
                  <c:v>255.78751789170556</c:v>
                </c:pt>
                <c:pt idx="125">
                  <c:v>255.78751789170556</c:v>
                </c:pt>
                <c:pt idx="126">
                  <c:v>255.78751789170556</c:v>
                </c:pt>
                <c:pt idx="127">
                  <c:v>255.78751789170556</c:v>
                </c:pt>
                <c:pt idx="128">
                  <c:v>255.78751789170556</c:v>
                </c:pt>
                <c:pt idx="129">
                  <c:v>255.78751789170556</c:v>
                </c:pt>
                <c:pt idx="130">
                  <c:v>255.78751789170556</c:v>
                </c:pt>
                <c:pt idx="131">
                  <c:v>255.78751789170556</c:v>
                </c:pt>
                <c:pt idx="132">
                  <c:v>255.78751789170556</c:v>
                </c:pt>
                <c:pt idx="133">
                  <c:v>255.78751789170556</c:v>
                </c:pt>
                <c:pt idx="134">
                  <c:v>255.78751789170556</c:v>
                </c:pt>
                <c:pt idx="135">
                  <c:v>255.78751789170556</c:v>
                </c:pt>
                <c:pt idx="136">
                  <c:v>255.78751789170556</c:v>
                </c:pt>
                <c:pt idx="137">
                  <c:v>255.78751789170556</c:v>
                </c:pt>
                <c:pt idx="138">
                  <c:v>255.78751789170556</c:v>
                </c:pt>
                <c:pt idx="139">
                  <c:v>255.78751789170556</c:v>
                </c:pt>
                <c:pt idx="140">
                  <c:v>255.78751789170556</c:v>
                </c:pt>
                <c:pt idx="141">
                  <c:v>255.78751789170556</c:v>
                </c:pt>
                <c:pt idx="142">
                  <c:v>255.78751789170556</c:v>
                </c:pt>
                <c:pt idx="143">
                  <c:v>255.78751789170556</c:v>
                </c:pt>
                <c:pt idx="144">
                  <c:v>255.78751789170556</c:v>
                </c:pt>
                <c:pt idx="145">
                  <c:v>255.78751789170556</c:v>
                </c:pt>
                <c:pt idx="146">
                  <c:v>255.78751789170556</c:v>
                </c:pt>
                <c:pt idx="147">
                  <c:v>255.78751789170556</c:v>
                </c:pt>
                <c:pt idx="148">
                  <c:v>255.78751789170556</c:v>
                </c:pt>
                <c:pt idx="149">
                  <c:v>255.78751789170556</c:v>
                </c:pt>
                <c:pt idx="150">
                  <c:v>255.78751789170556</c:v>
                </c:pt>
                <c:pt idx="151">
                  <c:v>255.78751789170556</c:v>
                </c:pt>
                <c:pt idx="152">
                  <c:v>255.78751789170556</c:v>
                </c:pt>
                <c:pt idx="153">
                  <c:v>255.78751789170556</c:v>
                </c:pt>
                <c:pt idx="154">
                  <c:v>255.78751789170556</c:v>
                </c:pt>
                <c:pt idx="155">
                  <c:v>255.78751789170556</c:v>
                </c:pt>
                <c:pt idx="156">
                  <c:v>255.78751789170556</c:v>
                </c:pt>
                <c:pt idx="157">
                  <c:v>255.78751789170556</c:v>
                </c:pt>
                <c:pt idx="158">
                  <c:v>255.78751789170556</c:v>
                </c:pt>
                <c:pt idx="159">
                  <c:v>255.78751789170556</c:v>
                </c:pt>
                <c:pt idx="160">
                  <c:v>255.78751789170556</c:v>
                </c:pt>
                <c:pt idx="161">
                  <c:v>255.78751789170556</c:v>
                </c:pt>
                <c:pt idx="162">
                  <c:v>255.78751789170556</c:v>
                </c:pt>
                <c:pt idx="163">
                  <c:v>255.78751789170556</c:v>
                </c:pt>
                <c:pt idx="164">
                  <c:v>255.78751789170556</c:v>
                </c:pt>
                <c:pt idx="165">
                  <c:v>255.78751789170556</c:v>
                </c:pt>
                <c:pt idx="166">
                  <c:v>255.78751789170556</c:v>
                </c:pt>
                <c:pt idx="167">
                  <c:v>255.78751789170556</c:v>
                </c:pt>
                <c:pt idx="168">
                  <c:v>255.78751789170556</c:v>
                </c:pt>
                <c:pt idx="169">
                  <c:v>255.78751789170556</c:v>
                </c:pt>
                <c:pt idx="170">
                  <c:v>255.78751789170556</c:v>
                </c:pt>
                <c:pt idx="171">
                  <c:v>255.78751789170556</c:v>
                </c:pt>
                <c:pt idx="172">
                  <c:v>255.78751789170556</c:v>
                </c:pt>
                <c:pt idx="173">
                  <c:v>255.78751789170556</c:v>
                </c:pt>
                <c:pt idx="174">
                  <c:v>255.78751789170556</c:v>
                </c:pt>
                <c:pt idx="175">
                  <c:v>255.78751789170556</c:v>
                </c:pt>
                <c:pt idx="176">
                  <c:v>255.78751789170556</c:v>
                </c:pt>
                <c:pt idx="177">
                  <c:v>255.78751789170556</c:v>
                </c:pt>
                <c:pt idx="178">
                  <c:v>255.78751789170556</c:v>
                </c:pt>
                <c:pt idx="179">
                  <c:v>255.78751789170556</c:v>
                </c:pt>
                <c:pt idx="180">
                  <c:v>255.78751789170556</c:v>
                </c:pt>
                <c:pt idx="181">
                  <c:v>255.78751789170556</c:v>
                </c:pt>
                <c:pt idx="182">
                  <c:v>255.78751789170556</c:v>
                </c:pt>
                <c:pt idx="183">
                  <c:v>255.78751789170556</c:v>
                </c:pt>
                <c:pt idx="184">
                  <c:v>255.78751789170556</c:v>
                </c:pt>
                <c:pt idx="185">
                  <c:v>255.78751789170556</c:v>
                </c:pt>
                <c:pt idx="186">
                  <c:v>255.78751789170556</c:v>
                </c:pt>
                <c:pt idx="187">
                  <c:v>255.78751789170556</c:v>
                </c:pt>
                <c:pt idx="188">
                  <c:v>255.78751789170556</c:v>
                </c:pt>
                <c:pt idx="189">
                  <c:v>255.78751789170556</c:v>
                </c:pt>
                <c:pt idx="190">
                  <c:v>255.78751789170556</c:v>
                </c:pt>
                <c:pt idx="191">
                  <c:v>255.78751789170556</c:v>
                </c:pt>
                <c:pt idx="192">
                  <c:v>255.78751789170556</c:v>
                </c:pt>
                <c:pt idx="193">
                  <c:v>255.78751789170556</c:v>
                </c:pt>
                <c:pt idx="194">
                  <c:v>255.78751789170556</c:v>
                </c:pt>
                <c:pt idx="195">
                  <c:v>255.78751789170556</c:v>
                </c:pt>
                <c:pt idx="196">
                  <c:v>255.78751789170556</c:v>
                </c:pt>
                <c:pt idx="197">
                  <c:v>255.78751789170556</c:v>
                </c:pt>
                <c:pt idx="198">
                  <c:v>255.78751789170556</c:v>
                </c:pt>
                <c:pt idx="199">
                  <c:v>255.78751789170556</c:v>
                </c:pt>
                <c:pt idx="200">
                  <c:v>255.78751789170556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4.7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0.52098408104196814</v>
      </c>
      <c r="D9" s="33">
        <f t="shared" ref="D9:D18" si="0">C9*$C$5</f>
        <v>2.4486251808972503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29</v>
      </c>
      <c r="C10" s="32">
        <v>1.736613603473227E-2</v>
      </c>
      <c r="D10" s="33">
        <f t="shared" si="0"/>
        <v>8.1620839363241673E-2</v>
      </c>
      <c r="E10" s="34">
        <v>75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</v>
      </c>
      <c r="C11" s="32">
        <v>1.736613603473227E-2</v>
      </c>
      <c r="D11" s="33">
        <f t="shared" si="0"/>
        <v>8.1620839363241673E-2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52</v>
      </c>
      <c r="C12" s="32">
        <v>4.3415340086830678E-2</v>
      </c>
      <c r="D12" s="33">
        <f t="shared" si="0"/>
        <v>0.2040520984081042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5</v>
      </c>
      <c r="C13" s="32">
        <v>4.3415340086830678E-2</v>
      </c>
      <c r="D13" s="33">
        <f t="shared" si="0"/>
        <v>0.2040520984081042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164</v>
      </c>
      <c r="C14" s="32">
        <v>6.6570188133140362E-2</v>
      </c>
      <c r="D14" s="33">
        <f t="shared" si="0"/>
        <v>0.31287988422575974</v>
      </c>
      <c r="E14" s="34">
        <v>131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12</v>
      </c>
      <c r="C15" s="32">
        <v>0.24746743849493485</v>
      </c>
      <c r="D15" s="33">
        <f t="shared" si="0"/>
        <v>1.1630969609261939</v>
      </c>
      <c r="E15" s="34">
        <v>115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 t="s">
        <v>21</v>
      </c>
      <c r="C16" s="32">
        <v>1.736613603473227E-2</v>
      </c>
      <c r="D16" s="33">
        <f t="shared" si="0"/>
        <v>8.1620839363241673E-2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 t="s">
        <v>50</v>
      </c>
      <c r="C17" s="32">
        <v>2.6049204052098405E-2</v>
      </c>
      <c r="D17" s="33">
        <f t="shared" si="0"/>
        <v>0.1224312590448625</v>
      </c>
      <c r="E17" s="34">
        <v>115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4.7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Merisier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25</v>
      </c>
      <c r="B62" s="60">
        <v>89</v>
      </c>
      <c r="C62" s="60">
        <v>1</v>
      </c>
      <c r="D62" s="60">
        <v>28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3.56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30</v>
      </c>
      <c r="B63" s="60">
        <v>132</v>
      </c>
      <c r="C63" s="60">
        <v>2</v>
      </c>
      <c r="D63" s="60">
        <v>34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35</v>
      </c>
      <c r="B64" s="60">
        <v>173</v>
      </c>
      <c r="C64" s="60">
        <v>3</v>
      </c>
      <c r="D64" s="60">
        <v>27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40</v>
      </c>
      <c r="B65" s="60">
        <v>208</v>
      </c>
      <c r="C65" s="60">
        <v>4</v>
      </c>
      <c r="D65" s="60">
        <v>32</v>
      </c>
      <c r="E65" s="51">
        <v>0</v>
      </c>
      <c r="F65" s="51">
        <v>0.25</v>
      </c>
      <c r="G65" s="51">
        <v>0.25</v>
      </c>
      <c r="H65" s="51">
        <v>0.5</v>
      </c>
      <c r="I65" s="49">
        <f>IF(A65&lt;&gt;0,(B65-(B64-D64))/(A65-A64),"")</f>
        <v>12.4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45</v>
      </c>
      <c r="B66" s="60">
        <v>233</v>
      </c>
      <c r="C66" s="60">
        <v>5</v>
      </c>
      <c r="D66" s="60">
        <v>31</v>
      </c>
      <c r="E66" s="51">
        <v>0</v>
      </c>
      <c r="F66" s="51">
        <v>0.25</v>
      </c>
      <c r="G66" s="51">
        <v>0.25</v>
      </c>
      <c r="H66" s="51">
        <v>0.5</v>
      </c>
      <c r="I66" s="49">
        <f t="shared" ref="I66:I81" si="2">IF(A66&lt;&gt;0,(B66-(B65-D65))/(A66-A65),"")</f>
        <v>11.4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50</v>
      </c>
      <c r="B67" s="60">
        <v>253</v>
      </c>
      <c r="C67" s="60">
        <v>6</v>
      </c>
      <c r="D67" s="60">
        <v>30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10.199999999999999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55</v>
      </c>
      <c r="B68" s="60">
        <v>264</v>
      </c>
      <c r="C68" s="60">
        <v>7</v>
      </c>
      <c r="D68" s="60">
        <v>30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60</v>
      </c>
      <c r="B69" s="50">
        <v>271</v>
      </c>
      <c r="C69" s="50">
        <v>8</v>
      </c>
      <c r="D69" s="50">
        <v>27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65</v>
      </c>
      <c r="B70" s="50">
        <v>276</v>
      </c>
      <c r="C70" s="50">
        <v>9</v>
      </c>
      <c r="D70" s="50">
        <v>26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6.4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70</v>
      </c>
      <c r="B71" s="50">
        <v>280</v>
      </c>
      <c r="C71" s="50">
        <v>10</v>
      </c>
      <c r="D71" s="50">
        <v>20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75</v>
      </c>
      <c r="B72" s="50">
        <v>286</v>
      </c>
      <c r="C72" s="50">
        <v>11</v>
      </c>
      <c r="D72" s="50">
        <v>286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5.2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25</v>
      </c>
      <c r="B88" s="60">
        <v>28.846153846153847</v>
      </c>
      <c r="C88" s="60">
        <v>1</v>
      </c>
      <c r="D88" s="60">
        <v>5.7692307692307692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1.153846153846154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30</v>
      </c>
      <c r="B89" s="60">
        <v>33.974358974358978</v>
      </c>
      <c r="C89" s="60">
        <v>2</v>
      </c>
      <c r="D89" s="60">
        <v>5.1282051282051277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2.1794871794871802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35</v>
      </c>
      <c r="B90" s="60">
        <v>41.025641025641022</v>
      </c>
      <c r="C90" s="60">
        <v>3</v>
      </c>
      <c r="D90" s="60">
        <v>5.7692307692307692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2.4358974358974343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40</v>
      </c>
      <c r="B91" s="60">
        <v>48.076923076923073</v>
      </c>
      <c r="C91" s="60">
        <v>4</v>
      </c>
      <c r="D91" s="60">
        <v>5.7692307692307692</v>
      </c>
      <c r="E91" s="87">
        <v>0</v>
      </c>
      <c r="F91" s="87">
        <v>0.8</v>
      </c>
      <c r="G91" s="87">
        <v>0.2</v>
      </c>
      <c r="H91" s="87">
        <v>0</v>
      </c>
      <c r="I91" s="53">
        <f t="shared" si="3"/>
        <v>2.5641025641025634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45</v>
      </c>
      <c r="B92" s="60">
        <v>54.487179487179482</v>
      </c>
      <c r="C92" s="60">
        <v>5</v>
      </c>
      <c r="D92" s="60">
        <v>5.7692307692307692</v>
      </c>
      <c r="E92" s="87">
        <v>0</v>
      </c>
      <c r="F92" s="87">
        <v>0.8</v>
      </c>
      <c r="G92" s="87">
        <v>0.2</v>
      </c>
      <c r="H92" s="87">
        <v>0</v>
      </c>
      <c r="I92" s="53">
        <f t="shared" si="3"/>
        <v>2.4358974358974352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50</v>
      </c>
      <c r="B93" s="60">
        <v>61.538461538461533</v>
      </c>
      <c r="C93" s="60">
        <v>6</v>
      </c>
      <c r="D93" s="60">
        <v>6.4102564102564097</v>
      </c>
      <c r="E93" s="87">
        <v>0</v>
      </c>
      <c r="F93" s="87">
        <v>0.8</v>
      </c>
      <c r="G93" s="87">
        <v>0.2</v>
      </c>
      <c r="H93" s="87">
        <v>0</v>
      </c>
      <c r="I93" s="53">
        <f t="shared" si="3"/>
        <v>2.5641025641025634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55</v>
      </c>
      <c r="B94" s="60">
        <v>67.948717948717942</v>
      </c>
      <c r="C94" s="60">
        <v>7</v>
      </c>
      <c r="D94" s="60">
        <v>6.4102564102564097</v>
      </c>
      <c r="E94" s="87">
        <v>0</v>
      </c>
      <c r="F94" s="87">
        <v>0.8</v>
      </c>
      <c r="G94" s="87">
        <v>0.2</v>
      </c>
      <c r="H94" s="87">
        <v>0</v>
      </c>
      <c r="I94" s="53">
        <f t="shared" si="3"/>
        <v>2.5641025641025634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60</v>
      </c>
      <c r="B95" s="60">
        <v>73.717948717948715</v>
      </c>
      <c r="C95" s="60">
        <v>8</v>
      </c>
      <c r="D95" s="60">
        <v>6.4102564102564097</v>
      </c>
      <c r="E95" s="87">
        <v>0</v>
      </c>
      <c r="F95" s="87">
        <v>0.8</v>
      </c>
      <c r="G95" s="87">
        <v>0.2</v>
      </c>
      <c r="H95" s="87">
        <v>0</v>
      </c>
      <c r="I95" s="53">
        <f t="shared" si="3"/>
        <v>2.4358974358974366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65</v>
      </c>
      <c r="B96" s="60">
        <v>78.205128205128204</v>
      </c>
      <c r="C96" s="60">
        <v>9</v>
      </c>
      <c r="D96" s="60">
        <v>6.4102564102564097</v>
      </c>
      <c r="E96" s="87">
        <v>0</v>
      </c>
      <c r="F96" s="87">
        <v>0.8</v>
      </c>
      <c r="G96" s="87">
        <v>0.2</v>
      </c>
      <c r="H96" s="87">
        <v>0</v>
      </c>
      <c r="I96" s="53">
        <f t="shared" si="3"/>
        <v>2.1794871794871797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70</v>
      </c>
      <c r="B97" s="60">
        <v>83.333333333333329</v>
      </c>
      <c r="C97" s="60">
        <v>10</v>
      </c>
      <c r="D97" s="60">
        <v>6.4102564102564097</v>
      </c>
      <c r="E97" s="87">
        <v>0</v>
      </c>
      <c r="F97" s="87">
        <v>0.8</v>
      </c>
      <c r="G97" s="87">
        <v>0.2</v>
      </c>
      <c r="H97" s="87">
        <v>0</v>
      </c>
      <c r="I97" s="53">
        <f t="shared" si="3"/>
        <v>2.3076923076923066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75</v>
      </c>
      <c r="B98" s="60">
        <v>89.102564102564102</v>
      </c>
      <c r="C98" s="60">
        <v>11</v>
      </c>
      <c r="D98" s="60">
        <v>6.4102564102564097</v>
      </c>
      <c r="E98" s="87">
        <v>0</v>
      </c>
      <c r="F98" s="87">
        <v>0.8</v>
      </c>
      <c r="G98" s="87">
        <v>0.2</v>
      </c>
      <c r="H98" s="87">
        <v>0</v>
      </c>
      <c r="I98" s="53">
        <f t="shared" si="3"/>
        <v>2.4358974358974366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80</v>
      </c>
      <c r="B99" s="60">
        <v>93.589743589743591</v>
      </c>
      <c r="C99" s="60">
        <v>12</v>
      </c>
      <c r="D99" s="60">
        <v>5.7692307692307692</v>
      </c>
      <c r="E99" s="87">
        <v>0</v>
      </c>
      <c r="F99" s="87">
        <v>0.8</v>
      </c>
      <c r="G99" s="87">
        <v>0.2</v>
      </c>
      <c r="H99" s="87">
        <v>0</v>
      </c>
      <c r="I99" s="53">
        <f t="shared" si="3"/>
        <v>2.1794871794871797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85</v>
      </c>
      <c r="B100" s="60">
        <v>97.435897435897431</v>
      </c>
      <c r="C100" s="60">
        <v>13</v>
      </c>
      <c r="D100" s="60">
        <v>5.7692307692307692</v>
      </c>
      <c r="E100" s="65">
        <v>0</v>
      </c>
      <c r="F100" s="65">
        <v>0.8</v>
      </c>
      <c r="G100" s="65">
        <v>0.2</v>
      </c>
      <c r="H100" s="65">
        <v>0</v>
      </c>
      <c r="I100" s="53">
        <f t="shared" si="3"/>
        <v>1.9230769230769227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90</v>
      </c>
      <c r="B101" s="60">
        <v>101.92307692307692</v>
      </c>
      <c r="C101" s="60">
        <v>14</v>
      </c>
      <c r="D101" s="60">
        <v>5.7692307692307692</v>
      </c>
      <c r="E101" s="65">
        <v>0</v>
      </c>
      <c r="F101" s="65">
        <v>0.8</v>
      </c>
      <c r="G101" s="65">
        <v>0.2</v>
      </c>
      <c r="H101" s="65">
        <v>0</v>
      </c>
      <c r="I101" s="53">
        <f t="shared" si="3"/>
        <v>2.0512820512820524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95</v>
      </c>
      <c r="B102" s="50">
        <v>105.12820512820512</v>
      </c>
      <c r="C102" s="60">
        <v>15</v>
      </c>
      <c r="D102" s="50">
        <v>5.7692307692307692</v>
      </c>
      <c r="E102" s="54">
        <v>0</v>
      </c>
      <c r="F102" s="54">
        <v>0.8</v>
      </c>
      <c r="G102" s="54">
        <v>0.2</v>
      </c>
      <c r="H102" s="54">
        <v>0</v>
      </c>
      <c r="I102" s="53">
        <f t="shared" si="3"/>
        <v>1.7948717948717956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100</v>
      </c>
      <c r="B103" s="50">
        <v>108.97435897435898</v>
      </c>
      <c r="C103" s="60">
        <v>16</v>
      </c>
      <c r="D103" s="50">
        <v>5.7692307692307692</v>
      </c>
      <c r="E103" s="54">
        <v>0</v>
      </c>
      <c r="F103" s="54">
        <v>0.8</v>
      </c>
      <c r="G103" s="54">
        <v>0.2</v>
      </c>
      <c r="H103" s="54">
        <v>0</v>
      </c>
      <c r="I103" s="53">
        <f t="shared" si="3"/>
        <v>1.9230769230769256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105</v>
      </c>
      <c r="B104" s="50">
        <v>112.82051282051282</v>
      </c>
      <c r="C104" s="60">
        <v>17</v>
      </c>
      <c r="D104" s="50">
        <v>6.4102564102564097</v>
      </c>
      <c r="E104" s="54">
        <v>0</v>
      </c>
      <c r="F104" s="54">
        <v>0.8</v>
      </c>
      <c r="G104" s="54">
        <v>0.2</v>
      </c>
      <c r="H104" s="54">
        <v>0</v>
      </c>
      <c r="I104" s="53">
        <f t="shared" si="3"/>
        <v>1.9230769230769227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110</v>
      </c>
      <c r="B105" s="50">
        <v>116.02564102564102</v>
      </c>
      <c r="C105" s="50">
        <v>18</v>
      </c>
      <c r="D105" s="50">
        <v>6.4102564102564097</v>
      </c>
      <c r="E105" s="54">
        <v>0</v>
      </c>
      <c r="F105" s="54">
        <v>0.8</v>
      </c>
      <c r="G105" s="54">
        <v>0.2</v>
      </c>
      <c r="H105" s="54">
        <v>0</v>
      </c>
      <c r="I105" s="53">
        <f t="shared" si="3"/>
        <v>1.9230769230769227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>
        <v>115</v>
      </c>
      <c r="B106" s="50">
        <v>119.23076923076923</v>
      </c>
      <c r="C106" s="50">
        <v>19</v>
      </c>
      <c r="D106" s="50">
        <v>6.4102564102564097</v>
      </c>
      <c r="E106" s="54">
        <v>0</v>
      </c>
      <c r="F106" s="54">
        <v>0.8</v>
      </c>
      <c r="G106" s="54">
        <v>0.2</v>
      </c>
      <c r="H106" s="54">
        <v>0</v>
      </c>
      <c r="I106" s="53">
        <f t="shared" si="3"/>
        <v>1.9230769230769227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>
        <v>120</v>
      </c>
      <c r="B107" s="50">
        <v>122.43589743589743</v>
      </c>
      <c r="C107" s="50">
        <v>20</v>
      </c>
      <c r="D107" s="50">
        <v>122.43589743589743</v>
      </c>
      <c r="E107" s="54">
        <v>0.35</v>
      </c>
      <c r="F107" s="54">
        <v>0.2</v>
      </c>
      <c r="G107" s="54">
        <v>0.1</v>
      </c>
      <c r="H107" s="54">
        <v>0.35</v>
      </c>
      <c r="I107" s="53">
        <f t="shared" si="3"/>
        <v>1.9230769230769227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326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25</v>
      </c>
      <c r="B114" s="60">
        <v>28.846153846153847</v>
      </c>
      <c r="C114" s="50">
        <v>1</v>
      </c>
      <c r="D114" s="60">
        <v>5.7692307692307692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1.153846153846154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30</v>
      </c>
      <c r="B115" s="60">
        <v>33.974358974358978</v>
      </c>
      <c r="C115" s="50">
        <v>2</v>
      </c>
      <c r="D115" s="60">
        <v>5.1282051282051277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2.1794871794871802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35</v>
      </c>
      <c r="B116" s="60">
        <v>41.025641025641022</v>
      </c>
      <c r="C116" s="50">
        <v>3</v>
      </c>
      <c r="D116" s="60">
        <v>5.7692307692307692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2.4358974358974343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40</v>
      </c>
      <c r="B117" s="60">
        <v>48.076923076923073</v>
      </c>
      <c r="C117" s="50">
        <v>4</v>
      </c>
      <c r="D117" s="60">
        <v>5.7692307692307692</v>
      </c>
      <c r="E117" s="51">
        <v>0</v>
      </c>
      <c r="F117" s="51">
        <v>0.8</v>
      </c>
      <c r="G117" s="51">
        <v>0.2</v>
      </c>
      <c r="H117" s="51">
        <v>0</v>
      </c>
      <c r="I117" s="53">
        <f t="shared" si="4"/>
        <v>2.5641025641025634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45</v>
      </c>
      <c r="B118" s="60">
        <v>54.487179487179482</v>
      </c>
      <c r="C118" s="50">
        <v>5</v>
      </c>
      <c r="D118" s="60">
        <v>5.7692307692307692</v>
      </c>
      <c r="E118" s="51">
        <v>0</v>
      </c>
      <c r="F118" s="51">
        <v>0.8</v>
      </c>
      <c r="G118" s="51">
        <v>0.2</v>
      </c>
      <c r="H118" s="51">
        <v>0</v>
      </c>
      <c r="I118" s="53">
        <f t="shared" si="4"/>
        <v>2.4358974358974352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50</v>
      </c>
      <c r="B119" s="60">
        <v>61.538461538461533</v>
      </c>
      <c r="C119" s="50">
        <v>6</v>
      </c>
      <c r="D119" s="60">
        <v>6.4102564102564097</v>
      </c>
      <c r="E119" s="51">
        <v>0</v>
      </c>
      <c r="F119" s="51">
        <v>0.8</v>
      </c>
      <c r="G119" s="51">
        <v>0.2</v>
      </c>
      <c r="H119" s="51">
        <v>0</v>
      </c>
      <c r="I119" s="53">
        <f t="shared" si="4"/>
        <v>2.5641025641025634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55</v>
      </c>
      <c r="B120" s="60">
        <v>67.948717948717942</v>
      </c>
      <c r="C120" s="60">
        <v>7</v>
      </c>
      <c r="D120" s="60">
        <v>6.4102564102564097</v>
      </c>
      <c r="E120" s="87">
        <v>0</v>
      </c>
      <c r="F120" s="87">
        <v>0.8</v>
      </c>
      <c r="G120" s="87">
        <v>0.2</v>
      </c>
      <c r="H120" s="87">
        <v>0</v>
      </c>
      <c r="I120" s="53">
        <f t="shared" si="4"/>
        <v>2.5641025641025634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60</v>
      </c>
      <c r="B121" s="60">
        <v>73.717948717948715</v>
      </c>
      <c r="C121" s="60">
        <v>8</v>
      </c>
      <c r="D121" s="60">
        <v>6.4102564102564097</v>
      </c>
      <c r="E121" s="87">
        <v>0</v>
      </c>
      <c r="F121" s="87">
        <v>0.8</v>
      </c>
      <c r="G121" s="87">
        <v>0.2</v>
      </c>
      <c r="H121" s="87">
        <v>0</v>
      </c>
      <c r="I121" s="53">
        <f t="shared" si="4"/>
        <v>2.4358974358974366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65</v>
      </c>
      <c r="B122" s="60">
        <v>78.205128205128204</v>
      </c>
      <c r="C122" s="60">
        <v>9</v>
      </c>
      <c r="D122" s="60">
        <v>6.4102564102564097</v>
      </c>
      <c r="E122" s="87">
        <v>0</v>
      </c>
      <c r="F122" s="87">
        <v>0.8</v>
      </c>
      <c r="G122" s="87">
        <v>0.2</v>
      </c>
      <c r="H122" s="87">
        <v>0</v>
      </c>
      <c r="I122" s="53">
        <f t="shared" si="4"/>
        <v>2.1794871794871797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70</v>
      </c>
      <c r="B123" s="60">
        <v>83.333333333333329</v>
      </c>
      <c r="C123" s="60">
        <v>10</v>
      </c>
      <c r="D123" s="60">
        <v>6.4102564102564097</v>
      </c>
      <c r="E123" s="87">
        <v>0</v>
      </c>
      <c r="F123" s="87">
        <v>0.8</v>
      </c>
      <c r="G123" s="87">
        <v>0.2</v>
      </c>
      <c r="H123" s="87">
        <v>0</v>
      </c>
      <c r="I123" s="53">
        <f t="shared" si="4"/>
        <v>2.3076923076923066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75</v>
      </c>
      <c r="B124" s="60">
        <v>89.102564102564102</v>
      </c>
      <c r="C124" s="60">
        <v>11</v>
      </c>
      <c r="D124" s="60">
        <v>6.4102564102564097</v>
      </c>
      <c r="E124" s="87">
        <v>0</v>
      </c>
      <c r="F124" s="87">
        <v>0.8</v>
      </c>
      <c r="G124" s="87">
        <v>0.2</v>
      </c>
      <c r="H124" s="87">
        <v>0</v>
      </c>
      <c r="I124" s="53">
        <f t="shared" si="4"/>
        <v>2.4358974358974366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80</v>
      </c>
      <c r="B125" s="60">
        <v>93.589743589743591</v>
      </c>
      <c r="C125" s="60">
        <v>12</v>
      </c>
      <c r="D125" s="60">
        <v>5.7692307692307692</v>
      </c>
      <c r="E125" s="87">
        <v>0</v>
      </c>
      <c r="F125" s="87">
        <v>0.8</v>
      </c>
      <c r="G125" s="87">
        <v>0.2</v>
      </c>
      <c r="H125" s="87">
        <v>0</v>
      </c>
      <c r="I125" s="53">
        <f t="shared" si="4"/>
        <v>2.1794871794871797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85</v>
      </c>
      <c r="B126" s="60">
        <v>97.435897435897431</v>
      </c>
      <c r="C126" s="60">
        <v>13</v>
      </c>
      <c r="D126" s="60">
        <v>5.7692307692307692</v>
      </c>
      <c r="E126" s="65">
        <v>0</v>
      </c>
      <c r="F126" s="65">
        <v>0.8</v>
      </c>
      <c r="G126" s="65">
        <v>0.2</v>
      </c>
      <c r="H126" s="65">
        <v>0</v>
      </c>
      <c r="I126" s="53">
        <f t="shared" si="4"/>
        <v>1.9230769230769227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90</v>
      </c>
      <c r="B127" s="60">
        <v>101.92307692307692</v>
      </c>
      <c r="C127" s="60">
        <v>14</v>
      </c>
      <c r="D127" s="60">
        <v>5.7692307692307692</v>
      </c>
      <c r="E127" s="65">
        <v>0</v>
      </c>
      <c r="F127" s="65">
        <v>0.8</v>
      </c>
      <c r="G127" s="65">
        <v>0.2</v>
      </c>
      <c r="H127" s="65">
        <v>0</v>
      </c>
      <c r="I127" s="53">
        <f t="shared" si="4"/>
        <v>2.0512820512820524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95</v>
      </c>
      <c r="B128" s="50">
        <v>105.12820512820512</v>
      </c>
      <c r="C128" s="50">
        <v>15</v>
      </c>
      <c r="D128" s="50">
        <v>5.7692307692307692</v>
      </c>
      <c r="E128" s="54">
        <v>0</v>
      </c>
      <c r="F128" s="54">
        <v>0.8</v>
      </c>
      <c r="G128" s="54">
        <v>0.2</v>
      </c>
      <c r="H128" s="54">
        <v>0</v>
      </c>
      <c r="I128" s="53">
        <f t="shared" si="4"/>
        <v>1.7948717948717956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100</v>
      </c>
      <c r="B129" s="50">
        <v>108.97435897435898</v>
      </c>
      <c r="C129" s="50">
        <v>16</v>
      </c>
      <c r="D129" s="50">
        <v>5.7692307692307692</v>
      </c>
      <c r="E129" s="54">
        <v>0</v>
      </c>
      <c r="F129" s="54">
        <v>0.8</v>
      </c>
      <c r="G129" s="54">
        <v>0.2</v>
      </c>
      <c r="H129" s="54">
        <v>0</v>
      </c>
      <c r="I129" s="53">
        <f t="shared" si="4"/>
        <v>1.9230769230769256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>
        <v>105</v>
      </c>
      <c r="B130" s="50">
        <v>112.82051282051282</v>
      </c>
      <c r="C130" s="50">
        <v>17</v>
      </c>
      <c r="D130" s="50">
        <v>6.4102564102564097</v>
      </c>
      <c r="E130" s="54">
        <v>0</v>
      </c>
      <c r="F130" s="54">
        <v>0.8</v>
      </c>
      <c r="G130" s="54">
        <v>0.2</v>
      </c>
      <c r="H130" s="54">
        <v>0</v>
      </c>
      <c r="I130" s="53">
        <f t="shared" si="4"/>
        <v>1.9230769230769227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>
        <v>110</v>
      </c>
      <c r="B131" s="50">
        <v>116.02564102564102</v>
      </c>
      <c r="C131" s="50">
        <v>18</v>
      </c>
      <c r="D131" s="50">
        <v>6.4102564102564097</v>
      </c>
      <c r="E131" s="54">
        <v>0</v>
      </c>
      <c r="F131" s="54">
        <v>0.8</v>
      </c>
      <c r="G131" s="54">
        <v>0.2</v>
      </c>
      <c r="H131" s="54">
        <v>0</v>
      </c>
      <c r="I131" s="53">
        <f t="shared" si="4"/>
        <v>1.9230769230769227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>
        <v>115</v>
      </c>
      <c r="B132" s="50">
        <v>119.23076923076923</v>
      </c>
      <c r="C132" s="50">
        <v>19</v>
      </c>
      <c r="D132" s="50">
        <v>6.4102564102564097</v>
      </c>
      <c r="E132" s="54">
        <v>0</v>
      </c>
      <c r="F132" s="54">
        <v>0.8</v>
      </c>
      <c r="G132" s="54">
        <v>0.2</v>
      </c>
      <c r="H132" s="54">
        <v>0</v>
      </c>
      <c r="I132" s="53">
        <f t="shared" si="4"/>
        <v>1.9230769230769227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>
        <v>120</v>
      </c>
      <c r="B133" s="50">
        <v>122.43589743589743</v>
      </c>
      <c r="C133" s="50">
        <v>20</v>
      </c>
      <c r="D133" s="50">
        <v>122.43589743589743</v>
      </c>
      <c r="E133" s="54">
        <v>0.35</v>
      </c>
      <c r="F133" s="54">
        <v>0.2</v>
      </c>
      <c r="G133" s="54">
        <v>0.1</v>
      </c>
      <c r="H133" s="54">
        <v>0.35</v>
      </c>
      <c r="I133" s="53">
        <f t="shared" si="4"/>
        <v>1.9230769230769227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Bouleau verruqueux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20</v>
      </c>
      <c r="B140" s="60">
        <v>34.615384615384613</v>
      </c>
      <c r="C140" s="50">
        <v>1</v>
      </c>
      <c r="D140" s="60">
        <v>5.7692307692307692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1.7307692307692306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25</v>
      </c>
      <c r="B141" s="60">
        <v>43.589743589743591</v>
      </c>
      <c r="C141" s="50">
        <v>2</v>
      </c>
      <c r="D141" s="60">
        <v>5.1282051282051277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2.9487179487179498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30</v>
      </c>
      <c r="B142" s="60">
        <v>53.84615384615384</v>
      </c>
      <c r="C142" s="50">
        <v>3</v>
      </c>
      <c r="D142" s="60">
        <v>5.7692307692307692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3.0769230769230744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35</v>
      </c>
      <c r="B143" s="60">
        <v>63.46153846153846</v>
      </c>
      <c r="C143" s="50">
        <v>4</v>
      </c>
      <c r="D143" s="60">
        <v>6.4102564102564097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3.0769230769230775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40</v>
      </c>
      <c r="B144" s="60">
        <v>72.435897435897431</v>
      </c>
      <c r="C144" s="50">
        <v>5</v>
      </c>
      <c r="D144" s="60">
        <v>6.4102564102564097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3.0769230769230758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45</v>
      </c>
      <c r="B145" s="60">
        <v>81.410256410256409</v>
      </c>
      <c r="C145" s="50">
        <v>6</v>
      </c>
      <c r="D145" s="60">
        <v>7.0512820512820511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3.0769230769230775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50</v>
      </c>
      <c r="B146" s="60">
        <v>89.102564102564088</v>
      </c>
      <c r="C146" s="50">
        <v>7</v>
      </c>
      <c r="D146" s="60">
        <v>7.0512820512820511</v>
      </c>
      <c r="E146" s="51">
        <v>0</v>
      </c>
      <c r="F146" s="51">
        <v>0.25</v>
      </c>
      <c r="G146" s="51">
        <v>0.25</v>
      </c>
      <c r="H146" s="51">
        <v>0.5</v>
      </c>
      <c r="I146" s="57">
        <f t="shared" si="5"/>
        <v>2.9487179487179445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55</v>
      </c>
      <c r="B147" s="60">
        <v>96.15384615384616</v>
      </c>
      <c r="C147" s="50">
        <v>8</v>
      </c>
      <c r="D147" s="60">
        <v>7.0512820512820511</v>
      </c>
      <c r="E147" s="51">
        <v>0</v>
      </c>
      <c r="F147" s="51">
        <v>0.25</v>
      </c>
      <c r="G147" s="51">
        <v>0.25</v>
      </c>
      <c r="H147" s="51">
        <v>0.5</v>
      </c>
      <c r="I147" s="57">
        <f>IF(A147&lt;&gt;0,(B147-(B146-D146))/(A147-A146),"")</f>
        <v>2.8205128205128234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60</v>
      </c>
      <c r="B148" s="60">
        <v>102.56410256410257</v>
      </c>
      <c r="C148" s="50">
        <v>9</v>
      </c>
      <c r="D148" s="60">
        <v>7.0512820512820511</v>
      </c>
      <c r="E148" s="51">
        <v>0</v>
      </c>
      <c r="F148" s="51">
        <v>0.25</v>
      </c>
      <c r="G148" s="51">
        <v>0.25</v>
      </c>
      <c r="H148" s="51">
        <v>0.5</v>
      </c>
      <c r="I148" s="57">
        <f t="shared" si="5"/>
        <v>2.6923076923076907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65</v>
      </c>
      <c r="B149" s="60">
        <v>108.33333333333334</v>
      </c>
      <c r="C149" s="50">
        <v>10</v>
      </c>
      <c r="D149" s="60">
        <v>7.0512820512820511</v>
      </c>
      <c r="E149" s="51">
        <v>0</v>
      </c>
      <c r="F149" s="51">
        <v>0.25</v>
      </c>
      <c r="G149" s="51">
        <v>0.25</v>
      </c>
      <c r="H149" s="51">
        <v>0.5</v>
      </c>
      <c r="I149" s="57">
        <f t="shared" si="5"/>
        <v>2.5641025641025634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70</v>
      </c>
      <c r="B150" s="60">
        <v>114.10256410256409</v>
      </c>
      <c r="C150" s="50">
        <v>11</v>
      </c>
      <c r="D150" s="60">
        <v>7.0512820512820511</v>
      </c>
      <c r="E150" s="51">
        <v>0</v>
      </c>
      <c r="F150" s="51">
        <v>0.25</v>
      </c>
      <c r="G150" s="51">
        <v>0.25</v>
      </c>
      <c r="H150" s="51">
        <v>0.5</v>
      </c>
      <c r="I150" s="57">
        <f t="shared" si="5"/>
        <v>2.5641025641025577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75</v>
      </c>
      <c r="B151" s="60">
        <v>118.58974358974359</v>
      </c>
      <c r="C151" s="50">
        <v>12</v>
      </c>
      <c r="D151" s="60">
        <v>7.0512820512820511</v>
      </c>
      <c r="E151" s="51">
        <v>0</v>
      </c>
      <c r="F151" s="51">
        <v>0.25</v>
      </c>
      <c r="G151" s="51">
        <v>0.25</v>
      </c>
      <c r="H151" s="51">
        <v>0.5</v>
      </c>
      <c r="I151" s="57">
        <f t="shared" si="5"/>
        <v>2.3076923076923093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80</v>
      </c>
      <c r="B152" s="60">
        <v>123.07692307692307</v>
      </c>
      <c r="C152" s="50">
        <v>13</v>
      </c>
      <c r="D152" s="60">
        <v>7.0512820512820511</v>
      </c>
      <c r="E152" s="54">
        <v>0</v>
      </c>
      <c r="F152" s="54">
        <v>0.25</v>
      </c>
      <c r="G152" s="54">
        <v>0.25</v>
      </c>
      <c r="H152" s="54">
        <v>0.5</v>
      </c>
      <c r="I152" s="57">
        <f t="shared" si="5"/>
        <v>2.3076923076923039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85</v>
      </c>
      <c r="B153" s="60">
        <v>126.28205128205127</v>
      </c>
      <c r="C153" s="50">
        <v>14</v>
      </c>
      <c r="D153" s="60">
        <v>6.4102564102564097</v>
      </c>
      <c r="E153" s="54">
        <v>0</v>
      </c>
      <c r="F153" s="54">
        <v>0.25</v>
      </c>
      <c r="G153" s="54">
        <v>0.25</v>
      </c>
      <c r="H153" s="54">
        <v>0.5</v>
      </c>
      <c r="I153" s="57">
        <f t="shared" si="5"/>
        <v>2.0512820512820498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90</v>
      </c>
      <c r="B154" s="56">
        <v>129.48717948717947</v>
      </c>
      <c r="C154" s="50">
        <v>15</v>
      </c>
      <c r="D154" s="50">
        <v>129.48717948717947</v>
      </c>
      <c r="E154" s="54">
        <v>0</v>
      </c>
      <c r="F154" s="54">
        <v>0.25</v>
      </c>
      <c r="G154" s="54">
        <v>0.25</v>
      </c>
      <c r="H154" s="54">
        <v>0.5</v>
      </c>
      <c r="I154" s="57">
        <f t="shared" si="5"/>
        <v>1.9230769230769227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Cèdre de l'Atlas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51</v>
      </c>
      <c r="B166" s="60">
        <v>396.35</v>
      </c>
      <c r="C166" s="60">
        <v>1</v>
      </c>
      <c r="D166" s="60">
        <v>173.97000000000003</v>
      </c>
      <c r="E166" s="51">
        <v>0.25</v>
      </c>
      <c r="F166" s="51">
        <v>0.37</v>
      </c>
      <c r="G166" s="51">
        <v>0.38</v>
      </c>
      <c r="H166" s="51">
        <v>0</v>
      </c>
      <c r="I166" s="49">
        <f>IFERROR(B166/A166,"")</f>
        <v>7.7715686274509812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61</v>
      </c>
      <c r="B167" s="60">
        <v>352.37</v>
      </c>
      <c r="C167" s="60">
        <v>2</v>
      </c>
      <c r="D167" s="60">
        <v>101.36000000000001</v>
      </c>
      <c r="E167" s="51">
        <v>0.6</v>
      </c>
      <c r="F167" s="51">
        <v>0.2</v>
      </c>
      <c r="G167" s="51">
        <v>0.2</v>
      </c>
      <c r="H167" s="51">
        <v>0</v>
      </c>
      <c r="I167" s="49">
        <f t="shared" ref="I167:I185" si="6">IF(A167&lt;&gt;0,(B167-(B166-D166))/(A167-A166),"")</f>
        <v>12.999000000000001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73</v>
      </c>
      <c r="B168" s="60">
        <v>394.98</v>
      </c>
      <c r="C168" s="60">
        <v>3</v>
      </c>
      <c r="D168" s="60">
        <v>103.23000000000002</v>
      </c>
      <c r="E168" s="51">
        <v>0.6</v>
      </c>
      <c r="F168" s="51">
        <v>0.2</v>
      </c>
      <c r="G168" s="51">
        <v>0.2</v>
      </c>
      <c r="H168" s="51">
        <v>0</v>
      </c>
      <c r="I168" s="49">
        <f t="shared" si="6"/>
        <v>11.997500000000002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85</v>
      </c>
      <c r="B169" s="60">
        <v>425.16</v>
      </c>
      <c r="C169" s="60">
        <v>4</v>
      </c>
      <c r="D169" s="60">
        <v>95.720000000000027</v>
      </c>
      <c r="E169" s="51">
        <v>0.6</v>
      </c>
      <c r="F169" s="51">
        <v>0.2</v>
      </c>
      <c r="G169" s="51">
        <v>0.2</v>
      </c>
      <c r="H169" s="51">
        <v>0</v>
      </c>
      <c r="I169" s="49">
        <f t="shared" si="6"/>
        <v>11.117500000000001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97</v>
      </c>
      <c r="B170" s="60">
        <v>451.75</v>
      </c>
      <c r="C170" s="60">
        <v>5</v>
      </c>
      <c r="D170" s="60">
        <v>90.589999999999975</v>
      </c>
      <c r="E170" s="51">
        <v>0.6</v>
      </c>
      <c r="F170" s="51">
        <v>0.2</v>
      </c>
      <c r="G170" s="51">
        <v>0.2</v>
      </c>
      <c r="H170" s="51">
        <v>0</v>
      </c>
      <c r="I170" s="49">
        <f t="shared" si="6"/>
        <v>10.192500000000001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109</v>
      </c>
      <c r="B171" s="60">
        <v>471.36</v>
      </c>
      <c r="C171" s="60">
        <v>6</v>
      </c>
      <c r="D171" s="60">
        <v>92.199999999999989</v>
      </c>
      <c r="E171" s="51">
        <v>0.6</v>
      </c>
      <c r="F171" s="51">
        <v>0.2</v>
      </c>
      <c r="G171" s="51">
        <v>0.2</v>
      </c>
      <c r="H171" s="51">
        <v>0</v>
      </c>
      <c r="I171" s="49">
        <f t="shared" si="6"/>
        <v>9.1833333333333318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121</v>
      </c>
      <c r="B172" s="60">
        <v>477.92</v>
      </c>
      <c r="C172" s="60">
        <v>7</v>
      </c>
      <c r="D172" s="60">
        <v>236.89000000000001</v>
      </c>
      <c r="E172" s="51">
        <v>0.6</v>
      </c>
      <c r="F172" s="51">
        <v>0.2</v>
      </c>
      <c r="G172" s="51">
        <v>0.2</v>
      </c>
      <c r="H172" s="51">
        <v>0</v>
      </c>
      <c r="I172" s="49">
        <f t="shared" si="6"/>
        <v>8.2299999999999986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131</v>
      </c>
      <c r="B173" s="50">
        <v>298.36</v>
      </c>
      <c r="C173" s="50">
        <v>8</v>
      </c>
      <c r="D173" s="50">
        <v>298.36</v>
      </c>
      <c r="E173" s="51">
        <v>0.6</v>
      </c>
      <c r="F173" s="51">
        <v>0.2</v>
      </c>
      <c r="G173" s="51">
        <v>0.2</v>
      </c>
      <c r="H173" s="51">
        <v>0</v>
      </c>
      <c r="I173" s="49">
        <f t="shared" si="6"/>
        <v>5.7330000000000014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C187" s="23" t="s">
        <v>325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Chêne pubescent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20</v>
      </c>
      <c r="B192" s="60">
        <v>36.538461538461533</v>
      </c>
      <c r="C192" s="60">
        <v>1</v>
      </c>
      <c r="D192" s="60">
        <v>7.0512820512820511</v>
      </c>
      <c r="E192" s="51">
        <v>0</v>
      </c>
      <c r="F192" s="51">
        <v>0.8</v>
      </c>
      <c r="G192" s="51">
        <v>0.2</v>
      </c>
      <c r="H192" s="51">
        <v>0</v>
      </c>
      <c r="I192" s="49">
        <f>IFERROR(B192/A192,"")</f>
        <v>1.8269230769230766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25</v>
      </c>
      <c r="B193" s="60">
        <v>50.641025641025635</v>
      </c>
      <c r="C193" s="60">
        <v>2</v>
      </c>
      <c r="D193" s="60">
        <v>9.615384615384615</v>
      </c>
      <c r="E193" s="51">
        <v>0</v>
      </c>
      <c r="F193" s="51">
        <v>0.8</v>
      </c>
      <c r="G193" s="51">
        <v>0.2</v>
      </c>
      <c r="H193" s="51">
        <v>0</v>
      </c>
      <c r="I193" s="49">
        <f t="shared" ref="I193:I211" si="7">IF(A193&lt;&gt;0,(B193-(B192-D192))/(A193-A192),"")</f>
        <v>4.2307692307692308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30</v>
      </c>
      <c r="B194" s="60">
        <v>63.46153846153846</v>
      </c>
      <c r="C194" s="60">
        <v>3</v>
      </c>
      <c r="D194" s="60">
        <v>10.897435897435898</v>
      </c>
      <c r="E194" s="51">
        <v>0</v>
      </c>
      <c r="F194" s="51">
        <v>0.8</v>
      </c>
      <c r="G194" s="51">
        <v>0.2</v>
      </c>
      <c r="H194" s="51">
        <v>0</v>
      </c>
      <c r="I194" s="49">
        <f t="shared" si="7"/>
        <v>4.4871794871794872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35</v>
      </c>
      <c r="B195" s="60">
        <v>76.282051282051285</v>
      </c>
      <c r="C195" s="60">
        <v>4</v>
      </c>
      <c r="D195" s="60">
        <v>12.179487179487179</v>
      </c>
      <c r="E195" s="51">
        <v>0</v>
      </c>
      <c r="F195" s="51">
        <v>0.8</v>
      </c>
      <c r="G195" s="51">
        <v>0.2</v>
      </c>
      <c r="H195" s="51">
        <v>0</v>
      </c>
      <c r="I195" s="49">
        <f t="shared" si="7"/>
        <v>4.7435897435897445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40</v>
      </c>
      <c r="B196" s="60">
        <v>87.820512820512818</v>
      </c>
      <c r="C196" s="60">
        <v>5</v>
      </c>
      <c r="D196" s="60">
        <v>12.820512820512819</v>
      </c>
      <c r="E196" s="51">
        <v>0</v>
      </c>
      <c r="F196" s="51">
        <v>0.8</v>
      </c>
      <c r="G196" s="51">
        <v>0.2</v>
      </c>
      <c r="H196" s="51">
        <v>0</v>
      </c>
      <c r="I196" s="49">
        <f t="shared" si="7"/>
        <v>4.7435897435897427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45</v>
      </c>
      <c r="B197" s="60">
        <v>98.717948717948715</v>
      </c>
      <c r="C197" s="60">
        <v>6</v>
      </c>
      <c r="D197" s="60">
        <v>13.461538461538462</v>
      </c>
      <c r="E197" s="51">
        <v>0</v>
      </c>
      <c r="F197" s="51">
        <v>0.8</v>
      </c>
      <c r="G197" s="51">
        <v>0.2</v>
      </c>
      <c r="H197" s="51">
        <v>0</v>
      </c>
      <c r="I197" s="49">
        <f t="shared" si="7"/>
        <v>4.7435897435897427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>
        <v>50</v>
      </c>
      <c r="B198" s="60">
        <v>109.61538461538461</v>
      </c>
      <c r="C198" s="60">
        <v>7</v>
      </c>
      <c r="D198" s="60">
        <v>14.102564102564102</v>
      </c>
      <c r="E198" s="51">
        <v>0</v>
      </c>
      <c r="F198" s="51">
        <v>0.8</v>
      </c>
      <c r="G198" s="51">
        <v>0.2</v>
      </c>
      <c r="H198" s="51">
        <v>0</v>
      </c>
      <c r="I198" s="49">
        <f t="shared" si="7"/>
        <v>4.8717948717948731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>
        <v>55</v>
      </c>
      <c r="B199" s="50">
        <v>118.58974358974359</v>
      </c>
      <c r="C199" s="50">
        <v>8</v>
      </c>
      <c r="D199" s="50">
        <v>14.102564102564102</v>
      </c>
      <c r="E199" s="51">
        <v>0</v>
      </c>
      <c r="F199" s="51">
        <v>0.8</v>
      </c>
      <c r="G199" s="51">
        <v>0.2</v>
      </c>
      <c r="H199" s="51">
        <v>0</v>
      </c>
      <c r="I199" s="49">
        <f t="shared" si="7"/>
        <v>4.6153846153846159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>
        <v>60</v>
      </c>
      <c r="B200" s="50">
        <v>127.56410256410255</v>
      </c>
      <c r="C200" s="50">
        <v>9</v>
      </c>
      <c r="D200" s="50">
        <v>14.102564102564102</v>
      </c>
      <c r="E200" s="51">
        <v>0</v>
      </c>
      <c r="F200" s="51">
        <v>0.8</v>
      </c>
      <c r="G200" s="51">
        <v>0.2</v>
      </c>
      <c r="H200" s="51">
        <v>0</v>
      </c>
      <c r="I200" s="49">
        <f t="shared" si="7"/>
        <v>4.6153846153846132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>
        <v>65</v>
      </c>
      <c r="B201" s="50">
        <v>135.89743589743591</v>
      </c>
      <c r="C201" s="50">
        <v>10</v>
      </c>
      <c r="D201" s="50">
        <v>14.102564102564102</v>
      </c>
      <c r="E201" s="51">
        <v>0</v>
      </c>
      <c r="F201" s="51">
        <v>0.8</v>
      </c>
      <c r="G201" s="51">
        <v>0.2</v>
      </c>
      <c r="H201" s="51">
        <v>0</v>
      </c>
      <c r="I201" s="49">
        <f t="shared" si="7"/>
        <v>4.4871794871794917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>
        <v>70</v>
      </c>
      <c r="B202" s="50">
        <v>142.94871794871796</v>
      </c>
      <c r="C202" s="50">
        <v>11</v>
      </c>
      <c r="D202" s="50">
        <v>14.102564102564102</v>
      </c>
      <c r="E202" s="51">
        <v>0</v>
      </c>
      <c r="F202" s="51">
        <v>0.8</v>
      </c>
      <c r="G202" s="51">
        <v>0.2</v>
      </c>
      <c r="H202" s="51">
        <v>0</v>
      </c>
      <c r="I202" s="49">
        <f t="shared" si="7"/>
        <v>4.2307692307692291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>
        <v>75</v>
      </c>
      <c r="B203" s="50">
        <v>150</v>
      </c>
      <c r="C203" s="50">
        <v>12</v>
      </c>
      <c r="D203" s="50">
        <v>14.102564102564102</v>
      </c>
      <c r="E203" s="51">
        <v>0.35</v>
      </c>
      <c r="F203" s="51">
        <v>0.2</v>
      </c>
      <c r="G203" s="51">
        <v>0.1</v>
      </c>
      <c r="H203" s="51">
        <v>0.35</v>
      </c>
      <c r="I203" s="49">
        <f t="shared" si="7"/>
        <v>4.2307692307692264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>
        <v>80</v>
      </c>
      <c r="B204" s="50">
        <v>155.76923076923075</v>
      </c>
      <c r="C204" s="50">
        <v>13</v>
      </c>
      <c r="D204" s="50">
        <v>13.461538461538462</v>
      </c>
      <c r="E204" s="51">
        <v>0.35</v>
      </c>
      <c r="F204" s="51">
        <v>0.2</v>
      </c>
      <c r="G204" s="51">
        <v>0.1</v>
      </c>
      <c r="H204" s="51">
        <v>0.35</v>
      </c>
      <c r="I204" s="49">
        <f t="shared" si="7"/>
        <v>3.9743589743589665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>
        <v>85</v>
      </c>
      <c r="B205" s="50">
        <v>160.89743589743588</v>
      </c>
      <c r="C205" s="50">
        <v>14</v>
      </c>
      <c r="D205" s="50">
        <v>12.820512820512819</v>
      </c>
      <c r="E205" s="51">
        <v>0.35</v>
      </c>
      <c r="F205" s="51">
        <v>0.2</v>
      </c>
      <c r="G205" s="51">
        <v>0.1</v>
      </c>
      <c r="H205" s="51">
        <v>0.35</v>
      </c>
      <c r="I205" s="49">
        <f t="shared" si="7"/>
        <v>3.7179487179487181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>
        <v>90</v>
      </c>
      <c r="B206" s="50">
        <v>166.02564102564102</v>
      </c>
      <c r="C206" s="50">
        <v>15</v>
      </c>
      <c r="D206" s="50">
        <v>12.820512820512819</v>
      </c>
      <c r="E206" s="51">
        <v>0.35</v>
      </c>
      <c r="F206" s="51">
        <v>0.2</v>
      </c>
      <c r="G206" s="51">
        <v>0.1</v>
      </c>
      <c r="H206" s="51">
        <v>0.35</v>
      </c>
      <c r="I206" s="49">
        <f t="shared" si="7"/>
        <v>3.5897435897435912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>
        <v>95</v>
      </c>
      <c r="B207" s="50">
        <v>170.5128205128205</v>
      </c>
      <c r="C207" s="50">
        <v>16</v>
      </c>
      <c r="D207" s="50">
        <v>12.179487179487179</v>
      </c>
      <c r="E207" s="51">
        <v>0.35</v>
      </c>
      <c r="F207" s="51">
        <v>0.2</v>
      </c>
      <c r="G207" s="51">
        <v>0.1</v>
      </c>
      <c r="H207" s="51">
        <v>0.35</v>
      </c>
      <c r="I207" s="49">
        <f t="shared" si="7"/>
        <v>3.4615384615384586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>
        <v>100</v>
      </c>
      <c r="B208" s="50">
        <v>173.71794871794873</v>
      </c>
      <c r="C208" s="50">
        <v>17</v>
      </c>
      <c r="D208" s="50">
        <v>11.538461538461538</v>
      </c>
      <c r="E208" s="51">
        <v>0.35</v>
      </c>
      <c r="F208" s="51">
        <v>0.2</v>
      </c>
      <c r="G208" s="51">
        <v>0.1</v>
      </c>
      <c r="H208" s="51">
        <v>0.35</v>
      </c>
      <c r="I208" s="49">
        <f t="shared" si="7"/>
        <v>3.0769230769230829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>
        <v>105</v>
      </c>
      <c r="B209" s="50">
        <v>177.56410256410254</v>
      </c>
      <c r="C209" s="50">
        <v>18</v>
      </c>
      <c r="D209" s="50">
        <v>10.897435897435898</v>
      </c>
      <c r="E209" s="51">
        <v>0.35</v>
      </c>
      <c r="F209" s="51">
        <v>0.2</v>
      </c>
      <c r="G209" s="51">
        <v>0.1</v>
      </c>
      <c r="H209" s="51">
        <v>0.35</v>
      </c>
      <c r="I209" s="49">
        <f t="shared" si="7"/>
        <v>3.0769230769230718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>
        <v>110</v>
      </c>
      <c r="B210" s="50">
        <v>180.76923076923077</v>
      </c>
      <c r="C210" s="50">
        <v>19</v>
      </c>
      <c r="D210" s="50">
        <v>10.897435897435898</v>
      </c>
      <c r="E210" s="51">
        <v>0.35</v>
      </c>
      <c r="F210" s="51">
        <v>0.2</v>
      </c>
      <c r="G210" s="51">
        <v>0.1</v>
      </c>
      <c r="H210" s="51">
        <v>0.35</v>
      </c>
      <c r="I210" s="49">
        <f t="shared" si="7"/>
        <v>2.8205128205128291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>
        <v>115</v>
      </c>
      <c r="B211" s="50">
        <v>183.33333333333331</v>
      </c>
      <c r="C211" s="50">
        <v>20</v>
      </c>
      <c r="D211" s="50">
        <v>10.256410256410255</v>
      </c>
      <c r="E211" s="51">
        <v>0.35</v>
      </c>
      <c r="F211" s="51">
        <v>0.2</v>
      </c>
      <c r="G211" s="51">
        <v>0.1</v>
      </c>
      <c r="H211" s="51">
        <v>0.35</v>
      </c>
      <c r="I211" s="49">
        <f t="shared" si="7"/>
        <v>2.6923076923076907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>Erable champêtre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>
        <v>15</v>
      </c>
      <c r="B218" s="60">
        <v>37</v>
      </c>
      <c r="C218" s="50">
        <v>1</v>
      </c>
      <c r="D218" s="60">
        <v>15</v>
      </c>
      <c r="E218" s="63">
        <v>0</v>
      </c>
      <c r="F218" s="63">
        <v>0.25</v>
      </c>
      <c r="G218" s="63">
        <v>0.25</v>
      </c>
      <c r="H218" s="63">
        <v>0.5</v>
      </c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>
        <v>20</v>
      </c>
      <c r="B219" s="60">
        <v>80</v>
      </c>
      <c r="C219" s="50">
        <v>2</v>
      </c>
      <c r="D219" s="60">
        <v>28</v>
      </c>
      <c r="E219" s="63">
        <v>0</v>
      </c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>
        <v>25</v>
      </c>
      <c r="B220" s="60">
        <v>115</v>
      </c>
      <c r="C220" s="50">
        <v>3</v>
      </c>
      <c r="D220" s="60">
        <v>28</v>
      </c>
      <c r="E220" s="63">
        <v>0</v>
      </c>
      <c r="F220" s="63">
        <v>0.25</v>
      </c>
      <c r="G220" s="63">
        <v>0.25</v>
      </c>
      <c r="H220" s="63">
        <v>0.5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>
        <v>30</v>
      </c>
      <c r="B221" s="55">
        <v>146</v>
      </c>
      <c r="C221" s="55">
        <v>4</v>
      </c>
      <c r="D221" s="55">
        <v>28</v>
      </c>
      <c r="E221" s="63">
        <v>0</v>
      </c>
      <c r="F221" s="63">
        <v>0.25</v>
      </c>
      <c r="G221" s="63">
        <v>0.25</v>
      </c>
      <c r="H221" s="63">
        <v>0.5</v>
      </c>
      <c r="I221" s="53">
        <f t="shared" si="8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>
        <v>35</v>
      </c>
      <c r="B222" s="55">
        <v>172</v>
      </c>
      <c r="C222" s="55">
        <v>5</v>
      </c>
      <c r="D222" s="55">
        <v>28</v>
      </c>
      <c r="E222" s="63">
        <v>0.25</v>
      </c>
      <c r="F222" s="63">
        <v>0.25</v>
      </c>
      <c r="G222" s="63">
        <v>0.25</v>
      </c>
      <c r="H222" s="63">
        <v>0.25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>
        <v>40</v>
      </c>
      <c r="B223" s="55">
        <v>192</v>
      </c>
      <c r="C223" s="55">
        <v>6</v>
      </c>
      <c r="D223" s="55">
        <v>28</v>
      </c>
      <c r="E223" s="63">
        <v>0.25</v>
      </c>
      <c r="F223" s="63">
        <v>0.25</v>
      </c>
      <c r="G223" s="63">
        <v>0.25</v>
      </c>
      <c r="H223" s="63">
        <v>0.25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>
        <v>45</v>
      </c>
      <c r="B224" s="55">
        <v>205</v>
      </c>
      <c r="C224" s="55">
        <v>7</v>
      </c>
      <c r="D224" s="55">
        <v>22</v>
      </c>
      <c r="E224" s="63">
        <v>0.25</v>
      </c>
      <c r="F224" s="63">
        <v>0.25</v>
      </c>
      <c r="G224" s="63">
        <v>0.25</v>
      </c>
      <c r="H224" s="63">
        <v>0.25</v>
      </c>
      <c r="I224" s="53">
        <f t="shared" si="8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>
        <v>50</v>
      </c>
      <c r="B225" s="55">
        <v>219</v>
      </c>
      <c r="C225" s="55">
        <v>8</v>
      </c>
      <c r="D225" s="55">
        <v>17</v>
      </c>
      <c r="E225" s="63">
        <v>0.25</v>
      </c>
      <c r="F225" s="63">
        <v>0.25</v>
      </c>
      <c r="G225" s="63">
        <v>0.25</v>
      </c>
      <c r="H225" s="63">
        <v>0.25</v>
      </c>
      <c r="I225" s="53">
        <f t="shared" si="8"/>
        <v>7.2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>
        <v>55</v>
      </c>
      <c r="B226" s="55">
        <v>232</v>
      </c>
      <c r="C226" s="55">
        <v>9</v>
      </c>
      <c r="D226" s="55">
        <v>13</v>
      </c>
      <c r="E226" s="63">
        <v>0.25</v>
      </c>
      <c r="F226" s="63">
        <v>0.25</v>
      </c>
      <c r="G226" s="63">
        <v>0.25</v>
      </c>
      <c r="H226" s="63">
        <v>0.25</v>
      </c>
      <c r="I226" s="53">
        <f t="shared" si="8"/>
        <v>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>
        <v>60</v>
      </c>
      <c r="B227" s="55">
        <v>245</v>
      </c>
      <c r="C227" s="55">
        <v>10</v>
      </c>
      <c r="D227" s="55">
        <v>12</v>
      </c>
      <c r="E227" s="63">
        <v>0.25</v>
      </c>
      <c r="F227" s="63">
        <v>0.25</v>
      </c>
      <c r="G227" s="63">
        <v>0.25</v>
      </c>
      <c r="H227" s="63">
        <v>0.25</v>
      </c>
      <c r="I227" s="53">
        <f t="shared" si="8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>
        <v>65</v>
      </c>
      <c r="B228" s="55">
        <v>255</v>
      </c>
      <c r="C228" s="55">
        <v>11</v>
      </c>
      <c r="D228" s="55">
        <v>11</v>
      </c>
      <c r="E228" s="63">
        <v>0.25</v>
      </c>
      <c r="F228" s="63">
        <v>0.25</v>
      </c>
      <c r="G228" s="63">
        <v>0.25</v>
      </c>
      <c r="H228" s="63">
        <v>0.25</v>
      </c>
      <c r="I228" s="53">
        <f t="shared" si="8"/>
        <v>4.4000000000000004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>
        <v>70</v>
      </c>
      <c r="B229" s="55">
        <v>263</v>
      </c>
      <c r="C229" s="55">
        <v>12</v>
      </c>
      <c r="D229" s="55">
        <v>10</v>
      </c>
      <c r="E229" s="63">
        <v>0.25</v>
      </c>
      <c r="F229" s="63">
        <v>0.25</v>
      </c>
      <c r="G229" s="63">
        <v>0.25</v>
      </c>
      <c r="H229" s="63">
        <v>0.25</v>
      </c>
      <c r="I229" s="53">
        <f t="shared" si="8"/>
        <v>3.8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>
        <v>75</v>
      </c>
      <c r="B230" s="55">
        <v>270</v>
      </c>
      <c r="C230" s="55">
        <v>13</v>
      </c>
      <c r="D230" s="55">
        <v>9</v>
      </c>
      <c r="E230" s="64">
        <v>0.25</v>
      </c>
      <c r="F230" s="64">
        <v>0.25</v>
      </c>
      <c r="G230" s="64">
        <v>0.25</v>
      </c>
      <c r="H230" s="64">
        <v>0.25</v>
      </c>
      <c r="I230" s="53">
        <f t="shared" si="8"/>
        <v>3.4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>
        <v>80</v>
      </c>
      <c r="B231" s="60">
        <v>275</v>
      </c>
      <c r="C231" s="88">
        <v>14</v>
      </c>
      <c r="D231" s="60">
        <v>275</v>
      </c>
      <c r="E231" s="54">
        <v>0.25</v>
      </c>
      <c r="F231" s="54">
        <v>0.25</v>
      </c>
      <c r="G231" s="54">
        <v>0.25</v>
      </c>
      <c r="H231" s="54">
        <v>0.25</v>
      </c>
      <c r="I231" s="53">
        <f t="shared" si="8"/>
        <v>2.8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C239" s="23" t="s">
        <v>325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>Tilleul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>
        <v>20</v>
      </c>
      <c r="B244" s="60">
        <v>36.538461538461533</v>
      </c>
      <c r="C244" s="60">
        <v>1</v>
      </c>
      <c r="D244" s="60">
        <v>7.0512820512820511</v>
      </c>
      <c r="E244" s="51">
        <v>0</v>
      </c>
      <c r="F244" s="51">
        <v>0.8</v>
      </c>
      <c r="G244" s="51">
        <v>0.2</v>
      </c>
      <c r="H244" s="63">
        <v>0</v>
      </c>
      <c r="I244" s="53">
        <f>IFERROR(B244/A244,"")</f>
        <v>1.8269230769230766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>
        <v>25</v>
      </c>
      <c r="B245" s="60">
        <v>50.641025641025635</v>
      </c>
      <c r="C245" s="60">
        <v>2</v>
      </c>
      <c r="D245" s="60">
        <v>9.615384615384615</v>
      </c>
      <c r="E245" s="63">
        <v>0</v>
      </c>
      <c r="F245" s="63">
        <v>0.8</v>
      </c>
      <c r="G245" s="63">
        <v>0.2</v>
      </c>
      <c r="H245" s="63">
        <v>0</v>
      </c>
      <c r="I245" s="53">
        <f>IF(A245&lt;&gt;0,(B245-(B244-D244))/(A245-A244),"")</f>
        <v>4.2307692307692308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>
        <v>30</v>
      </c>
      <c r="B246" s="60">
        <v>63.46153846153846</v>
      </c>
      <c r="C246" s="60">
        <v>3</v>
      </c>
      <c r="D246" s="60">
        <v>10.897435897435898</v>
      </c>
      <c r="E246" s="63">
        <v>0</v>
      </c>
      <c r="F246" s="63">
        <v>0.8</v>
      </c>
      <c r="G246" s="63">
        <v>0.2</v>
      </c>
      <c r="H246" s="63">
        <v>0</v>
      </c>
      <c r="I246" s="53">
        <f>IF(A246&lt;&gt;0,(B246-(B245-D245))/(A246-A245),"")</f>
        <v>4.4871794871794872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>
        <v>35</v>
      </c>
      <c r="B247" s="60">
        <v>76.282051282051285</v>
      </c>
      <c r="C247" s="60">
        <v>4</v>
      </c>
      <c r="D247" s="60">
        <v>12.179487179487179</v>
      </c>
      <c r="E247" s="63">
        <v>0</v>
      </c>
      <c r="F247" s="63">
        <v>0.8</v>
      </c>
      <c r="G247" s="63">
        <v>0.2</v>
      </c>
      <c r="H247" s="63">
        <v>0</v>
      </c>
      <c r="I247" s="53">
        <f t="shared" ref="I247:I263" si="9">IF(A247&lt;&gt;0,(B247-(B246-D246))/(A247-A246),"")</f>
        <v>4.7435897435897445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>
        <v>40</v>
      </c>
      <c r="B248" s="60">
        <v>87.820512820512818</v>
      </c>
      <c r="C248" s="60">
        <v>5</v>
      </c>
      <c r="D248" s="60">
        <v>12.820512820512819</v>
      </c>
      <c r="E248" s="63">
        <v>0</v>
      </c>
      <c r="F248" s="63">
        <v>0.8</v>
      </c>
      <c r="G248" s="63">
        <v>0.2</v>
      </c>
      <c r="H248" s="63">
        <v>0</v>
      </c>
      <c r="I248" s="53">
        <f t="shared" si="9"/>
        <v>4.7435897435897427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>
        <v>45</v>
      </c>
      <c r="B249" s="60">
        <v>98.717948717948715</v>
      </c>
      <c r="C249" s="60">
        <v>6</v>
      </c>
      <c r="D249" s="60">
        <v>13.461538461538462</v>
      </c>
      <c r="E249" s="63">
        <v>0</v>
      </c>
      <c r="F249" s="63">
        <v>0.8</v>
      </c>
      <c r="G249" s="63">
        <v>0.2</v>
      </c>
      <c r="H249" s="63">
        <v>0</v>
      </c>
      <c r="I249" s="53">
        <f t="shared" si="9"/>
        <v>4.7435897435897427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>
        <v>50</v>
      </c>
      <c r="B250" s="60">
        <v>109.61538461538461</v>
      </c>
      <c r="C250" s="60">
        <v>7</v>
      </c>
      <c r="D250" s="60">
        <v>14.102564102564102</v>
      </c>
      <c r="E250" s="63">
        <v>0</v>
      </c>
      <c r="F250" s="63">
        <v>0.8</v>
      </c>
      <c r="G250" s="63">
        <v>0.2</v>
      </c>
      <c r="H250" s="63">
        <v>0</v>
      </c>
      <c r="I250" s="53">
        <f t="shared" si="9"/>
        <v>4.8717948717948731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>
        <v>55</v>
      </c>
      <c r="B251" s="55">
        <v>118.58974358974359</v>
      </c>
      <c r="C251" s="55">
        <v>8</v>
      </c>
      <c r="D251" s="55">
        <v>14.102564102564102</v>
      </c>
      <c r="E251" s="63">
        <v>0</v>
      </c>
      <c r="F251" s="63">
        <v>0.8</v>
      </c>
      <c r="G251" s="63">
        <v>0.2</v>
      </c>
      <c r="H251" s="63">
        <v>0</v>
      </c>
      <c r="I251" s="53">
        <f t="shared" si="9"/>
        <v>4.6153846153846159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>
        <v>60</v>
      </c>
      <c r="B252" s="55">
        <v>127.56410256410255</v>
      </c>
      <c r="C252" s="55">
        <v>9</v>
      </c>
      <c r="D252" s="55">
        <v>14.102564102564102</v>
      </c>
      <c r="E252" s="63">
        <v>0</v>
      </c>
      <c r="F252" s="63">
        <v>0.8</v>
      </c>
      <c r="G252" s="63">
        <v>0.2</v>
      </c>
      <c r="H252" s="63">
        <v>0</v>
      </c>
      <c r="I252" s="53">
        <f t="shared" si="9"/>
        <v>4.6153846153846132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>
        <v>65</v>
      </c>
      <c r="B253" s="55">
        <v>135.89743589743591</v>
      </c>
      <c r="C253" s="55">
        <v>10</v>
      </c>
      <c r="D253" s="55">
        <v>14.102564102564102</v>
      </c>
      <c r="E253" s="63">
        <v>0</v>
      </c>
      <c r="F253" s="63">
        <v>0.8</v>
      </c>
      <c r="G253" s="63">
        <v>0.2</v>
      </c>
      <c r="H253" s="63">
        <v>0</v>
      </c>
      <c r="I253" s="53">
        <f t="shared" si="9"/>
        <v>4.4871794871794917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>
        <v>70</v>
      </c>
      <c r="B254" s="55">
        <v>142.94871794871796</v>
      </c>
      <c r="C254" s="55">
        <v>11</v>
      </c>
      <c r="D254" s="55">
        <v>14.102564102564102</v>
      </c>
      <c r="E254" s="63">
        <v>0</v>
      </c>
      <c r="F254" s="63">
        <v>0.8</v>
      </c>
      <c r="G254" s="63">
        <v>0.2</v>
      </c>
      <c r="H254" s="63">
        <v>0</v>
      </c>
      <c r="I254" s="53">
        <f t="shared" si="9"/>
        <v>4.2307692307692291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>
        <v>75</v>
      </c>
      <c r="B255" s="55">
        <v>150</v>
      </c>
      <c r="C255" s="55">
        <v>12</v>
      </c>
      <c r="D255" s="55">
        <v>14.102564102564102</v>
      </c>
      <c r="E255" s="63">
        <v>0.35</v>
      </c>
      <c r="F255" s="63">
        <v>0.2</v>
      </c>
      <c r="G255" s="63">
        <v>0.1</v>
      </c>
      <c r="H255" s="63">
        <v>0.35</v>
      </c>
      <c r="I255" s="53">
        <f t="shared" si="9"/>
        <v>4.2307692307692264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>
        <v>80</v>
      </c>
      <c r="B256" s="55">
        <v>155.76923076923075</v>
      </c>
      <c r="C256" s="55">
        <v>13</v>
      </c>
      <c r="D256" s="55">
        <v>13.461538461538462</v>
      </c>
      <c r="E256" s="64">
        <v>0.35</v>
      </c>
      <c r="F256" s="64">
        <v>0.2</v>
      </c>
      <c r="G256" s="64">
        <v>0.1</v>
      </c>
      <c r="H256" s="64">
        <v>0.35</v>
      </c>
      <c r="I256" s="53">
        <f t="shared" si="9"/>
        <v>3.9743589743589665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>
        <v>85</v>
      </c>
      <c r="B257" s="60">
        <v>160.89743589743588</v>
      </c>
      <c r="C257" s="88">
        <v>14</v>
      </c>
      <c r="D257" s="60">
        <v>12.820512820512819</v>
      </c>
      <c r="E257" s="54">
        <v>0.35</v>
      </c>
      <c r="F257" s="54">
        <v>0.2</v>
      </c>
      <c r="G257" s="54">
        <v>0.1</v>
      </c>
      <c r="H257" s="54">
        <v>0.35</v>
      </c>
      <c r="I257" s="53">
        <f t="shared" si="9"/>
        <v>3.7179487179487181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>
        <v>90</v>
      </c>
      <c r="B258" s="50">
        <v>166.02564102564102</v>
      </c>
      <c r="C258" s="50">
        <v>15</v>
      </c>
      <c r="D258" s="50">
        <v>12.820512820512819</v>
      </c>
      <c r="E258" s="54">
        <v>0.35</v>
      </c>
      <c r="F258" s="54">
        <v>0.2</v>
      </c>
      <c r="G258" s="54">
        <v>0.1</v>
      </c>
      <c r="H258" s="54">
        <v>0.35</v>
      </c>
      <c r="I258" s="53">
        <f t="shared" si="9"/>
        <v>3.5897435897435912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>
        <v>95</v>
      </c>
      <c r="B259" s="50">
        <v>170.5128205128205</v>
      </c>
      <c r="C259" s="50">
        <v>16</v>
      </c>
      <c r="D259" s="50">
        <v>12.179487179487179</v>
      </c>
      <c r="E259" s="54">
        <v>0.35</v>
      </c>
      <c r="F259" s="54">
        <v>0.2</v>
      </c>
      <c r="G259" s="54">
        <v>0.1</v>
      </c>
      <c r="H259" s="54">
        <v>0.35</v>
      </c>
      <c r="I259" s="53">
        <f t="shared" si="9"/>
        <v>3.4615384615384586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>
        <v>100</v>
      </c>
      <c r="B260" s="50">
        <v>173.71794871794873</v>
      </c>
      <c r="C260" s="50">
        <v>17</v>
      </c>
      <c r="D260" s="50">
        <v>11.538461538461538</v>
      </c>
      <c r="E260" s="54">
        <v>0.35</v>
      </c>
      <c r="F260" s="54">
        <v>0.2</v>
      </c>
      <c r="G260" s="54">
        <v>0.1</v>
      </c>
      <c r="H260" s="54">
        <v>0.35</v>
      </c>
      <c r="I260" s="53">
        <f t="shared" si="9"/>
        <v>3.0769230769230829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>
        <v>105</v>
      </c>
      <c r="B261" s="50">
        <v>177.56410256410254</v>
      </c>
      <c r="C261" s="50">
        <v>18</v>
      </c>
      <c r="D261" s="50">
        <v>10.897435897435898</v>
      </c>
      <c r="E261" s="54">
        <v>0.35</v>
      </c>
      <c r="F261" s="54">
        <v>0.2</v>
      </c>
      <c r="G261" s="54">
        <v>0.1</v>
      </c>
      <c r="H261" s="54">
        <v>0.35</v>
      </c>
      <c r="I261" s="53">
        <f t="shared" si="9"/>
        <v>3.0769230769230718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>
        <v>110</v>
      </c>
      <c r="B262" s="50">
        <v>180.76923076923077</v>
      </c>
      <c r="C262" s="50">
        <v>19</v>
      </c>
      <c r="D262" s="50">
        <v>10.897435897435898</v>
      </c>
      <c r="E262" s="54">
        <v>0.35</v>
      </c>
      <c r="F262" s="54">
        <v>0.2</v>
      </c>
      <c r="G262" s="54">
        <v>0.1</v>
      </c>
      <c r="H262" s="54">
        <v>0.35</v>
      </c>
      <c r="I262" s="53">
        <f t="shared" si="9"/>
        <v>2.8205128205128291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>
        <v>115</v>
      </c>
      <c r="B263" s="50">
        <v>183.33333333333331</v>
      </c>
      <c r="C263" s="50">
        <v>20</v>
      </c>
      <c r="D263" s="50">
        <v>10.256410256410255</v>
      </c>
      <c r="E263" s="54">
        <v>0.35</v>
      </c>
      <c r="F263" s="54">
        <v>0.2</v>
      </c>
      <c r="G263" s="54">
        <v>0.1</v>
      </c>
      <c r="H263" s="54">
        <v>0.35</v>
      </c>
      <c r="I263" s="53">
        <f t="shared" si="9"/>
        <v>2.6923076923076907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G25" sqref="G25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0.17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0.83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Merisier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Cormier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Bouleau verruqueux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Cèdre de l'Atlas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pubescent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Erable champêtre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Tilleul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0.85000000000000009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3.1166666666666671</v>
      </c>
      <c r="H3" s="67">
        <f>(B3+E3+F3)*44/12+(C3+D3)*0.475*44/12</f>
        <v>244.19999999999996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241.08333333333334</v>
      </c>
      <c r="S3" s="59">
        <f ca="1">AVERAGE(OFFSET($R$3,0,0,'Données projet'!$E$9+1,1))-AVERAGE(OFFSET($H$3,0,0,'Données projet'!$E$9+1,1))</f>
        <v>643.492472896403</v>
      </c>
      <c r="T3" s="59">
        <f>IF('Données projet'!E9&gt;30,$R$33-$H$33,LOOKUP('Données projet'!$E$9,$A$3:$A$203,R3:R203)-LOOKUP('Données projet'!$E$9,$A$3:$A$203,$H$3:$H$203))</f>
        <v>285.0259479655341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241.08333333333334</v>
      </c>
      <c r="AN3" s="59">
        <f ca="1">AVERAGE(OFFSET($AM$3,0,0,'Données projet'!$E$10+1,1))-AVERAGE(OFFSET($H$3,0,0,'Données projet'!$E$10+1,1))</f>
        <v>289.89907502443873</v>
      </c>
      <c r="AO3" s="59">
        <f>IF('Données projet'!E10&gt;30,$AM$33-$H$33,LOOKUP('Données projet'!$E$10,$A$3:$A$203,AM3:AM203)-LOOKUP('Données projet'!$E$10,$A$3:$A$203,$H$3:$H$203))</f>
        <v>267.42183550360301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241.08333333333334</v>
      </c>
      <c r="BI3" s="59">
        <f ca="1">AVERAGE(OFFSET($BH$3,0,0,'Données projet'!$E$11+1,1))-AVERAGE(OFFSET($H$3,0,0,'Données projet'!$E$11+1,1))</f>
        <v>177.54241137663234</v>
      </c>
      <c r="BJ3" s="59">
        <f>IF('Données projet'!E11&gt;30,$BH$33-$H$33,LOOKUP('Données projet'!$E$11,$A$3:$A$203,BH3:BH203)-LOOKUP('Données projet'!$E$11,$A$3:$A$203,$H$3:$H$203))</f>
        <v>114.71095021456071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241.08333333333334</v>
      </c>
      <c r="CD3" s="59">
        <f ca="1">AVERAGE(OFFSET($CC$3,0,0,'Données projet'!$E$12+1,1))-AVERAGE(OFFSET($H$3,0,0,'Données projet'!$E$12+1,1))</f>
        <v>192.88977161349993</v>
      </c>
      <c r="CE3" s="59">
        <f>IF('Données projet'!E12&gt;30,$CC$33-$H$33,LOOKUP('Données projet'!$E$12,$A$3:$A$203,CC3:CC203)-LOOKUP('Données projet'!$E$12,$A$3:$A$203,$H$3:$H$203))</f>
        <v>122.91376861456772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241.08333333333334</v>
      </c>
      <c r="CY3" s="59">
        <f ca="1">AVERAGE(OFFSET($CX$3,0,0,'Données projet'!$E$13+1,1))-AVERAGE(OFFSET($H$3,0,0,'Données projet'!$E$13+1,1))</f>
        <v>163.16040389635825</v>
      </c>
      <c r="CZ3" s="59">
        <f>IF('Données projet'!E13&gt;30,$CX$33-$H$33,LOOKUP('Données projet'!$E$13,$A$3:$A$203,CX3:CX203)-LOOKUP('Données projet'!$E$13,$A$3:$A$203,$H$3:$H$203))</f>
        <v>138.57856782158811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241.08333333333334</v>
      </c>
      <c r="DT3" s="59">
        <f ca="1">AVERAGE(OFFSET($DS$3,0,0,'Données projet'!$E$14+1,1))-AVERAGE(OFFSET($H$3,0,0,'Données projet'!$E$14+1,1))</f>
        <v>343.44193069803498</v>
      </c>
      <c r="DU3" s="59">
        <f>IF('Données projet'!E14&gt;30,$DS$33-$H$33,LOOKUP('Données projet'!$E$14,$A$3:$A$203,DS3:DS203)-LOOKUP('Données projet'!$E$14,$A$3:$A$203,$H$3:$H$203))</f>
        <v>280.67367019483481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241.08333333333334</v>
      </c>
      <c r="EO3" s="59">
        <f ca="1">AVERAGE(OFFSET($EN$3,0,0,'Données projet'!$E$15+1,1))-AVERAGE(OFFSET($H$3,0,0,'Données projet'!$E$15+1,1))</f>
        <v>270.0029254736703</v>
      </c>
      <c r="EP3" s="59">
        <f>IF('Données projet'!E15&gt;30,$EN$33-$H$33,LOOKUP('Données projet'!$E$15,$A$3:$A$203,EN3:EN203)-LOOKUP('Données projet'!$E$15,$A$3:$A$203,$H$3:$H$203))</f>
        <v>183.80022202211441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241.08333333333334</v>
      </c>
      <c r="FJ3" s="59">
        <f ca="1">AVERAGE(OFFSET($FI$3,0,0,'Données projet'!$E$16+1,1))-AVERAGE(OFFSET($H$3,0,0,'Données projet'!$E$16+1,1))</f>
        <v>328.93328163316073</v>
      </c>
      <c r="FK3" s="59">
        <f>IF('Données projet'!E16&gt;30,$FI$33-$H$33,LOOKUP('Données projet'!$E$16,$A$3:$A$203,FI3:FI203)-LOOKUP('Données projet'!$E$16,$A$3:$A$203,$H$3:$H$203))</f>
        <v>320.27831321887072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241.08333333333334</v>
      </c>
      <c r="GE3" s="59">
        <f ca="1">AVERAGE(OFFSET($GD$3,0,0,'Données projet'!$E$17+1,1))-AVERAGE(OFFSET($H$3,0,0,'Données projet'!$E$17+1,1))</f>
        <v>192.88444860121191</v>
      </c>
      <c r="GF3" s="59">
        <f>IF('Données projet'!E17&gt;30,$GD$33-$H$33,LOOKUP('Données projet'!$E$17,$A$3:$A$203,GD3:GD203)-LOOKUP('Données projet'!$E$17,$A$3:$A$203,$H$3:$H$203))</f>
        <v>136.13737493732751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0.85000000000000009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3.1166666666666671</v>
      </c>
      <c r="H4" s="67">
        <f t="shared" ref="H4:H67" si="1">(B4+E4+F4)*44/12+(C4+D4)*0.475*44/12</f>
        <v>244.19999999999996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251.58089364914673</v>
      </c>
      <c r="S4" s="59">
        <f ca="1">AVERAGE(OFFSET($R$3,0,0,'Données projet'!$E$9+1,1))-AVERAGE(OFFSET($H$3,0,0,'Données projet'!$E$9+1,1))</f>
        <v>643.492472896403</v>
      </c>
      <c r="T4" s="59">
        <f>$T$3</f>
        <v>285.0259479655341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3.56</v>
      </c>
      <c r="AI4" s="13">
        <f>IF('Données projet'!$A$62&gt;35,AI3+AH4-AQ3,IF(A4&lt;'Données projet'!$A$62,$AF$205^A4,IF(A4='Données projet'!$A$62,'Données projet'!$B$62,AI3+AH4-AQ3)))</f>
        <v>1.1966732973638288</v>
      </c>
      <c r="AJ4" s="13">
        <f>AI4*VLOOKUP('Données projet'!$B$10,Paramètres!$A$1:$I$89,3,0)*VLOOKUP('Données projet'!$B$10,Paramètres!$A$1:$I$89,5,0)</f>
        <v>0.93340517194378647</v>
      </c>
      <c r="AK4" s="13">
        <f>EXP(-1.0587+0.8836*LN(AJ4)+0.284)</f>
        <v>0.43361679609549247</v>
      </c>
      <c r="AL4" s="20">
        <f t="shared" ref="AL4:AL67" si="4">(AJ4+AK4)*0.475*44/12</f>
        <v>2.3808965943350775</v>
      </c>
      <c r="AM4" s="59">
        <f t="shared" ref="AM4:AM67" si="5">AL4+(AD4+AE4)*44/12</f>
        <v>244.95678814410988</v>
      </c>
      <c r="AN4" s="59">
        <f ca="1">AVERAGE(OFFSET($AM$3,0,0,'Données projet'!$E$10+1,1))-AVERAGE(OFFSET($H$3,0,0,'Données projet'!$E$10+1,1))</f>
        <v>289.89907502443873</v>
      </c>
      <c r="AO4" s="59">
        <f>$AO$3</f>
        <v>267.42183550360301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1.153846153846154</v>
      </c>
      <c r="BD4" s="12">
        <f>IF('Données projet'!$A$88&gt;35,BD3+BC4-BL3,IF(A4&lt;'Données projet'!$A$88,$BA$205^A4,IF(A4='Données projet'!$A$88,'Données projet'!$B$88,BD3+BC4-BL3)))</f>
        <v>1.1439407123438055</v>
      </c>
      <c r="BE4" s="13">
        <f>BD4*VLOOKUP('Données projet'!$B$11,Paramètres!$A$1:$I$89,3,0)*VLOOKUP('Données projet'!$B$11,Paramètres!$A$1:$I$89,5,0)</f>
        <v>1.1064194569789285</v>
      </c>
      <c r="BF4" s="13">
        <f>EXP(-1.0587+0.8836*LN(BE4)+0.284)</f>
        <v>0.50391768952888172</v>
      </c>
      <c r="BG4" s="20">
        <f t="shared" ref="BG4:BG67" si="7">(BE4+BF4)*0.475*44/12</f>
        <v>2.8046705301677695</v>
      </c>
      <c r="BH4" s="59">
        <f t="shared" ref="BH4:BH67" si="8">BG4+(AY4+AZ4)*44/12</f>
        <v>245.38056207994259</v>
      </c>
      <c r="BI4" s="59">
        <f ca="1">AVERAGE(OFFSET($BH$3,0,0,'Données projet'!$E$11+1,1))-AVERAGE(OFFSET($H$3,0,0,'Données projet'!$E$11+1,1))</f>
        <v>177.54241137663234</v>
      </c>
      <c r="BJ4" s="59">
        <f>$BJ$3</f>
        <v>114.71095021456071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1.153846153846154</v>
      </c>
      <c r="BY4" s="12">
        <f>IF('Données projet'!$A$114&gt;35,BY3+BX4-CG3,IF(A4&lt;'Données projet'!$A$114,$BV$205^A4,IF(A4='Données projet'!$A$114,'Données projet'!$B$114,BY3+BX4-CG3)))</f>
        <v>1.1439407123438055</v>
      </c>
      <c r="BZ4" s="13">
        <f>BY4*VLOOKUP('Données projet'!$B$12,Paramètres!$A$1:$I$89,3,0)*VLOOKUP('Données projet'!$B$12,Paramètres!$A$1:$I$89,5,0)</f>
        <v>1.2313377827668721</v>
      </c>
      <c r="CA4" s="13">
        <f>EXP(-1.0587+0.8836*LN(BZ4)+0.284)</f>
        <v>0.55387194019465891</v>
      </c>
      <c r="CB4" s="20">
        <f t="shared" ref="CB4:CB67" si="10">(BZ4+CA4)*0.475*44/12</f>
        <v>3.1092402674913333</v>
      </c>
      <c r="CC4" s="59">
        <f t="shared" ref="CC4:CC67" si="11">CB4+(BT4+BU4)*44/12</f>
        <v>245.68513181726615</v>
      </c>
      <c r="CD4" s="59">
        <f ca="1">AVERAGE(OFFSET($CC$3,0,0,'Données projet'!$E$12+1,1))-AVERAGE(OFFSET($H$3,0,0,'Données projet'!$E$12+1,1))</f>
        <v>192.88977161349993</v>
      </c>
      <c r="CE4" s="59">
        <f>$CE$3</f>
        <v>122.91376861456772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1.7307692307692306</v>
      </c>
      <c r="CT4" s="12">
        <f>IF('Données projet'!$A$140&gt;35,CT3+CS4-DB3,IF(A4&lt;'Données projet'!$A$140,$CQ$205^A4,IF(A4='Données projet'!$A$140,'Données projet'!$B$140,CT3+CS4-DB3)))</f>
        <v>1.1938876454624809</v>
      </c>
      <c r="CU4" s="17">
        <f>CT4*VLOOKUP('Données projet'!$B$13,Paramètres!$A$1:$I$89,3,0)*VLOOKUP('Données projet'!$B$13,Paramètres!$A$1:$I$89,5,0)</f>
        <v>0.96848165799916464</v>
      </c>
      <c r="CV4" s="13">
        <f>EXP(-1.0587+0.8836*LN(CU4)+0.284)</f>
        <v>0.44798392032632173</v>
      </c>
      <c r="CW4" s="20">
        <f t="shared" ref="CW4:CW67" si="13">(CU4+CV4)*0.475*44/12</f>
        <v>2.4670108822502219</v>
      </c>
      <c r="CX4" s="59">
        <f t="shared" ref="CX4:CX67" si="14">CW4+(CO4+CP4)*44/12</f>
        <v>245.04290243202504</v>
      </c>
      <c r="CY4" s="59">
        <f ca="1">AVERAGE(OFFSET($CX$3,0,0,'Données projet'!$E$13+1,1))-AVERAGE(OFFSET($H$3,0,0,'Données projet'!$E$13+1,1))</f>
        <v>163.16040389635825</v>
      </c>
      <c r="CZ4" s="59">
        <f>$CZ$3</f>
        <v>138.57856782158811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7.7715686274509812</v>
      </c>
      <c r="DO4" s="12">
        <f>IF('Données projet'!$A$166&gt;35,DO3+DN4-DW3,IF(A4&lt;'Données projet'!$A$166,$DL$205^A4,IF(A4='Données projet'!$A$166,'Données projet'!$B$166,DO3+DN4-DW3)))</f>
        <v>7.7715686274509812</v>
      </c>
      <c r="DP4" s="17">
        <f>DO4*VLOOKUP('Données projet'!$B$14,Paramètres!$A$1:$I$89,3,0)*VLOOKUP('Données projet'!$B$14,Paramètres!$A$1:$I$89,5,0)</f>
        <v>3.637094117647059</v>
      </c>
      <c r="DQ4" s="13">
        <f>EXP(-1.0587+0.8836*LN(DP4)+0.284)</f>
        <v>1.4422308330239975</v>
      </c>
      <c r="DR4" s="20">
        <f t="shared" ref="DR4:DR67" si="16">(DP4+DQ4)*0.475*44/12</f>
        <v>8.8464909557520901</v>
      </c>
      <c r="DS4" s="59">
        <f t="shared" ref="DS4:DS67" si="17">DR4+(DJ4+DK4)*44/12</f>
        <v>251.42238250552691</v>
      </c>
      <c r="DT4" s="59">
        <f ca="1">AVERAGE(OFFSET($DS$3,0,0,'Données projet'!$E$14+1,1))-AVERAGE(OFFSET($H$3,0,0,'Données projet'!$E$14+1,1))</f>
        <v>343.44193069803498</v>
      </c>
      <c r="DU4" s="59">
        <f>$DU$3</f>
        <v>280.67367019483481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1.8269230769230766</v>
      </c>
      <c r="EJ4" s="12">
        <f>IF('Données projet'!$A$192&gt;35,EJ3+EI4-ER3,IF(A4&lt;'Données projet'!$A$192,$EG$205^A4,IF(A4='Données projet'!$A$192,'Données projet'!$B$192,EJ3+EI4-ER3)))</f>
        <v>1.197119521332874</v>
      </c>
      <c r="EK4" s="17">
        <f>EJ4*VLOOKUP('Données projet'!$B$15,Paramètres!$A$1:$I$89,3,0)*VLOOKUP('Données projet'!$B$15,Paramètres!$A$1:$I$89,5,0)</f>
        <v>1.2138791946315344</v>
      </c>
      <c r="EL4" s="13">
        <f>EXP(-1.0587+0.8836*LN(EK4)+0.284)</f>
        <v>0.54692718218866254</v>
      </c>
      <c r="EM4" s="20">
        <f t="shared" ref="EM4:EM67" si="19">(EK4+EL4)*0.475*44/12</f>
        <v>3.0667377729618424</v>
      </c>
      <c r="EN4" s="59">
        <f t="shared" ref="EN4:EN67" si="20">EM4+(EE4+EF4)*44/12</f>
        <v>245.64262932273664</v>
      </c>
      <c r="EO4" s="59">
        <f ca="1">AVERAGE(OFFSET($EN$3,0,0,'Données projet'!$E$15+1,1))-AVERAGE(OFFSET($H$3,0,0,'Données projet'!$E$15+1,1))</f>
        <v>270.0029254736703</v>
      </c>
      <c r="EP4" s="59">
        <f>$EP$3</f>
        <v>183.80022202211441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1.1113718874789602</v>
      </c>
      <c r="FG4" s="13">
        <f>EXP(-1.0587+0.8836*LN(FF4)+0.284)</f>
        <v>0.5059102014681881</v>
      </c>
      <c r="FH4" s="20">
        <f t="shared" ref="FH4:FH67" si="22">(FF4+FG4)*0.475*44/12</f>
        <v>2.8167663049162832</v>
      </c>
      <c r="FI4" s="59">
        <f t="shared" ref="FI4:FI67" si="23">FH4+(EZ4+FA4)*44/12</f>
        <v>245.39265785469109</v>
      </c>
      <c r="FJ4" s="59">
        <f ca="1">AVERAGE(OFFSET($FI$3,0,0,'Données projet'!$E$16+1,1))-AVERAGE(OFFSET($H$3,0,0,'Données projet'!$E$16+1,1))</f>
        <v>328.93328163316073</v>
      </c>
      <c r="FK4" s="59">
        <f>$FK$3</f>
        <v>320.27831321887072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1.8269230769230766</v>
      </c>
      <c r="FZ4" s="12">
        <f>IF('Données projet'!$A$244&gt;35,FZ3+FY4-GH3,IF(A4&lt;'Données projet'!$A$244,$FW$205^A4,IF(A4='Données projet'!$A$244,'Données projet'!$B$244,FZ3+FY4-GH3)))</f>
        <v>1.197119521332874</v>
      </c>
      <c r="GA4" s="17">
        <f>FZ4*VLOOKUP('Données projet'!$B$17,Paramètres!$A$1:$I$89,3,0)*VLOOKUP('Données projet'!$B$17,Paramètres!$A$1:$I$89,5,0)</f>
        <v>0.80302777491009192</v>
      </c>
      <c r="GB4" s="13">
        <f>EXP(-1.0587+0.8836*LN(GA4)+0.284)</f>
        <v>0.37964002532343649</v>
      </c>
      <c r="GC4" s="20">
        <f t="shared" ref="GC4:GC67" si="25">(GA4+GB4)*0.475*44/12</f>
        <v>2.0598130854067289</v>
      </c>
      <c r="GD4" s="59">
        <f t="shared" ref="GD4:GD67" si="26">GC4+(FU4+FV4)*44/12</f>
        <v>244.63570463518153</v>
      </c>
      <c r="GE4" s="59">
        <f ca="1">AVERAGE(OFFSET($GD$3,0,0,'Données projet'!$E$17+1,1))-AVERAGE(OFFSET($H$3,0,0,'Données projet'!$E$17+1,1))</f>
        <v>192.88444860121191</v>
      </c>
      <c r="GF4" s="59">
        <f>$GF$3</f>
        <v>136.13737493732751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65.823727998423436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0.85000000000000009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3.1166666666666671</v>
      </c>
      <c r="H5" s="67">
        <f t="shared" si="1"/>
        <v>244.19999999999996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261.67798422019666</v>
      </c>
      <c r="S5" s="59">
        <f ca="1">AVERAGE(OFFSET($R$3,0,0,'Données projet'!$E$9+1,1))-AVERAGE(OFFSET($H$3,0,0,'Données projet'!$E$9+1,1))</f>
        <v>643.492472896403</v>
      </c>
      <c r="T5" s="59">
        <f t="shared" ref="T5:T68" si="34">$T$3</f>
        <v>285.0259479655341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3.56</v>
      </c>
      <c r="AI5" s="13">
        <f>IF('Données projet'!$A$62&gt;35,AI4+AH5-AQ4,IF(A5&lt;'Données projet'!$A$62,$AF$205^A5,IF(A5='Données projet'!$A$62,'Données projet'!$B$62,AI4+AH5-AQ4)))</f>
        <v>1.4320269806236186</v>
      </c>
      <c r="AJ5" s="13">
        <f>AI5*VLOOKUP('Données projet'!$B$10,Paramètres!$A$1:$I$89,3,0)*VLOOKUP('Données projet'!$B$10,Paramètres!$A$1:$I$89,5,0)</f>
        <v>1.1169810448864226</v>
      </c>
      <c r="AK5" s="13">
        <f t="shared" ref="AK5:AK68" si="35">EXP(-1.0587+0.8836*LN(AJ5)+0.284)</f>
        <v>0.50816568684575236</v>
      </c>
      <c r="AL5" s="20">
        <f t="shared" si="4"/>
        <v>2.8304638911002047</v>
      </c>
      <c r="AM5" s="59">
        <f t="shared" si="5"/>
        <v>246.89422393219758</v>
      </c>
      <c r="AN5" s="59">
        <f ca="1">AVERAGE(OFFSET($AM$3,0,0,'Données projet'!$E$10+1,1))-AVERAGE(OFFSET($H$3,0,0,'Données projet'!$E$10+1,1))</f>
        <v>289.89907502443873</v>
      </c>
      <c r="AO5" s="59">
        <f t="shared" ref="AO5:AO68" si="36">$AO$3</f>
        <v>267.42183550360301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1.153846153846154</v>
      </c>
      <c r="BD5" s="12">
        <f>IF('Données projet'!$A$88&gt;35,BD4+BC5-BL4,IF(A5&lt;'Données projet'!$A$88,$BA$205^A5,IF(A5='Données projet'!$A$88,'Données projet'!$B$88,BD4+BC5-BL4)))</f>
        <v>1.3086003533576531</v>
      </c>
      <c r="BE5" s="13">
        <f>BD5*VLOOKUP('Données projet'!$B$11,Paramètres!$A$1:$I$89,3,0)*VLOOKUP('Données projet'!$B$11,Paramètres!$A$1:$I$89,5,0)</f>
        <v>1.2656782617675222</v>
      </c>
      <c r="BF5" s="13">
        <f t="shared" ref="BF5:BF68" si="37">EXP(-1.0587+0.8836*LN(BE5)+0.284)</f>
        <v>0.56749880502985206</v>
      </c>
      <c r="BG5" s="20">
        <f t="shared" si="7"/>
        <v>3.1927833913387604</v>
      </c>
      <c r="BH5" s="59">
        <f t="shared" si="8"/>
        <v>247.25654343243613</v>
      </c>
      <c r="BI5" s="59">
        <f ca="1">AVERAGE(OFFSET($BH$3,0,0,'Données projet'!$E$11+1,1))-AVERAGE(OFFSET($H$3,0,0,'Données projet'!$E$11+1,1))</f>
        <v>177.54241137663234</v>
      </c>
      <c r="BJ5" s="59">
        <f t="shared" ref="BJ5:BJ68" si="38">$BJ$3</f>
        <v>114.71095021456071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1.153846153846154</v>
      </c>
      <c r="BY5" s="12">
        <f>IF('Données projet'!$A$114&gt;35,BY4+BX5-CG4,IF(A5&lt;'Données projet'!$A$114,$BV$205^A5,IF(A5='Données projet'!$A$114,'Données projet'!$B$114,BY4+BX5-CG4)))</f>
        <v>1.3086003533576531</v>
      </c>
      <c r="BZ5" s="13">
        <f>BY5*VLOOKUP('Données projet'!$B$12,Paramètres!$A$1:$I$89,3,0)*VLOOKUP('Données projet'!$B$12,Paramètres!$A$1:$I$89,5,0)</f>
        <v>1.4085774203541777</v>
      </c>
      <c r="CA5" s="13">
        <f t="shared" ref="CA5:CA68" si="39">EXP(-1.0587+0.8836*LN(BZ5)+0.284)</f>
        <v>0.62375596398272404</v>
      </c>
      <c r="CB5" s="20">
        <f t="shared" si="10"/>
        <v>3.5396473110534372</v>
      </c>
      <c r="CC5" s="59">
        <f t="shared" si="11"/>
        <v>247.60340735215081</v>
      </c>
      <c r="CD5" s="59">
        <f ca="1">AVERAGE(OFFSET($CC$3,0,0,'Données projet'!$E$12+1,1))-AVERAGE(OFFSET($H$3,0,0,'Données projet'!$E$12+1,1))</f>
        <v>192.88977161349993</v>
      </c>
      <c r="CE5" s="59">
        <f t="shared" ref="CE5:CE68" si="40">$CE$3</f>
        <v>122.91376861456772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1.7307692307692306</v>
      </c>
      <c r="CT5" s="12">
        <f>IF('Données projet'!$A$140&gt;35,CT4+CS5-DB4,IF(A5&lt;'Données projet'!$A$140,$CQ$205^A5,IF(A5='Données projet'!$A$140,'Données projet'!$B$140,CT4+CS5-DB4)))</f>
        <v>1.4253677099879465</v>
      </c>
      <c r="CU5" s="17">
        <f>CT5*VLOOKUP('Données projet'!$B$13,Paramètres!$A$1:$I$89,3,0)*VLOOKUP('Données projet'!$B$13,Paramètres!$A$1:$I$89,5,0)</f>
        <v>1.1562582863422222</v>
      </c>
      <c r="CV5" s="13">
        <f t="shared" ref="CV5:CV68" si="41">EXP(-1.0587+0.8836*LN(CU5)+0.284)</f>
        <v>0.52392284715990933</v>
      </c>
      <c r="CW5" s="20">
        <f t="shared" si="13"/>
        <v>2.926315474182879</v>
      </c>
      <c r="CX5" s="59">
        <f t="shared" si="14"/>
        <v>246.99007551528024</v>
      </c>
      <c r="CY5" s="59">
        <f ca="1">AVERAGE(OFFSET($CX$3,0,0,'Données projet'!$E$13+1,1))-AVERAGE(OFFSET($H$3,0,0,'Données projet'!$E$13+1,1))</f>
        <v>163.16040389635825</v>
      </c>
      <c r="CZ5" s="59">
        <f t="shared" ref="CZ5:CZ68" si="42">$CZ$3</f>
        <v>138.57856782158811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7.7715686274509812</v>
      </c>
      <c r="DO5" s="12">
        <f>IF('Données projet'!$A$166&gt;35,DO4+DN5-DW4,IF(A5&lt;'Données projet'!$A$166,$DL$205^A5,IF(A5='Données projet'!$A$166,'Données projet'!$B$166,DO4+DN5-DW4)))</f>
        <v>15.543137254901962</v>
      </c>
      <c r="DP5" s="17">
        <f>DO5*VLOOKUP('Données projet'!$B$14,Paramètres!$A$1:$I$89,3,0)*VLOOKUP('Données projet'!$B$14,Paramètres!$A$1:$I$89,5,0)</f>
        <v>7.2741882352941181</v>
      </c>
      <c r="DQ5" s="13">
        <f t="shared" ref="DQ5:DQ68" si="43">EXP(-1.0587+0.8836*LN(DP5)+0.284)</f>
        <v>2.6608774935168951</v>
      </c>
      <c r="DR5" s="20">
        <f t="shared" si="16"/>
        <v>17.303572811012511</v>
      </c>
      <c r="DS5" s="59">
        <f t="shared" si="17"/>
        <v>261.36733285210988</v>
      </c>
      <c r="DT5" s="59">
        <f ca="1">AVERAGE(OFFSET($DS$3,0,0,'Données projet'!$E$14+1,1))-AVERAGE(OFFSET($H$3,0,0,'Données projet'!$E$14+1,1))</f>
        <v>343.44193069803498</v>
      </c>
      <c r="DU5" s="59">
        <f t="shared" ref="DU5:DU68" si="44">$DU$3</f>
        <v>280.67367019483481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1.8269230769230766</v>
      </c>
      <c r="EJ5" s="12">
        <f>IF('Données projet'!$A$192&gt;35,EJ4+EI5-ER4,IF(A5&lt;'Données projet'!$A$192,$EG$205^A5,IF(A5='Données projet'!$A$192,'Données projet'!$B$192,EJ4+EI5-ER4)))</f>
        <v>1.4330951483562495</v>
      </c>
      <c r="EK5" s="17">
        <f>EJ5*VLOOKUP('Données projet'!$B$15,Paramètres!$A$1:$I$89,3,0)*VLOOKUP('Données projet'!$B$15,Paramètres!$A$1:$I$89,5,0)</f>
        <v>1.4531584804332371</v>
      </c>
      <c r="EL5" s="13">
        <f t="shared" ref="EL5:EL68" si="45">EXP(-1.0587+0.8836*LN(EK5)+0.284)</f>
        <v>0.6411679639561515</v>
      </c>
      <c r="EM5" s="20">
        <f t="shared" si="19"/>
        <v>3.6476185573115179</v>
      </c>
      <c r="EN5" s="59">
        <f t="shared" si="20"/>
        <v>247.71137859840888</v>
      </c>
      <c r="EO5" s="59">
        <f ca="1">AVERAGE(OFFSET($EN$3,0,0,'Données projet'!$E$15+1,1))-AVERAGE(OFFSET($H$3,0,0,'Données projet'!$E$15+1,1))</f>
        <v>270.0029254736703</v>
      </c>
      <c r="EP5" s="59">
        <f t="shared" ref="EP5:EP68" si="46">$EP$3</f>
        <v>183.80022202211441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1.4138592860331347</v>
      </c>
      <c r="FG5" s="13">
        <f t="shared" ref="FG5:FG68" si="47">EXP(-1.0587+0.8836*LN(FF5)+0.284)</f>
        <v>0.62582221171965613</v>
      </c>
      <c r="FH5" s="20">
        <f t="shared" si="22"/>
        <v>3.5524452752527771</v>
      </c>
      <c r="FI5" s="59">
        <f t="shared" si="23"/>
        <v>247.61620531635015</v>
      </c>
      <c r="FJ5" s="59">
        <f ca="1">AVERAGE(OFFSET($FI$3,0,0,'Données projet'!$E$16+1,1))-AVERAGE(OFFSET($H$3,0,0,'Données projet'!$E$16+1,1))</f>
        <v>328.93328163316073</v>
      </c>
      <c r="FK5" s="59">
        <f t="shared" ref="FK5:FK68" si="48">$FK$3</f>
        <v>320.27831321887072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1.8269230769230766</v>
      </c>
      <c r="FZ5" s="12">
        <f>IF('Données projet'!$A$244&gt;35,FZ4+FY5-GH4,IF(A5&lt;'Données projet'!$A$244,$FW$205^A5,IF(A5='Données projet'!$A$244,'Données projet'!$B$244,FZ4+FY5-GH4)))</f>
        <v>1.4330951483562495</v>
      </c>
      <c r="GA5" s="17">
        <f>FZ5*VLOOKUP('Données projet'!$B$17,Paramètres!$A$1:$I$89,3,0)*VLOOKUP('Données projet'!$B$17,Paramètres!$A$1:$I$89,5,0)</f>
        <v>0.96132022551737217</v>
      </c>
      <c r="GB5" s="13">
        <f t="shared" ref="GB5:GB68" si="49">EXP(-1.0587+0.8836*LN(GA5)+0.284)</f>
        <v>0.44505563080410987</v>
      </c>
      <c r="GC5" s="20">
        <f t="shared" si="25"/>
        <v>2.4494379497599144</v>
      </c>
      <c r="GD5" s="59">
        <f t="shared" si="26"/>
        <v>246.51319799085729</v>
      </c>
      <c r="GE5" s="59">
        <f ca="1">AVERAGE(OFFSET($GD$3,0,0,'Données projet'!$E$17+1,1))-AVERAGE(OFFSET($H$3,0,0,'Données projet'!$E$17+1,1))</f>
        <v>192.88444860121191</v>
      </c>
      <c r="GF5" s="59">
        <f t="shared" ref="GF5:GF68" si="50">$GF$3</f>
        <v>136.13737493732751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65.896176980905338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0.85000000000000009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3.1166666666666671</v>
      </c>
      <c r="H6" s="67">
        <f t="shared" si="1"/>
        <v>244.19999999999996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271.64264934294272</v>
      </c>
      <c r="S6" s="59">
        <f ca="1">AVERAGE(OFFSET($R$3,0,0,'Données projet'!$E$9+1,1))-AVERAGE(OFFSET($H$3,0,0,'Données projet'!$E$9+1,1))</f>
        <v>643.492472896403</v>
      </c>
      <c r="T6" s="59">
        <f t="shared" si="34"/>
        <v>285.0259479655341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3.56</v>
      </c>
      <c r="AI6" s="13">
        <f>IF('Données projet'!$A$62&gt;35,AI5+AH6-AQ5,IF(A6&lt;'Données projet'!$A$62,$AF$205^A6,IF(A6='Données projet'!$A$62,'Données projet'!$B$62,AI5+AH6-AQ5)))</f>
        <v>1.7136684488168334</v>
      </c>
      <c r="AJ6" s="13">
        <f>AI6*VLOOKUP('Données projet'!$B$10,Paramètres!$A$1:$I$89,3,0)*VLOOKUP('Données projet'!$B$10,Paramètres!$A$1:$I$89,5,0)</f>
        <v>1.33666139007713</v>
      </c>
      <c r="AK6" s="13">
        <f t="shared" si="35"/>
        <v>0.59553127926010163</v>
      </c>
      <c r="AL6" s="20">
        <f t="shared" si="4"/>
        <v>3.3652355657623452</v>
      </c>
      <c r="AM6" s="59">
        <f t="shared" si="5"/>
        <v>248.91225572930944</v>
      </c>
      <c r="AN6" s="59">
        <f ca="1">AVERAGE(OFFSET($AM$3,0,0,'Données projet'!$E$10+1,1))-AVERAGE(OFFSET($H$3,0,0,'Données projet'!$E$10+1,1))</f>
        <v>289.89907502443873</v>
      </c>
      <c r="AO6" s="59">
        <f t="shared" si="36"/>
        <v>267.42183550360301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1.153846153846154</v>
      </c>
      <c r="BD6" s="12">
        <f>IF('Données projet'!$A$88&gt;35,BD5+BC6-BL5,IF(A6&lt;'Données projet'!$A$88,$BA$205^A6,IF(A6='Données projet'!$A$88,'Données projet'!$B$88,BD5+BC6-BL5)))</f>
        <v>1.4969612203933091</v>
      </c>
      <c r="BE6" s="13">
        <f>BD6*VLOOKUP('Données projet'!$B$11,Paramètres!$A$1:$I$89,3,0)*VLOOKUP('Données projet'!$B$11,Paramètres!$A$1:$I$89,5,0)</f>
        <v>1.4478608923644087</v>
      </c>
      <c r="BF6" s="13">
        <f t="shared" si="37"/>
        <v>0.63910217958691373</v>
      </c>
      <c r="BG6" s="20">
        <f t="shared" si="7"/>
        <v>3.6347940169818869</v>
      </c>
      <c r="BH6" s="59">
        <f t="shared" si="8"/>
        <v>249.18181418052899</v>
      </c>
      <c r="BI6" s="59">
        <f ca="1">AVERAGE(OFFSET($BH$3,0,0,'Données projet'!$E$11+1,1))-AVERAGE(OFFSET($H$3,0,0,'Données projet'!$E$11+1,1))</f>
        <v>177.54241137663234</v>
      </c>
      <c r="BJ6" s="59">
        <f t="shared" si="38"/>
        <v>114.71095021456071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1.153846153846154</v>
      </c>
      <c r="BY6" s="12">
        <f>IF('Données projet'!$A$114&gt;35,BY5+BX6-CG5,IF(A6&lt;'Données projet'!$A$114,$BV$205^A6,IF(A6='Données projet'!$A$114,'Données projet'!$B$114,BY5+BX6-CG5)))</f>
        <v>1.4969612203933091</v>
      </c>
      <c r="BZ6" s="13">
        <f>BY6*VLOOKUP('Données projet'!$B$12,Paramètres!$A$1:$I$89,3,0)*VLOOKUP('Données projet'!$B$12,Paramètres!$A$1:$I$89,5,0)</f>
        <v>1.6113290576313579</v>
      </c>
      <c r="CA6" s="13">
        <f t="shared" si="39"/>
        <v>0.7024575075373517</v>
      </c>
      <c r="CB6" s="20">
        <f t="shared" si="10"/>
        <v>4.0298449343355021</v>
      </c>
      <c r="CC6" s="59">
        <f t="shared" si="11"/>
        <v>249.5768650978826</v>
      </c>
      <c r="CD6" s="59">
        <f ca="1">AVERAGE(OFFSET($CC$3,0,0,'Données projet'!$E$12+1,1))-AVERAGE(OFFSET($H$3,0,0,'Données projet'!$E$12+1,1))</f>
        <v>192.88977161349993</v>
      </c>
      <c r="CE6" s="59">
        <f t="shared" si="40"/>
        <v>122.91376861456772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1.7307692307692306</v>
      </c>
      <c r="CT6" s="12">
        <f>IF('Données projet'!$A$140&gt;35,CT5+CS6-DB5,IF(A6&lt;'Données projet'!$A$140,$CQ$205^A6,IF(A6='Données projet'!$A$140,'Données projet'!$B$140,CT5+CS6-DB5)))</f>
        <v>1.7017288991957578</v>
      </c>
      <c r="CU6" s="17">
        <f>CT6*VLOOKUP('Données projet'!$B$13,Paramètres!$A$1:$I$89,3,0)*VLOOKUP('Données projet'!$B$13,Paramètres!$A$1:$I$89,5,0)</f>
        <v>1.3804424830275988</v>
      </c>
      <c r="CV6" s="13">
        <f t="shared" si="41"/>
        <v>0.61273438023444515</v>
      </c>
      <c r="CW6" s="20">
        <f t="shared" si="13"/>
        <v>3.4714497035147267</v>
      </c>
      <c r="CX6" s="59">
        <f t="shared" si="14"/>
        <v>249.01846986706184</v>
      </c>
      <c r="CY6" s="59">
        <f ca="1">AVERAGE(OFFSET($CX$3,0,0,'Données projet'!$E$13+1,1))-AVERAGE(OFFSET($H$3,0,0,'Données projet'!$E$13+1,1))</f>
        <v>163.16040389635825</v>
      </c>
      <c r="CZ6" s="59">
        <f t="shared" si="42"/>
        <v>138.57856782158811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7.7715686274509812</v>
      </c>
      <c r="DO6" s="12">
        <f>IF('Données projet'!$A$166&gt;35,DO5+DN6-DW5,IF(A6&lt;'Données projet'!$A$166,$DL$205^A6,IF(A6='Données projet'!$A$166,'Données projet'!$B$166,DO5+DN6-DW5)))</f>
        <v>23.314705882352943</v>
      </c>
      <c r="DP6" s="17">
        <f>DO6*VLOOKUP('Données projet'!$B$14,Paramètres!$A$1:$I$89,3,0)*VLOOKUP('Données projet'!$B$14,Paramètres!$A$1:$I$89,5,0)</f>
        <v>10.911282352941177</v>
      </c>
      <c r="DQ6" s="13">
        <f t="shared" si="43"/>
        <v>3.8073176895056275</v>
      </c>
      <c r="DR6" s="20">
        <f t="shared" si="16"/>
        <v>25.634895073928181</v>
      </c>
      <c r="DS6" s="59">
        <f t="shared" si="17"/>
        <v>271.18191523747527</v>
      </c>
      <c r="DT6" s="59">
        <f ca="1">AVERAGE(OFFSET($DS$3,0,0,'Données projet'!$E$14+1,1))-AVERAGE(OFFSET($H$3,0,0,'Données projet'!$E$14+1,1))</f>
        <v>343.44193069803498</v>
      </c>
      <c r="DU6" s="59">
        <f t="shared" si="44"/>
        <v>280.67367019483481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1.8269230769230766</v>
      </c>
      <c r="EJ6" s="12">
        <f>IF('Données projet'!$A$192&gt;35,EJ5+EI6-ER5,IF(A6&lt;'Données projet'!$A$192,$EG$205^A6,IF(A6='Données projet'!$A$192,'Données projet'!$B$192,EJ5+EI6-ER5)))</f>
        <v>1.7155861780246975</v>
      </c>
      <c r="EK6" s="17">
        <f>EJ6*VLOOKUP('Données projet'!$B$15,Paramètres!$A$1:$I$89,3,0)*VLOOKUP('Données projet'!$B$15,Paramètres!$A$1:$I$89,5,0)</f>
        <v>1.7396043845170435</v>
      </c>
      <c r="EL6" s="13">
        <f t="shared" si="45"/>
        <v>0.75164733330417843</v>
      </c>
      <c r="EM6" s="20">
        <f t="shared" si="19"/>
        <v>4.3389300752052948</v>
      </c>
      <c r="EN6" s="59">
        <f t="shared" si="20"/>
        <v>249.8859502387524</v>
      </c>
      <c r="EO6" s="59">
        <f ca="1">AVERAGE(OFFSET($EN$3,0,0,'Données projet'!$E$15+1,1))-AVERAGE(OFFSET($H$3,0,0,'Données projet'!$E$15+1,1))</f>
        <v>270.0029254736703</v>
      </c>
      <c r="EP6" s="59">
        <f t="shared" si="46"/>
        <v>183.80022202211441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1.7986761256276329</v>
      </c>
      <c r="FG6" s="13">
        <f t="shared" si="47"/>
        <v>0.77415604497611523</v>
      </c>
      <c r="FH6" s="20">
        <f t="shared" si="22"/>
        <v>4.4810160304681945</v>
      </c>
      <c r="FI6" s="59">
        <f t="shared" si="23"/>
        <v>250.0280361940153</v>
      </c>
      <c r="FJ6" s="59">
        <f ca="1">AVERAGE(OFFSET($FI$3,0,0,'Données projet'!$E$16+1,1))-AVERAGE(OFFSET($H$3,0,0,'Données projet'!$E$16+1,1))</f>
        <v>328.93328163316073</v>
      </c>
      <c r="FK6" s="59">
        <f t="shared" si="48"/>
        <v>320.27831321887072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1.8269230769230766</v>
      </c>
      <c r="FZ6" s="12">
        <f>IF('Données projet'!$A$244&gt;35,FZ5+FY6-GH5,IF(A6&lt;'Données projet'!$A$244,$FW$205^A6,IF(A6='Données projet'!$A$244,'Données projet'!$B$244,FZ5+FY6-GH5)))</f>
        <v>1.7155861780246975</v>
      </c>
      <c r="GA6" s="17">
        <f>FZ6*VLOOKUP('Données projet'!$B$17,Paramètres!$A$1:$I$89,3,0)*VLOOKUP('Données projet'!$B$17,Paramètres!$A$1:$I$89,5,0)</f>
        <v>1.1508152082189671</v>
      </c>
      <c r="GB6" s="13">
        <f t="shared" si="49"/>
        <v>0.52174297044073104</v>
      </c>
      <c r="GC6" s="20">
        <f t="shared" si="25"/>
        <v>2.9130388278323074</v>
      </c>
      <c r="GD6" s="59">
        <f t="shared" si="26"/>
        <v>248.46005899137941</v>
      </c>
      <c r="GE6" s="59">
        <f ca="1">AVERAGE(OFFSET($GD$3,0,0,'Données projet'!$E$17+1,1))-AVERAGE(OFFSET($H$3,0,0,'Données projet'!$E$17+1,1))</f>
        <v>192.88444860121191</v>
      </c>
      <c r="GF6" s="59">
        <f t="shared" si="50"/>
        <v>136.13737493732751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65.96736913551284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0.85000000000000009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3.1166666666666671</v>
      </c>
      <c r="H7" s="67">
        <f t="shared" si="1"/>
        <v>244.19999999999996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281.52399661997646</v>
      </c>
      <c r="S7" s="59">
        <f ca="1">AVERAGE(OFFSET($R$3,0,0,'Données projet'!$E$9+1,1))-AVERAGE(OFFSET($H$3,0,0,'Données projet'!$E$9+1,1))</f>
        <v>643.492472896403</v>
      </c>
      <c r="T7" s="59">
        <f t="shared" si="34"/>
        <v>285.0259479655341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3.56</v>
      </c>
      <c r="AI7" s="13">
        <f>IF('Données projet'!$A$62&gt;35,AI6+AH7-AQ6,IF(A7&lt;'Données projet'!$A$62,$AF$205^A7,IF(A7='Données projet'!$A$62,'Données projet'!$B$62,AI6+AH7-AQ6)))</f>
        <v>2.0507012732339978</v>
      </c>
      <c r="AJ7" s="13">
        <f>AI7*VLOOKUP('Données projet'!$B$10,Paramètres!$A$1:$I$89,3,0)*VLOOKUP('Données projet'!$B$10,Paramètres!$A$1:$I$89,5,0)</f>
        <v>1.5995469931225184</v>
      </c>
      <c r="AK7" s="13">
        <f t="shared" si="35"/>
        <v>0.69791706476400706</v>
      </c>
      <c r="AL7" s="20">
        <f t="shared" si="4"/>
        <v>4.0014165674856983</v>
      </c>
      <c r="AM7" s="59">
        <f t="shared" si="5"/>
        <v>251.02716842950684</v>
      </c>
      <c r="AN7" s="59">
        <f ca="1">AVERAGE(OFFSET($AM$3,0,0,'Données projet'!$E$10+1,1))-AVERAGE(OFFSET($H$3,0,0,'Données projet'!$E$10+1,1))</f>
        <v>289.89907502443873</v>
      </c>
      <c r="AO7" s="59">
        <f t="shared" si="36"/>
        <v>267.42183550360301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1.153846153846154</v>
      </c>
      <c r="BD7" s="12">
        <f>IF('Données projet'!$A$88&gt;35,BD6+BC7-BL6,IF(A7&lt;'Données projet'!$A$88,$BA$205^A7,IF(A7='Données projet'!$A$88,'Données projet'!$B$88,BD6+BC7-BL6)))</f>
        <v>1.7124348848077746</v>
      </c>
      <c r="BE7" s="13">
        <f>BD7*VLOOKUP('Données projet'!$B$11,Paramètres!$A$1:$I$89,3,0)*VLOOKUP('Données projet'!$B$11,Paramètres!$A$1:$I$89,5,0)</f>
        <v>1.6562670205860797</v>
      </c>
      <c r="BF7" s="13">
        <f t="shared" si="37"/>
        <v>0.71974001060893522</v>
      </c>
      <c r="BG7" s="20">
        <f t="shared" si="7"/>
        <v>4.138212245997984</v>
      </c>
      <c r="BH7" s="59">
        <f t="shared" si="8"/>
        <v>251.16396410801912</v>
      </c>
      <c r="BI7" s="59">
        <f ca="1">AVERAGE(OFFSET($BH$3,0,0,'Données projet'!$E$11+1,1))-AVERAGE(OFFSET($H$3,0,0,'Données projet'!$E$11+1,1))</f>
        <v>177.54241137663234</v>
      </c>
      <c r="BJ7" s="59">
        <f t="shared" si="38"/>
        <v>114.71095021456071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1.153846153846154</v>
      </c>
      <c r="BY7" s="12">
        <f>IF('Données projet'!$A$114&gt;35,BY6+BX7-CG6,IF(A7&lt;'Données projet'!$A$114,$BV$205^A7,IF(A7='Données projet'!$A$114,'Données projet'!$B$114,BY6+BX7-CG6)))</f>
        <v>1.7124348848077746</v>
      </c>
      <c r="BZ7" s="13">
        <f>BY7*VLOOKUP('Données projet'!$B$12,Paramètres!$A$1:$I$89,3,0)*VLOOKUP('Données projet'!$B$12,Paramètres!$A$1:$I$89,5,0)</f>
        <v>1.8432649100070886</v>
      </c>
      <c r="CA7" s="13">
        <f t="shared" si="39"/>
        <v>0.79108910918446207</v>
      </c>
      <c r="CB7" s="20">
        <f t="shared" si="10"/>
        <v>4.5881665834252843</v>
      </c>
      <c r="CC7" s="59">
        <f t="shared" si="11"/>
        <v>251.61391844544642</v>
      </c>
      <c r="CD7" s="59">
        <f ca="1">AVERAGE(OFFSET($CC$3,0,0,'Données projet'!$E$12+1,1))-AVERAGE(OFFSET($H$3,0,0,'Données projet'!$E$12+1,1))</f>
        <v>192.88977161349993</v>
      </c>
      <c r="CE7" s="59">
        <f t="shared" si="40"/>
        <v>122.91376861456772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1.7307692307692306</v>
      </c>
      <c r="CT7" s="12">
        <f>IF('Données projet'!$A$140&gt;35,CT6+CS7-DB6,IF(A7&lt;'Données projet'!$A$140,$CQ$205^A7,IF(A7='Données projet'!$A$140,'Données projet'!$B$140,CT6+CS7-DB6)))</f>
        <v>2.0316731086762827</v>
      </c>
      <c r="CU7" s="17">
        <f>CT7*VLOOKUP('Données projet'!$B$13,Paramètres!$A$1:$I$89,3,0)*VLOOKUP('Données projet'!$B$13,Paramètres!$A$1:$I$89,5,0)</f>
        <v>1.6480932257582004</v>
      </c>
      <c r="CV7" s="13">
        <f t="shared" si="41"/>
        <v>0.71660058872503873</v>
      </c>
      <c r="CW7" s="20">
        <f t="shared" si="13"/>
        <v>4.118508393558308</v>
      </c>
      <c r="CX7" s="59">
        <f t="shared" si="14"/>
        <v>251.14426025557944</v>
      </c>
      <c r="CY7" s="59">
        <f ca="1">AVERAGE(OFFSET($CX$3,0,0,'Données projet'!$E$13+1,1))-AVERAGE(OFFSET($H$3,0,0,'Données projet'!$E$13+1,1))</f>
        <v>163.16040389635825</v>
      </c>
      <c r="CZ7" s="59">
        <f t="shared" si="42"/>
        <v>138.57856782158811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7.7715686274509812</v>
      </c>
      <c r="DO7" s="12">
        <f>IF('Données projet'!$A$166&gt;35,DO6+DN7-DW6,IF(A7&lt;'Données projet'!$A$166,$DL$205^A7,IF(A7='Données projet'!$A$166,'Données projet'!$B$166,DO6+DN7-DW6)))</f>
        <v>31.086274509803925</v>
      </c>
      <c r="DP7" s="17">
        <f>DO7*VLOOKUP('Données projet'!$B$14,Paramètres!$A$1:$I$89,3,0)*VLOOKUP('Données projet'!$B$14,Paramètres!$A$1:$I$89,5,0)</f>
        <v>14.548376470588236</v>
      </c>
      <c r="DQ7" s="13">
        <f t="shared" si="43"/>
        <v>4.9092481407148947</v>
      </c>
      <c r="DR7" s="20">
        <f t="shared" si="16"/>
        <v>33.888696198019623</v>
      </c>
      <c r="DS7" s="59">
        <f t="shared" si="17"/>
        <v>280.91444806004074</v>
      </c>
      <c r="DT7" s="59">
        <f ca="1">AVERAGE(OFFSET($DS$3,0,0,'Données projet'!$E$14+1,1))-AVERAGE(OFFSET($H$3,0,0,'Données projet'!$E$14+1,1))</f>
        <v>343.44193069803498</v>
      </c>
      <c r="DU7" s="59">
        <f t="shared" si="44"/>
        <v>280.67367019483481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1.8269230769230766</v>
      </c>
      <c r="EJ7" s="12">
        <f>IF('Données projet'!$A$192&gt;35,EJ6+EI7-ER6,IF(A7&lt;'Données projet'!$A$192,$EG$205^A7,IF(A7='Données projet'!$A$192,'Données projet'!$B$192,EJ6+EI7-ER6)))</f>
        <v>2.0537617042422207</v>
      </c>
      <c r="EK7" s="17">
        <f>EJ7*VLOOKUP('Données projet'!$B$15,Paramètres!$A$1:$I$89,3,0)*VLOOKUP('Données projet'!$B$15,Paramètres!$A$1:$I$89,5,0)</f>
        <v>2.0825143681016121</v>
      </c>
      <c r="EL7" s="13">
        <f t="shared" si="45"/>
        <v>0.88116335410345037</v>
      </c>
      <c r="EM7" s="20">
        <f t="shared" si="19"/>
        <v>5.1617386995071506</v>
      </c>
      <c r="EN7" s="59">
        <f t="shared" si="20"/>
        <v>252.18749056152828</v>
      </c>
      <c r="EO7" s="59">
        <f ca="1">AVERAGE(OFFSET($EN$3,0,0,'Données projet'!$E$15+1,1))-AVERAGE(OFFSET($H$3,0,0,'Données projet'!$E$15+1,1))</f>
        <v>270.0029254736703</v>
      </c>
      <c r="EP7" s="59">
        <f t="shared" si="46"/>
        <v>183.80022202211441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2.2882304037341177</v>
      </c>
      <c r="FG7" s="13">
        <f t="shared" si="47"/>
        <v>0.95764830769786036</v>
      </c>
      <c r="FH7" s="20">
        <f t="shared" si="22"/>
        <v>5.6532387557440282</v>
      </c>
      <c r="FI7" s="59">
        <f t="shared" si="23"/>
        <v>252.67899061776518</v>
      </c>
      <c r="FJ7" s="59">
        <f ca="1">AVERAGE(OFFSET($FI$3,0,0,'Données projet'!$E$16+1,1))-AVERAGE(OFFSET($H$3,0,0,'Données projet'!$E$16+1,1))</f>
        <v>328.93328163316073</v>
      </c>
      <c r="FK7" s="59">
        <f t="shared" si="48"/>
        <v>320.27831321887072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1.8269230769230766</v>
      </c>
      <c r="FZ7" s="12">
        <f>IF('Données projet'!$A$244&gt;35,FZ6+FY7-GH6,IF(A7&lt;'Données projet'!$A$244,$FW$205^A7,IF(A7='Données projet'!$A$244,'Données projet'!$B$244,FZ6+FY7-GH6)))</f>
        <v>2.0537617042422207</v>
      </c>
      <c r="GA7" s="17">
        <f>FZ7*VLOOKUP('Données projet'!$B$17,Paramètres!$A$1:$I$89,3,0)*VLOOKUP('Données projet'!$B$17,Paramètres!$A$1:$I$89,5,0)</f>
        <v>1.3776633512056815</v>
      </c>
      <c r="GB7" s="13">
        <f t="shared" si="49"/>
        <v>0.61164427177898739</v>
      </c>
      <c r="GC7" s="20">
        <f t="shared" si="25"/>
        <v>3.4647107766982983</v>
      </c>
      <c r="GD7" s="59">
        <f t="shared" si="26"/>
        <v>250.49046263871944</v>
      </c>
      <c r="GE7" s="59">
        <f ca="1">AVERAGE(OFFSET($GD$3,0,0,'Données projet'!$E$17+1,1))-AVERAGE(OFFSET($H$3,0,0,'Données projet'!$E$17+1,1))</f>
        <v>192.88444860121191</v>
      </c>
      <c r="GF7" s="59">
        <f t="shared" si="50"/>
        <v>136.13737493732751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66.037326265399713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0.85000000000000009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3.1166666666666671</v>
      </c>
      <c r="H8" s="67">
        <f t="shared" si="1"/>
        <v>244.19999999999996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291.3443255510299</v>
      </c>
      <c r="S8" s="59">
        <f ca="1">AVERAGE(OFFSET($R$3,0,0,'Données projet'!$E$9+1,1))-AVERAGE(OFFSET($H$3,0,0,'Données projet'!$E$9+1,1))</f>
        <v>643.492472896403</v>
      </c>
      <c r="T8" s="59">
        <f t="shared" si="34"/>
        <v>285.0259479655341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3.56</v>
      </c>
      <c r="AI8" s="13">
        <f>IF('Données projet'!$A$62&gt;35,AI7+AH8-AQ7,IF(A8&lt;'Données projet'!$A$62,$AF$205^A8,IF(A8='Données projet'!$A$62,'Données projet'!$B$62,AI7+AH8-AQ7)))</f>
        <v>2.4540194545491301</v>
      </c>
      <c r="AJ8" s="13">
        <f>AI8*VLOOKUP('Données projet'!$B$10,Paramètres!$A$1:$I$89,3,0)*VLOOKUP('Données projet'!$B$10,Paramètres!$A$1:$I$89,5,0)</f>
        <v>1.9141351745483215</v>
      </c>
      <c r="AK8" s="13">
        <f t="shared" si="35"/>
        <v>0.81790536660639246</v>
      </c>
      <c r="AL8" s="20">
        <f t="shared" si="4"/>
        <v>4.7583039425111266</v>
      </c>
      <c r="AM8" s="59">
        <f t="shared" si="5"/>
        <v>253.25833763706271</v>
      </c>
      <c r="AN8" s="59">
        <f ca="1">AVERAGE(OFFSET($AM$3,0,0,'Données projet'!$E$10+1,1))-AVERAGE(OFFSET($H$3,0,0,'Données projet'!$E$10+1,1))</f>
        <v>289.89907502443873</v>
      </c>
      <c r="AO8" s="59">
        <f t="shared" si="36"/>
        <v>267.42183550360301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1.153846153846154</v>
      </c>
      <c r="BD8" s="12">
        <f>IF('Données projet'!$A$88&gt;35,BD7+BC8-BL7,IF(A8&lt;'Données projet'!$A$88,$BA$205^A8,IF(A8='Données projet'!$A$88,'Données projet'!$B$88,BD7+BC8-BL7)))</f>
        <v>1.9589239819693882</v>
      </c>
      <c r="BE8" s="13">
        <f>BD8*VLOOKUP('Données projet'!$B$11,Paramètres!$A$1:$I$89,3,0)*VLOOKUP('Données projet'!$B$11,Paramètres!$A$1:$I$89,5,0)</f>
        <v>1.8946712753607922</v>
      </c>
      <c r="BF8" s="13">
        <f t="shared" si="37"/>
        <v>0.81055220810884754</v>
      </c>
      <c r="BG8" s="20">
        <f t="shared" si="7"/>
        <v>4.7115975670429551</v>
      </c>
      <c r="BH8" s="59">
        <f t="shared" si="8"/>
        <v>253.21163126159453</v>
      </c>
      <c r="BI8" s="59">
        <f ca="1">AVERAGE(OFFSET($BH$3,0,0,'Données projet'!$E$11+1,1))-AVERAGE(OFFSET($H$3,0,0,'Données projet'!$E$11+1,1))</f>
        <v>177.54241137663234</v>
      </c>
      <c r="BJ8" s="59">
        <f t="shared" si="38"/>
        <v>114.71095021456071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1.153846153846154</v>
      </c>
      <c r="BY8" s="12">
        <f>IF('Données projet'!$A$114&gt;35,BY7+BX8-CG7,IF(A8&lt;'Données projet'!$A$114,$BV$205^A8,IF(A8='Données projet'!$A$114,'Données projet'!$B$114,BY7+BX8-CG7)))</f>
        <v>1.9589239819693882</v>
      </c>
      <c r="BZ8" s="13">
        <f>BY8*VLOOKUP('Données projet'!$B$12,Paramètres!$A$1:$I$89,3,0)*VLOOKUP('Données projet'!$B$12,Paramètres!$A$1:$I$89,5,0)</f>
        <v>2.1085857741918494</v>
      </c>
      <c r="CA8" s="13">
        <f t="shared" si="39"/>
        <v>0.89090368023006572</v>
      </c>
      <c r="CB8" s="20">
        <f t="shared" si="10"/>
        <v>5.2241107997848353</v>
      </c>
      <c r="CC8" s="59">
        <f t="shared" si="11"/>
        <v>253.7241444943364</v>
      </c>
      <c r="CD8" s="59">
        <f ca="1">AVERAGE(OFFSET($CC$3,0,0,'Données projet'!$E$12+1,1))-AVERAGE(OFFSET($H$3,0,0,'Données projet'!$E$12+1,1))</f>
        <v>192.88977161349993</v>
      </c>
      <c r="CE8" s="59">
        <f t="shared" si="40"/>
        <v>122.91376861456772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1.7307692307692306</v>
      </c>
      <c r="CT8" s="12">
        <f>IF('Données projet'!$A$140&gt;35,CT7+CS8-DB7,IF(A8&lt;'Données projet'!$A$140,$CQ$205^A8,IF(A8='Données projet'!$A$140,'Données projet'!$B$140,CT7+CS8-DB7)))</f>
        <v>2.4255894240669664</v>
      </c>
      <c r="CU8" s="17">
        <f>CT8*VLOOKUP('Données projet'!$B$13,Paramètres!$A$1:$I$89,3,0)*VLOOKUP('Données projet'!$B$13,Paramètres!$A$1:$I$89,5,0)</f>
        <v>1.9676381408031232</v>
      </c>
      <c r="CV8" s="13">
        <f t="shared" si="41"/>
        <v>0.83807343006375778</v>
      </c>
      <c r="CW8" s="20">
        <f t="shared" si="13"/>
        <v>4.8866143192598175</v>
      </c>
      <c r="CX8" s="59">
        <f t="shared" si="14"/>
        <v>253.3866480138114</v>
      </c>
      <c r="CY8" s="59">
        <f ca="1">AVERAGE(OFFSET($CX$3,0,0,'Données projet'!$E$13+1,1))-AVERAGE(OFFSET($H$3,0,0,'Données projet'!$E$13+1,1))</f>
        <v>163.16040389635825</v>
      </c>
      <c r="CZ8" s="59">
        <f t="shared" si="42"/>
        <v>138.57856782158811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7.7715686274509812</v>
      </c>
      <c r="DO8" s="12">
        <f>IF('Données projet'!$A$166&gt;35,DO7+DN8-DW7,IF(A8&lt;'Données projet'!$A$166,$DL$205^A8,IF(A8='Données projet'!$A$166,'Données projet'!$B$166,DO7+DN8-DW7)))</f>
        <v>38.857843137254903</v>
      </c>
      <c r="DP8" s="17">
        <f>DO8*VLOOKUP('Données projet'!$B$14,Paramètres!$A$1:$I$89,3,0)*VLOOKUP('Données projet'!$B$14,Paramètres!$A$1:$I$89,5,0)</f>
        <v>18.185470588235294</v>
      </c>
      <c r="DQ8" s="13">
        <f t="shared" si="43"/>
        <v>5.9792219084824367</v>
      </c>
      <c r="DR8" s="20">
        <f t="shared" si="16"/>
        <v>42.086839431783375</v>
      </c>
      <c r="DS8" s="59">
        <f t="shared" si="17"/>
        <v>290.58687312633492</v>
      </c>
      <c r="DT8" s="59">
        <f ca="1">AVERAGE(OFFSET($DS$3,0,0,'Données projet'!$E$14+1,1))-AVERAGE(OFFSET($H$3,0,0,'Données projet'!$E$14+1,1))</f>
        <v>343.44193069803498</v>
      </c>
      <c r="DU8" s="59">
        <f t="shared" si="44"/>
        <v>280.67367019483481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1.8269230769230766</v>
      </c>
      <c r="EJ8" s="12">
        <f>IF('Données projet'!$A$192&gt;35,EJ7+EI8-ER7,IF(A8&lt;'Données projet'!$A$192,$EG$205^A8,IF(A8='Données projet'!$A$192,'Données projet'!$B$192,EJ7+EI8-ER7)))</f>
        <v>2.4585982283142349</v>
      </c>
      <c r="EK8" s="17">
        <f>EJ8*VLOOKUP('Données projet'!$B$15,Paramètres!$A$1:$I$89,3,0)*VLOOKUP('Données projet'!$B$15,Paramètres!$A$1:$I$89,5,0)</f>
        <v>2.4930186035106345</v>
      </c>
      <c r="EL8" s="13">
        <f t="shared" si="45"/>
        <v>1.0329962233773105</v>
      </c>
      <c r="EM8" s="20">
        <f t="shared" si="19"/>
        <v>6.1411424901631699</v>
      </c>
      <c r="EN8" s="59">
        <f t="shared" si="20"/>
        <v>254.64117618471474</v>
      </c>
      <c r="EO8" s="59">
        <f ca="1">AVERAGE(OFFSET($EN$3,0,0,'Données projet'!$E$15+1,1))-AVERAGE(OFFSET($H$3,0,0,'Données projet'!$E$15+1,1))</f>
        <v>270.0029254736703</v>
      </c>
      <c r="EP8" s="59">
        <f t="shared" si="46"/>
        <v>183.80022202211441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2.9110290095979048</v>
      </c>
      <c r="FG8" s="13">
        <f t="shared" si="47"/>
        <v>1.1846323324451606</v>
      </c>
      <c r="FH8" s="20">
        <f t="shared" si="22"/>
        <v>7.133276837391672</v>
      </c>
      <c r="FI8" s="59">
        <f t="shared" si="23"/>
        <v>255.63331053194324</v>
      </c>
      <c r="FJ8" s="59">
        <f ca="1">AVERAGE(OFFSET($FI$3,0,0,'Données projet'!$E$16+1,1))-AVERAGE(OFFSET($H$3,0,0,'Données projet'!$E$16+1,1))</f>
        <v>328.93328163316073</v>
      </c>
      <c r="FK8" s="59">
        <f t="shared" si="48"/>
        <v>320.27831321887072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1.8269230769230766</v>
      </c>
      <c r="FZ8" s="12">
        <f>IF('Données projet'!$A$244&gt;35,FZ7+FY8-GH7,IF(A8&lt;'Données projet'!$A$244,$FW$205^A8,IF(A8='Données projet'!$A$244,'Données projet'!$B$244,FZ7+FY8-GH7)))</f>
        <v>2.4585982283142349</v>
      </c>
      <c r="GA8" s="17">
        <f>FZ8*VLOOKUP('Données projet'!$B$17,Paramètres!$A$1:$I$89,3,0)*VLOOKUP('Données projet'!$B$17,Paramètres!$A$1:$I$89,5,0)</f>
        <v>1.6492276915531887</v>
      </c>
      <c r="GB8" s="13">
        <f t="shared" si="49"/>
        <v>0.71703642673714896</v>
      </c>
      <c r="GC8" s="20">
        <f t="shared" si="25"/>
        <v>4.1212433393556713</v>
      </c>
      <c r="GD8" s="59">
        <f t="shared" si="26"/>
        <v>252.62127703390723</v>
      </c>
      <c r="GE8" s="59">
        <f ca="1">AVERAGE(OFFSET($GD$3,0,0,'Données projet'!$E$17+1,1))-AVERAGE(OFFSET($H$3,0,0,'Données projet'!$E$17+1,1))</f>
        <v>192.88444860121191</v>
      </c>
      <c r="GF8" s="59">
        <f t="shared" si="50"/>
        <v>136.13737493732751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66.106069795483762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0.85000000000000009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3.1166666666666671</v>
      </c>
      <c r="H9" s="67">
        <f t="shared" si="1"/>
        <v>244.19999999999996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301.11638908422458</v>
      </c>
      <c r="S9" s="59">
        <f ca="1">AVERAGE(OFFSET($R$3,0,0,'Données projet'!$E$9+1,1))-AVERAGE(OFFSET($H$3,0,0,'Données projet'!$E$9+1,1))</f>
        <v>643.492472896403</v>
      </c>
      <c r="T9" s="59">
        <f t="shared" si="34"/>
        <v>285.0259479655341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3.56</v>
      </c>
      <c r="AI9" s="13">
        <f>IF('Données projet'!$A$62&gt;35,AI8+AH9-AQ8,IF(A9&lt;'Données projet'!$A$62,$AF$205^A9,IF(A9='Données projet'!$A$62,'Données projet'!$B$62,AI8+AH9-AQ8)))</f>
        <v>2.9366595524702919</v>
      </c>
      <c r="AJ9" s="13">
        <f>AI9*VLOOKUP('Données projet'!$B$10,Paramètres!$A$1:$I$89,3,0)*VLOOKUP('Données projet'!$B$10,Paramètres!$A$1:$I$89,5,0)</f>
        <v>2.2905944509268279</v>
      </c>
      <c r="AK9" s="13">
        <f t="shared" si="35"/>
        <v>0.95852246992949186</v>
      </c>
      <c r="AL9" s="20">
        <f t="shared" si="4"/>
        <v>5.6588786371580904</v>
      </c>
      <c r="AM9" s="59">
        <f t="shared" si="5"/>
        <v>255.62882149352208</v>
      </c>
      <c r="AN9" s="59">
        <f ca="1">AVERAGE(OFFSET($AM$3,0,0,'Données projet'!$E$10+1,1))-AVERAGE(OFFSET($H$3,0,0,'Données projet'!$E$10+1,1))</f>
        <v>289.89907502443873</v>
      </c>
      <c r="AO9" s="59">
        <f t="shared" si="36"/>
        <v>267.42183550360301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1.153846153846154</v>
      </c>
      <c r="BD9" s="12">
        <f>IF('Données projet'!$A$88&gt;35,BD8+BC9-BL8,IF(A9&lt;'Données projet'!$A$88,$BA$205^A9,IF(A9='Données projet'!$A$88,'Données projet'!$B$88,BD8+BC9-BL8)))</f>
        <v>2.240892895361426</v>
      </c>
      <c r="BE9" s="13">
        <f>BD9*VLOOKUP('Données projet'!$B$11,Paramètres!$A$1:$I$89,3,0)*VLOOKUP('Données projet'!$B$11,Paramètres!$A$1:$I$89,5,0)</f>
        <v>2.1673916083935714</v>
      </c>
      <c r="BF9" s="13">
        <f t="shared" si="37"/>
        <v>0.91282250866431436</v>
      </c>
      <c r="BG9" s="20">
        <f t="shared" si="7"/>
        <v>5.3647062538758172</v>
      </c>
      <c r="BH9" s="59">
        <f t="shared" si="8"/>
        <v>255.33464911023981</v>
      </c>
      <c r="BI9" s="59">
        <f ca="1">AVERAGE(OFFSET($BH$3,0,0,'Données projet'!$E$11+1,1))-AVERAGE(OFFSET($H$3,0,0,'Données projet'!$E$11+1,1))</f>
        <v>177.54241137663234</v>
      </c>
      <c r="BJ9" s="59">
        <f t="shared" si="38"/>
        <v>114.71095021456071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1.153846153846154</v>
      </c>
      <c r="BY9" s="12">
        <f>IF('Données projet'!$A$114&gt;35,BY8+BX9-CG8,IF(A9&lt;'Données projet'!$A$114,$BV$205^A9,IF(A9='Données projet'!$A$114,'Données projet'!$B$114,BY8+BX9-CG8)))</f>
        <v>2.240892895361426</v>
      </c>
      <c r="BZ9" s="13">
        <f>BY9*VLOOKUP('Données projet'!$B$12,Paramètres!$A$1:$I$89,3,0)*VLOOKUP('Données projet'!$B$12,Paramètres!$A$1:$I$89,5,0)</f>
        <v>2.4120971125670385</v>
      </c>
      <c r="CA9" s="13">
        <f t="shared" si="39"/>
        <v>1.0033122163263177</v>
      </c>
      <c r="CB9" s="20">
        <f t="shared" si="10"/>
        <v>5.9485045811559294</v>
      </c>
      <c r="CC9" s="59">
        <f t="shared" si="11"/>
        <v>255.91844743751992</v>
      </c>
      <c r="CD9" s="59">
        <f ca="1">AVERAGE(OFFSET($CC$3,0,0,'Données projet'!$E$12+1,1))-AVERAGE(OFFSET($H$3,0,0,'Données projet'!$E$12+1,1))</f>
        <v>192.88977161349993</v>
      </c>
      <c r="CE9" s="59">
        <f t="shared" si="40"/>
        <v>122.91376861456772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1.7307692307692306</v>
      </c>
      <c r="CT9" s="12">
        <f>IF('Données projet'!$A$140&gt;35,CT8+CS9-DB8,IF(A9&lt;'Données projet'!$A$140,$CQ$205^A9,IF(A9='Données projet'!$A$140,'Données projet'!$B$140,CT8+CS9-DB8)))</f>
        <v>2.8958812463580053</v>
      </c>
      <c r="CU9" s="17">
        <f>CT9*VLOOKUP('Données projet'!$B$13,Paramètres!$A$1:$I$89,3,0)*VLOOKUP('Données projet'!$B$13,Paramètres!$A$1:$I$89,5,0)</f>
        <v>2.3491388670456144</v>
      </c>
      <c r="CV9" s="13">
        <f t="shared" si="41"/>
        <v>0.98013745066616464</v>
      </c>
      <c r="CW9" s="20">
        <f t="shared" si="13"/>
        <v>5.798489586681348</v>
      </c>
      <c r="CX9" s="59">
        <f t="shared" si="14"/>
        <v>255.76843244304533</v>
      </c>
      <c r="CY9" s="59">
        <f ca="1">AVERAGE(OFFSET($CX$3,0,0,'Données projet'!$E$13+1,1))-AVERAGE(OFFSET($H$3,0,0,'Données projet'!$E$13+1,1))</f>
        <v>163.16040389635825</v>
      </c>
      <c r="CZ9" s="59">
        <f t="shared" si="42"/>
        <v>138.57856782158811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7.7715686274509812</v>
      </c>
      <c r="DO9" s="12">
        <f>IF('Données projet'!$A$166&gt;35,DO8+DN9-DW8,IF(A9&lt;'Données projet'!$A$166,$DL$205^A9,IF(A9='Données projet'!$A$166,'Données projet'!$B$166,DO8+DN9-DW8)))</f>
        <v>46.629411764705885</v>
      </c>
      <c r="DP9" s="17">
        <f>DO9*VLOOKUP('Données projet'!$B$14,Paramètres!$A$1:$I$89,3,0)*VLOOKUP('Données projet'!$B$14,Paramètres!$A$1:$I$89,5,0)</f>
        <v>21.822564705882353</v>
      </c>
      <c r="DQ9" s="13">
        <f t="shared" si="43"/>
        <v>7.0243997831002556</v>
      </c>
      <c r="DR9" s="20">
        <f t="shared" si="16"/>
        <v>50.241796484978039</v>
      </c>
      <c r="DS9" s="59">
        <f t="shared" si="17"/>
        <v>300.21173934134202</v>
      </c>
      <c r="DT9" s="59">
        <f ca="1">AVERAGE(OFFSET($DS$3,0,0,'Données projet'!$E$14+1,1))-AVERAGE(OFFSET($H$3,0,0,'Données projet'!$E$14+1,1))</f>
        <v>343.44193069803498</v>
      </c>
      <c r="DU9" s="59">
        <f t="shared" si="44"/>
        <v>280.67367019483481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1.8269230769230766</v>
      </c>
      <c r="EJ9" s="12">
        <f>IF('Données projet'!$A$192&gt;35,EJ8+EI9-ER8,IF(A9&lt;'Données projet'!$A$192,$EG$205^A9,IF(A9='Données projet'!$A$192,'Données projet'!$B$192,EJ8+EI9-ER8)))</f>
        <v>2.943235934229389</v>
      </c>
      <c r="EK9" s="17">
        <f>EJ9*VLOOKUP('Données projet'!$B$15,Paramètres!$A$1:$I$89,3,0)*VLOOKUP('Données projet'!$B$15,Paramètres!$A$1:$I$89,5,0)</f>
        <v>2.9844412373086007</v>
      </c>
      <c r="EL9" s="13">
        <f t="shared" si="45"/>
        <v>1.2109913474528224</v>
      </c>
      <c r="EM9" s="20">
        <f t="shared" si="19"/>
        <v>7.3070450851261457</v>
      </c>
      <c r="EN9" s="59">
        <f t="shared" si="20"/>
        <v>257.27698794149012</v>
      </c>
      <c r="EO9" s="59">
        <f ca="1">AVERAGE(OFFSET($EN$3,0,0,'Données projet'!$E$15+1,1))-AVERAGE(OFFSET($H$3,0,0,'Données projet'!$E$15+1,1))</f>
        <v>270.0029254736703</v>
      </c>
      <c r="EP9" s="59">
        <f t="shared" si="46"/>
        <v>183.80022202211441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3.7033376887623981</v>
      </c>
      <c r="FG9" s="13">
        <f t="shared" si="47"/>
        <v>1.4654166376047331</v>
      </c>
      <c r="FH9" s="20">
        <f t="shared" si="22"/>
        <v>9.002247118422753</v>
      </c>
      <c r="FI9" s="59">
        <f t="shared" si="23"/>
        <v>258.97218997478672</v>
      </c>
      <c r="FJ9" s="59">
        <f ca="1">AVERAGE(OFFSET($FI$3,0,0,'Données projet'!$E$16+1,1))-AVERAGE(OFFSET($H$3,0,0,'Données projet'!$E$16+1,1))</f>
        <v>328.93328163316073</v>
      </c>
      <c r="FK9" s="59">
        <f t="shared" si="48"/>
        <v>320.27831321887072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1.8269230769230766</v>
      </c>
      <c r="FZ9" s="12">
        <f>IF('Données projet'!$A$244&gt;35,FZ8+FY9-GH8,IF(A9&lt;'Données projet'!$A$244,$FW$205^A9,IF(A9='Données projet'!$A$244,'Données projet'!$B$244,FZ8+FY9-GH8)))</f>
        <v>2.943235934229389</v>
      </c>
      <c r="GA9" s="17">
        <f>FZ9*VLOOKUP('Données projet'!$B$17,Paramètres!$A$1:$I$89,3,0)*VLOOKUP('Données projet'!$B$17,Paramètres!$A$1:$I$89,5,0)</f>
        <v>1.9743226646810743</v>
      </c>
      <c r="GB9" s="13">
        <f t="shared" si="49"/>
        <v>0.84058865747664457</v>
      </c>
      <c r="GC9" s="20">
        <f t="shared" si="25"/>
        <v>4.902637219424693</v>
      </c>
      <c r="GD9" s="59">
        <f t="shared" si="26"/>
        <v>254.87258007578868</v>
      </c>
      <c r="GE9" s="59">
        <f ca="1">AVERAGE(OFFSET($GD$3,0,0,'Données projet'!$E$17+1,1))-AVERAGE(OFFSET($H$3,0,0,'Données projet'!$E$17+1,1))</f>
        <v>192.88444860121191</v>
      </c>
      <c r="GF9" s="59">
        <f t="shared" si="50"/>
        <v>136.13737493732751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66.17362077900836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0.85000000000000009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3.1166666666666671</v>
      </c>
      <c r="H10" s="67">
        <f t="shared" si="1"/>
        <v>244.19999999999996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310.84843464339849</v>
      </c>
      <c r="S10" s="59">
        <f ca="1">AVERAGE(OFFSET($R$3,0,0,'Données projet'!$E$9+1,1))-AVERAGE(OFFSET($H$3,0,0,'Données projet'!$E$9+1,1))</f>
        <v>643.492472896403</v>
      </c>
      <c r="T10" s="59">
        <f t="shared" si="34"/>
        <v>285.0259479655341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3.56</v>
      </c>
      <c r="AI10" s="13">
        <f>IF('Données projet'!$A$62&gt;35,AI9+AH10-AQ9,IF(A10&lt;'Données projet'!$A$62,$AF$205^A10,IF(A10='Données projet'!$A$62,'Données projet'!$B$62,AI9+AH10-AQ9)))</f>
        <v>3.5142220698896103</v>
      </c>
      <c r="AJ10" s="13">
        <f>AI10*VLOOKUP('Données projet'!$B$10,Paramètres!$A$1:$I$89,3,0)*VLOOKUP('Données projet'!$B$10,Paramètres!$A$1:$I$89,5,0)</f>
        <v>2.7410932145138962</v>
      </c>
      <c r="AK10" s="13">
        <f t="shared" si="35"/>
        <v>1.1233149492242895</v>
      </c>
      <c r="AL10" s="20">
        <f t="shared" si="4"/>
        <v>6.730510885177341</v>
      </c>
      <c r="AM10" s="59">
        <f t="shared" si="5"/>
        <v>258.16606608869694</v>
      </c>
      <c r="AN10" s="59">
        <f ca="1">AVERAGE(OFFSET($AM$3,0,0,'Données projet'!$E$10+1,1))-AVERAGE(OFFSET($H$3,0,0,'Données projet'!$E$10+1,1))</f>
        <v>289.89907502443873</v>
      </c>
      <c r="AO10" s="59">
        <f t="shared" si="36"/>
        <v>267.42183550360301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1.153846153846154</v>
      </c>
      <c r="BD10" s="12">
        <f>IF('Données projet'!$A$88&gt;35,BD9+BC10-BL9,IF(A10&lt;'Données projet'!$A$88,$BA$205^A10,IF(A10='Données projet'!$A$88,'Données projet'!$B$88,BD9+BC10-BL9)))</f>
        <v>2.5634486150059219</v>
      </c>
      <c r="BE10" s="13">
        <f>BD10*VLOOKUP('Données projet'!$B$11,Paramètres!$A$1:$I$89,3,0)*VLOOKUP('Données projet'!$B$11,Paramètres!$A$1:$I$89,5,0)</f>
        <v>2.4793675004337277</v>
      </c>
      <c r="BF10" s="13">
        <f t="shared" si="37"/>
        <v>1.0279966225350374</v>
      </c>
      <c r="BG10" s="20">
        <f t="shared" si="7"/>
        <v>6.1086591808372646</v>
      </c>
      <c r="BH10" s="59">
        <f t="shared" si="8"/>
        <v>257.54421438435685</v>
      </c>
      <c r="BI10" s="59">
        <f ca="1">AVERAGE(OFFSET($BH$3,0,0,'Données projet'!$E$11+1,1))-AVERAGE(OFFSET($H$3,0,0,'Données projet'!$E$11+1,1))</f>
        <v>177.54241137663234</v>
      </c>
      <c r="BJ10" s="59">
        <f t="shared" si="38"/>
        <v>114.71095021456071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1.153846153846154</v>
      </c>
      <c r="BY10" s="12">
        <f>IF('Données projet'!$A$114&gt;35,BY9+BX10-CG9,IF(A10&lt;'Données projet'!$A$114,$BV$205^A10,IF(A10='Données projet'!$A$114,'Données projet'!$B$114,BY9+BX10-CG9)))</f>
        <v>2.5634486150059219</v>
      </c>
      <c r="BZ10" s="13">
        <f>BY10*VLOOKUP('Données projet'!$B$12,Paramètres!$A$1:$I$89,3,0)*VLOOKUP('Données projet'!$B$12,Paramètres!$A$1:$I$89,5,0)</f>
        <v>2.7592960891923739</v>
      </c>
      <c r="CA10" s="13">
        <f t="shared" si="39"/>
        <v>1.1299037435446173</v>
      </c>
      <c r="CB10" s="20">
        <f t="shared" si="10"/>
        <v>6.7736897086835919</v>
      </c>
      <c r="CC10" s="59">
        <f t="shared" si="11"/>
        <v>258.20924491220319</v>
      </c>
      <c r="CD10" s="59">
        <f ca="1">AVERAGE(OFFSET($CC$3,0,0,'Données projet'!$E$12+1,1))-AVERAGE(OFFSET($H$3,0,0,'Données projet'!$E$12+1,1))</f>
        <v>192.88977161349993</v>
      </c>
      <c r="CE10" s="59">
        <f t="shared" si="40"/>
        <v>122.91376861456772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1.7307692307692306</v>
      </c>
      <c r="CT10" s="12">
        <f>IF('Données projet'!$A$140&gt;35,CT9+CS10-DB9,IF(A10&lt;'Données projet'!$A$140,$CQ$205^A10,IF(A10='Données projet'!$A$140,'Données projet'!$B$140,CT9+CS10-DB9)))</f>
        <v>3.4573568427533137</v>
      </c>
      <c r="CU10" s="17">
        <f>CT10*VLOOKUP('Données projet'!$B$13,Paramètres!$A$1:$I$89,3,0)*VLOOKUP('Données projet'!$B$13,Paramètres!$A$1:$I$89,5,0)</f>
        <v>2.8046078708414881</v>
      </c>
      <c r="CV10" s="13">
        <f t="shared" si="41"/>
        <v>1.1462831152221158</v>
      </c>
      <c r="CW10" s="20">
        <f t="shared" si="13"/>
        <v>6.8811351340607763</v>
      </c>
      <c r="CX10" s="59">
        <f t="shared" si="14"/>
        <v>258.31669033758038</v>
      </c>
      <c r="CY10" s="59">
        <f ca="1">AVERAGE(OFFSET($CX$3,0,0,'Données projet'!$E$13+1,1))-AVERAGE(OFFSET($H$3,0,0,'Données projet'!$E$13+1,1))</f>
        <v>163.16040389635825</v>
      </c>
      <c r="CZ10" s="59">
        <f t="shared" si="42"/>
        <v>138.57856782158811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7.7715686274509812</v>
      </c>
      <c r="DO10" s="12">
        <f>IF('Données projet'!$A$166&gt;35,DO9+DN10-DW9,IF(A10&lt;'Données projet'!$A$166,$DL$205^A10,IF(A10='Données projet'!$A$166,'Données projet'!$B$166,DO9+DN10-DW9)))</f>
        <v>54.400980392156868</v>
      </c>
      <c r="DP10" s="17">
        <f>DO10*VLOOKUP('Données projet'!$B$14,Paramètres!$A$1:$I$89,3,0)*VLOOKUP('Données projet'!$B$14,Paramètres!$A$1:$I$89,5,0)</f>
        <v>25.459658823529416</v>
      </c>
      <c r="DQ10" s="13">
        <f t="shared" si="43"/>
        <v>8.0493980491936057</v>
      </c>
      <c r="DR10" s="20">
        <f t="shared" si="16"/>
        <v>58.361607386659266</v>
      </c>
      <c r="DS10" s="59">
        <f t="shared" si="17"/>
        <v>309.79716259017886</v>
      </c>
      <c r="DT10" s="59">
        <f ca="1">AVERAGE(OFFSET($DS$3,0,0,'Données projet'!$E$14+1,1))-AVERAGE(OFFSET($H$3,0,0,'Données projet'!$E$14+1,1))</f>
        <v>343.44193069803498</v>
      </c>
      <c r="DU10" s="59">
        <f t="shared" si="44"/>
        <v>280.67367019483481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1.8269230769230766</v>
      </c>
      <c r="EJ10" s="12">
        <f>IF('Données projet'!$A$192&gt;35,EJ9+EI10-ER9,IF(A10&lt;'Données projet'!$A$192,$EG$205^A10,IF(A10='Données projet'!$A$192,'Données projet'!$B$192,EJ9+EI10-ER9)))</f>
        <v>3.5234051927544003</v>
      </c>
      <c r="EK10" s="17">
        <f>EJ10*VLOOKUP('Données projet'!$B$15,Paramètres!$A$1:$I$89,3,0)*VLOOKUP('Données projet'!$B$15,Paramètres!$A$1:$I$89,5,0)</f>
        <v>3.572732865452962</v>
      </c>
      <c r="EL10" s="13">
        <f t="shared" si="45"/>
        <v>1.4196567329268457</v>
      </c>
      <c r="EM10" s="20">
        <f t="shared" si="19"/>
        <v>8.6950785505114965</v>
      </c>
      <c r="EN10" s="59">
        <f t="shared" si="20"/>
        <v>260.13063375403107</v>
      </c>
      <c r="EO10" s="59">
        <f ca="1">AVERAGE(OFFSET($EN$3,0,0,'Données projet'!$E$15+1,1))-AVERAGE(OFFSET($H$3,0,0,'Données projet'!$E$15+1,1))</f>
        <v>270.0029254736703</v>
      </c>
      <c r="EP10" s="59">
        <f t="shared" si="46"/>
        <v>183.80022202211441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4.711292808072157</v>
      </c>
      <c r="FG10" s="13">
        <f t="shared" si="47"/>
        <v>1.8127530905190552</v>
      </c>
      <c r="FH10" s="20">
        <f t="shared" si="22"/>
        <v>11.362713273379695</v>
      </c>
      <c r="FI10" s="59">
        <f t="shared" si="23"/>
        <v>262.7982684768993</v>
      </c>
      <c r="FJ10" s="59">
        <f ca="1">AVERAGE(OFFSET($FI$3,0,0,'Données projet'!$E$16+1,1))-AVERAGE(OFFSET($H$3,0,0,'Données projet'!$E$16+1,1))</f>
        <v>328.93328163316073</v>
      </c>
      <c r="FK10" s="59">
        <f t="shared" si="48"/>
        <v>320.27831321887072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1.8269230769230766</v>
      </c>
      <c r="FZ10" s="12">
        <f>IF('Données projet'!$A$244&gt;35,FZ9+FY10-GH9,IF(A10&lt;'Données projet'!$A$244,$FW$205^A10,IF(A10='Données projet'!$A$244,'Données projet'!$B$244,FZ9+FY10-GH9)))</f>
        <v>3.5234051927544003</v>
      </c>
      <c r="GA10" s="17">
        <f>FZ10*VLOOKUP('Données projet'!$B$17,Paramètres!$A$1:$I$89,3,0)*VLOOKUP('Données projet'!$B$17,Paramètres!$A$1:$I$89,5,0)</f>
        <v>2.3635002032996519</v>
      </c>
      <c r="GB10" s="13">
        <f t="shared" si="49"/>
        <v>0.98543011865338426</v>
      </c>
      <c r="GC10" s="20">
        <f t="shared" si="25"/>
        <v>5.8327203107348708</v>
      </c>
      <c r="GD10" s="59">
        <f t="shared" si="26"/>
        <v>257.26827551425447</v>
      </c>
      <c r="GE10" s="59">
        <f ca="1">AVERAGE(OFFSET($GD$3,0,0,'Données projet'!$E$17+1,1))-AVERAGE(OFFSET($H$3,0,0,'Données projet'!$E$17+1,1))</f>
        <v>192.88444860121191</v>
      </c>
      <c r="GF10" s="59">
        <f t="shared" si="50"/>
        <v>136.13737493732751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66.239999903990196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0.85000000000000009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3.1166666666666671</v>
      </c>
      <c r="H11" s="67">
        <f t="shared" si="1"/>
        <v>244.19999999999996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320.54622858824962</v>
      </c>
      <c r="S11" s="59">
        <f ca="1">AVERAGE(OFFSET($R$3,0,0,'Données projet'!$E$9+1,1))-AVERAGE(OFFSET($H$3,0,0,'Données projet'!$E$9+1,1))</f>
        <v>643.492472896403</v>
      </c>
      <c r="T11" s="59">
        <f t="shared" si="34"/>
        <v>285.0259479655341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3.56</v>
      </c>
      <c r="AI11" s="13">
        <f>IF('Données projet'!$A$62&gt;35,AI10+AH11-AQ10,IF(A11&lt;'Données projet'!$A$62,$AF$205^A11,IF(A11='Données projet'!$A$62,'Données projet'!$B$62,AI10+AH11-AQ10)))</f>
        <v>4.2053757120435398</v>
      </c>
      <c r="AJ11" s="13">
        <f>AI11*VLOOKUP('Données projet'!$B$10,Paramètres!$A$1:$I$89,3,0)*VLOOKUP('Données projet'!$B$10,Paramètres!$A$1:$I$89,5,0)</f>
        <v>3.2801930553939611</v>
      </c>
      <c r="AK11" s="13">
        <f t="shared" si="35"/>
        <v>1.3164391182645805</v>
      </c>
      <c r="AL11" s="20">
        <f t="shared" si="4"/>
        <v>8.0058010357886271</v>
      </c>
      <c r="AM11" s="59">
        <f t="shared" si="5"/>
        <v>260.902746311935</v>
      </c>
      <c r="AN11" s="59">
        <f ca="1">AVERAGE(OFFSET($AM$3,0,0,'Données projet'!$E$10+1,1))-AVERAGE(OFFSET($H$3,0,0,'Données projet'!$E$10+1,1))</f>
        <v>289.89907502443873</v>
      </c>
      <c r="AO11" s="59">
        <f t="shared" si="36"/>
        <v>267.42183550360301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1.153846153846154</v>
      </c>
      <c r="BD11" s="12">
        <f>IF('Données projet'!$A$88&gt;35,BD10+BC11-BL10,IF(A11&lt;'Données projet'!$A$88,$BA$205^A11,IF(A11='Données projet'!$A$88,'Données projet'!$B$88,BD10+BC11-BL10)))</f>
        <v>2.9324332347066164</v>
      </c>
      <c r="BE11" s="13">
        <f>BD11*VLOOKUP('Données projet'!$B$11,Paramètres!$A$1:$I$89,3,0)*VLOOKUP('Données projet'!$B$11,Paramètres!$A$1:$I$89,5,0)</f>
        <v>2.8362494246082393</v>
      </c>
      <c r="BF11" s="13">
        <f t="shared" si="37"/>
        <v>1.1577026704674183</v>
      </c>
      <c r="BG11" s="20">
        <f t="shared" si="7"/>
        <v>6.9561332322567706</v>
      </c>
      <c r="BH11" s="59">
        <f t="shared" si="8"/>
        <v>259.85307850840314</v>
      </c>
      <c r="BI11" s="59">
        <f ca="1">AVERAGE(OFFSET($BH$3,0,0,'Données projet'!$E$11+1,1))-AVERAGE(OFFSET($H$3,0,0,'Données projet'!$E$11+1,1))</f>
        <v>177.54241137663234</v>
      </c>
      <c r="BJ11" s="59">
        <f t="shared" si="38"/>
        <v>114.71095021456071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1.153846153846154</v>
      </c>
      <c r="BY11" s="12">
        <f>IF('Données projet'!$A$114&gt;35,BY10+BX11-CG10,IF(A11&lt;'Données projet'!$A$114,$BV$205^A11,IF(A11='Données projet'!$A$114,'Données projet'!$B$114,BY10+BX11-CG10)))</f>
        <v>2.9324332347066164</v>
      </c>
      <c r="BZ11" s="13">
        <f>BY11*VLOOKUP('Données projet'!$B$12,Paramètres!$A$1:$I$89,3,0)*VLOOKUP('Données projet'!$B$12,Paramètres!$A$1:$I$89,5,0)</f>
        <v>3.1564711338382017</v>
      </c>
      <c r="CA11" s="13">
        <f t="shared" si="39"/>
        <v>1.2724677811168124</v>
      </c>
      <c r="CB11" s="20">
        <f t="shared" si="10"/>
        <v>7.7137352768799827</v>
      </c>
      <c r="CC11" s="59">
        <f t="shared" si="11"/>
        <v>260.61068055302638</v>
      </c>
      <c r="CD11" s="59">
        <f ca="1">AVERAGE(OFFSET($CC$3,0,0,'Données projet'!$E$12+1,1))-AVERAGE(OFFSET($H$3,0,0,'Données projet'!$E$12+1,1))</f>
        <v>192.88977161349993</v>
      </c>
      <c r="CE11" s="59">
        <f t="shared" si="40"/>
        <v>122.91376861456772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1.7307692307692306</v>
      </c>
      <c r="CT11" s="12">
        <f>IF('Données projet'!$A$140&gt;35,CT10+CS11-DB10,IF(A11&lt;'Données projet'!$A$140,$CQ$205^A11,IF(A11='Données projet'!$A$140,'Données projet'!$B$140,CT10+CS11-DB10)))</f>
        <v>4.1276956205183506</v>
      </c>
      <c r="CU11" s="17">
        <f>CT11*VLOOKUP('Données projet'!$B$13,Paramètres!$A$1:$I$89,3,0)*VLOOKUP('Données projet'!$B$13,Paramètres!$A$1:$I$89,5,0)</f>
        <v>3.3483866873644863</v>
      </c>
      <c r="CV11" s="13">
        <f t="shared" si="41"/>
        <v>1.340592566226567</v>
      </c>
      <c r="CW11" s="20">
        <f t="shared" si="13"/>
        <v>8.1666388666710859</v>
      </c>
      <c r="CX11" s="59">
        <f t="shared" si="14"/>
        <v>261.06358414281749</v>
      </c>
      <c r="CY11" s="59">
        <f ca="1">AVERAGE(OFFSET($CX$3,0,0,'Données projet'!$E$13+1,1))-AVERAGE(OFFSET($H$3,0,0,'Données projet'!$E$13+1,1))</f>
        <v>163.16040389635825</v>
      </c>
      <c r="CZ11" s="59">
        <f t="shared" si="42"/>
        <v>138.57856782158811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7.7715686274509812</v>
      </c>
      <c r="DO11" s="12">
        <f>IF('Données projet'!$A$166&gt;35,DO10+DN11-DW10,IF(A11&lt;'Données projet'!$A$166,$DL$205^A11,IF(A11='Données projet'!$A$166,'Données projet'!$B$166,DO10+DN11-DW10)))</f>
        <v>62.17254901960785</v>
      </c>
      <c r="DP11" s="17">
        <f>DO11*VLOOKUP('Données projet'!$B$14,Paramètres!$A$1:$I$89,3,0)*VLOOKUP('Données projet'!$B$14,Paramètres!$A$1:$I$89,5,0)</f>
        <v>29.096752941176472</v>
      </c>
      <c r="DQ11" s="13">
        <f t="shared" si="43"/>
        <v>9.0574321312547941</v>
      </c>
      <c r="DR11" s="20">
        <f t="shared" si="16"/>
        <v>66.451872334484463</v>
      </c>
      <c r="DS11" s="59">
        <f t="shared" si="17"/>
        <v>319.34881761063087</v>
      </c>
      <c r="DT11" s="59">
        <f ca="1">AVERAGE(OFFSET($DS$3,0,0,'Données projet'!$E$14+1,1))-AVERAGE(OFFSET($H$3,0,0,'Données projet'!$E$14+1,1))</f>
        <v>343.44193069803498</v>
      </c>
      <c r="DU11" s="59">
        <f t="shared" si="44"/>
        <v>280.67367019483481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1.8269230769230766</v>
      </c>
      <c r="EJ11" s="12">
        <f>IF('Données projet'!$A$192&gt;35,EJ10+EI11-ER10,IF(A11&lt;'Données projet'!$A$192,$EG$205^A11,IF(A11='Données projet'!$A$192,'Données projet'!$B$192,EJ10+EI11-ER10)))</f>
        <v>4.2179371378119113</v>
      </c>
      <c r="EK11" s="17">
        <f>EJ11*VLOOKUP('Données projet'!$B$15,Paramètres!$A$1:$I$89,3,0)*VLOOKUP('Données projet'!$B$15,Paramètres!$A$1:$I$89,5,0)</f>
        <v>4.2769882577412783</v>
      </c>
      <c r="EL11" s="13">
        <f t="shared" si="45"/>
        <v>1.6642771590265577</v>
      </c>
      <c r="EM11" s="20">
        <f t="shared" si="19"/>
        <v>10.347703934203979</v>
      </c>
      <c r="EN11" s="59">
        <f t="shared" si="20"/>
        <v>263.24464921035036</v>
      </c>
      <c r="EO11" s="59">
        <f ca="1">AVERAGE(OFFSET($EN$3,0,0,'Données projet'!$E$15+1,1))-AVERAGE(OFFSET($H$3,0,0,'Données projet'!$E$15+1,1))</f>
        <v>270.0029254736703</v>
      </c>
      <c r="EP11" s="59">
        <f t="shared" si="46"/>
        <v>183.80022202211441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5.9935878898502795</v>
      </c>
      <c r="FG11" s="13">
        <f t="shared" si="47"/>
        <v>2.2424160357272664</v>
      </c>
      <c r="FH11" s="20">
        <f t="shared" si="22"/>
        <v>14.344373503714223</v>
      </c>
      <c r="FI11" s="59">
        <f t="shared" si="23"/>
        <v>267.24131877986065</v>
      </c>
      <c r="FJ11" s="59">
        <f ca="1">AVERAGE(OFFSET($FI$3,0,0,'Données projet'!$E$16+1,1))-AVERAGE(OFFSET($H$3,0,0,'Données projet'!$E$16+1,1))</f>
        <v>328.93328163316073</v>
      </c>
      <c r="FK11" s="59">
        <f t="shared" si="48"/>
        <v>320.27831321887072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1.8269230769230766</v>
      </c>
      <c r="FZ11" s="12">
        <f>IF('Données projet'!$A$244&gt;35,FZ10+FY11-GH10,IF(A11&lt;'Données projet'!$A$244,$FW$205^A11,IF(A11='Données projet'!$A$244,'Données projet'!$B$244,FZ10+FY11-GH10)))</f>
        <v>4.2179371378119113</v>
      </c>
      <c r="GA11" s="17">
        <f>FZ11*VLOOKUP('Données projet'!$B$17,Paramètres!$A$1:$I$89,3,0)*VLOOKUP('Données projet'!$B$17,Paramètres!$A$1:$I$89,5,0)</f>
        <v>2.82939223204423</v>
      </c>
      <c r="GB11" s="13">
        <f t="shared" si="49"/>
        <v>1.1552291481832231</v>
      </c>
      <c r="GC11" s="20">
        <f t="shared" si="25"/>
        <v>6.9398822372294804</v>
      </c>
      <c r="GD11" s="59">
        <f t="shared" si="26"/>
        <v>259.83682751337585</v>
      </c>
      <c r="GE11" s="59">
        <f ca="1">AVERAGE(OFFSET($GD$3,0,0,'Données projet'!$E$17+1,1))-AVERAGE(OFFSET($H$3,0,0,'Données projet'!$E$17+1,1))</f>
        <v>192.88444860121191</v>
      </c>
      <c r="GF11" s="59">
        <f t="shared" si="50"/>
        <v>136.13737493732751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66.305227499555073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0.85000000000000009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3.1166666666666671</v>
      </c>
      <c r="H12" s="67">
        <f t="shared" si="1"/>
        <v>244.19999999999996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330.21402772559094</v>
      </c>
      <c r="S12" s="59">
        <f ca="1">AVERAGE(OFFSET($R$3,0,0,'Données projet'!$E$9+1,1))-AVERAGE(OFFSET($H$3,0,0,'Données projet'!$E$9+1,1))</f>
        <v>643.492472896403</v>
      </c>
      <c r="T12" s="59">
        <f t="shared" si="34"/>
        <v>285.0259479655341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3.56</v>
      </c>
      <c r="AI12" s="13">
        <f>IF('Données projet'!$A$62&gt;35,AI11+AH12-AQ11,IF(A12&lt;'Données projet'!$A$62,$AF$205^A12,IF(A12='Données projet'!$A$62,'Données projet'!$B$62,AI11+AH12-AQ11)))</f>
        <v>5.0324608199849017</v>
      </c>
      <c r="AJ12" s="13">
        <f>AI12*VLOOKUP('Données projet'!$B$10,Paramètres!$A$1:$I$89,3,0)*VLOOKUP('Données projet'!$B$10,Paramètres!$A$1:$I$89,5,0)</f>
        <v>3.9253194395882236</v>
      </c>
      <c r="AK12" s="13">
        <f t="shared" si="35"/>
        <v>1.5427658585813051</v>
      </c>
      <c r="AL12" s="20">
        <f t="shared" si="4"/>
        <v>9.5235818943119295</v>
      </c>
      <c r="AM12" s="59">
        <f t="shared" si="5"/>
        <v>263.87776821557975</v>
      </c>
      <c r="AN12" s="59">
        <f ca="1">AVERAGE(OFFSET($AM$3,0,0,'Données projet'!$E$10+1,1))-AVERAGE(OFFSET($H$3,0,0,'Données projet'!$E$10+1,1))</f>
        <v>289.89907502443873</v>
      </c>
      <c r="AO12" s="59">
        <f t="shared" si="36"/>
        <v>267.42183550360301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1.153846153846154</v>
      </c>
      <c r="BD12" s="12">
        <f>IF('Données projet'!$A$88&gt;35,BD11+BC12-BL11,IF(A12&lt;'Données projet'!$A$88,$BA$205^A12,IF(A12='Données projet'!$A$88,'Données projet'!$B$88,BD11+BC12-BL11)))</f>
        <v>3.3545297634109366</v>
      </c>
      <c r="BE12" s="13">
        <f>BD12*VLOOKUP('Données projet'!$B$11,Paramètres!$A$1:$I$89,3,0)*VLOOKUP('Données projet'!$B$11,Paramètres!$A$1:$I$89,5,0)</f>
        <v>3.2445011871710578</v>
      </c>
      <c r="BF12" s="13">
        <f t="shared" si="37"/>
        <v>1.3037741990846961</v>
      </c>
      <c r="BG12" s="20">
        <f t="shared" si="7"/>
        <v>7.9215796310621043</v>
      </c>
      <c r="BH12" s="59">
        <f t="shared" si="8"/>
        <v>262.27576595232989</v>
      </c>
      <c r="BI12" s="59">
        <f ca="1">AVERAGE(OFFSET($BH$3,0,0,'Données projet'!$E$11+1,1))-AVERAGE(OFFSET($H$3,0,0,'Données projet'!$E$11+1,1))</f>
        <v>177.54241137663234</v>
      </c>
      <c r="BJ12" s="59">
        <f t="shared" si="38"/>
        <v>114.71095021456071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1.153846153846154</v>
      </c>
      <c r="BY12" s="12">
        <f>IF('Données projet'!$A$114&gt;35,BY11+BX12-CG11,IF(A12&lt;'Données projet'!$A$114,$BV$205^A12,IF(A12='Données projet'!$A$114,'Données projet'!$B$114,BY11+BX12-CG11)))</f>
        <v>3.3545297634109366</v>
      </c>
      <c r="BZ12" s="13">
        <f>BY12*VLOOKUP('Données projet'!$B$12,Paramètres!$A$1:$I$89,3,0)*VLOOKUP('Données projet'!$B$12,Paramètres!$A$1:$I$89,5,0)</f>
        <v>3.6108158373355317</v>
      </c>
      <c r="CA12" s="13">
        <f t="shared" si="39"/>
        <v>1.4330196383816174</v>
      </c>
      <c r="CB12" s="20">
        <f t="shared" si="10"/>
        <v>8.7846801202073674</v>
      </c>
      <c r="CC12" s="59">
        <f t="shared" si="11"/>
        <v>263.13886644147516</v>
      </c>
      <c r="CD12" s="59">
        <f ca="1">AVERAGE(OFFSET($CC$3,0,0,'Données projet'!$E$12+1,1))-AVERAGE(OFFSET($H$3,0,0,'Données projet'!$E$12+1,1))</f>
        <v>192.88977161349993</v>
      </c>
      <c r="CE12" s="59">
        <f t="shared" si="40"/>
        <v>122.91376861456772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1.7307692307692306</v>
      </c>
      <c r="CT12" s="12">
        <f>IF('Données projet'!$A$140&gt;35,CT11+CS12-DB11,IF(A12&lt;'Données projet'!$A$140,$CQ$205^A12,IF(A12='Données projet'!$A$140,'Données projet'!$B$140,CT11+CS12-DB11)))</f>
        <v>4.9280048055664478</v>
      </c>
      <c r="CU12" s="17">
        <f>CT12*VLOOKUP('Données projet'!$B$13,Paramètres!$A$1:$I$89,3,0)*VLOOKUP('Données projet'!$B$13,Paramètres!$A$1:$I$89,5,0)</f>
        <v>3.9975974982755029</v>
      </c>
      <c r="CV12" s="13">
        <f t="shared" si="41"/>
        <v>1.5678399208328997</v>
      </c>
      <c r="CW12" s="20">
        <f t="shared" si="13"/>
        <v>9.6931368382804681</v>
      </c>
      <c r="CX12" s="59">
        <f t="shared" si="14"/>
        <v>264.04732315954828</v>
      </c>
      <c r="CY12" s="59">
        <f ca="1">AVERAGE(OFFSET($CX$3,0,0,'Données projet'!$E$13+1,1))-AVERAGE(OFFSET($H$3,0,0,'Données projet'!$E$13+1,1))</f>
        <v>163.16040389635825</v>
      </c>
      <c r="CZ12" s="59">
        <f t="shared" si="42"/>
        <v>138.57856782158811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7.7715686274509812</v>
      </c>
      <c r="DO12" s="12">
        <f>IF('Données projet'!$A$166&gt;35,DO11+DN12-DW11,IF(A12&lt;'Données projet'!$A$166,$DL$205^A12,IF(A12='Données projet'!$A$166,'Données projet'!$B$166,DO11+DN12-DW11)))</f>
        <v>69.944117647058832</v>
      </c>
      <c r="DP12" s="17">
        <f>DO12*VLOOKUP('Données projet'!$B$14,Paramètres!$A$1:$I$89,3,0)*VLOOKUP('Données projet'!$B$14,Paramètres!$A$1:$I$89,5,0)</f>
        <v>32.733847058823535</v>
      </c>
      <c r="DQ12" s="13">
        <f t="shared" si="43"/>
        <v>10.050865407189132</v>
      </c>
      <c r="DR12" s="20">
        <f t="shared" si="16"/>
        <v>74.51670754497205</v>
      </c>
      <c r="DS12" s="59">
        <f t="shared" si="17"/>
        <v>328.87089386623984</v>
      </c>
      <c r="DT12" s="59">
        <f ca="1">AVERAGE(OFFSET($DS$3,0,0,'Données projet'!$E$14+1,1))-AVERAGE(OFFSET($H$3,0,0,'Données projet'!$E$14+1,1))</f>
        <v>343.44193069803498</v>
      </c>
      <c r="DU12" s="59">
        <f t="shared" si="44"/>
        <v>280.67367019483481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1.8269230769230766</v>
      </c>
      <c r="EJ12" s="12">
        <f>IF('Données projet'!$A$192&gt;35,EJ11+EI12-ER11,IF(A12&lt;'Données projet'!$A$192,$EG$205^A12,IF(A12='Données projet'!$A$192,'Données projet'!$B$192,EJ11+EI12-ER11)))</f>
        <v>5.0493748874295479</v>
      </c>
      <c r="EK12" s="17">
        <f>EJ12*VLOOKUP('Données projet'!$B$15,Paramètres!$A$1:$I$89,3,0)*VLOOKUP('Données projet'!$B$15,Paramètres!$A$1:$I$89,5,0)</f>
        <v>5.1200661358535617</v>
      </c>
      <c r="EL12" s="13">
        <f t="shared" si="45"/>
        <v>1.9510480229591083</v>
      </c>
      <c r="EM12" s="20">
        <f t="shared" si="19"/>
        <v>12.315523826598733</v>
      </c>
      <c r="EN12" s="59">
        <f t="shared" si="20"/>
        <v>266.66971014786651</v>
      </c>
      <c r="EO12" s="59">
        <f ca="1">AVERAGE(OFFSET($EN$3,0,0,'Données projet'!$E$15+1,1))-AVERAGE(OFFSET($H$3,0,0,'Données projet'!$E$15+1,1))</f>
        <v>270.0029254736703</v>
      </c>
      <c r="EP12" s="59">
        <f t="shared" si="46"/>
        <v>183.80022202211441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7.6248913529234681</v>
      </c>
      <c r="FG12" s="13">
        <f t="shared" si="47"/>
        <v>2.7739186895259813</v>
      </c>
      <c r="FH12" s="20">
        <f t="shared" si="22"/>
        <v>18.111260823932788</v>
      </c>
      <c r="FI12" s="59">
        <f t="shared" si="23"/>
        <v>272.46544714520059</v>
      </c>
      <c r="FJ12" s="59">
        <f ca="1">AVERAGE(OFFSET($FI$3,0,0,'Données projet'!$E$16+1,1))-AVERAGE(OFFSET($H$3,0,0,'Données projet'!$E$16+1,1))</f>
        <v>328.93328163316073</v>
      </c>
      <c r="FK12" s="59">
        <f t="shared" si="48"/>
        <v>320.27831321887072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1.8269230769230766</v>
      </c>
      <c r="FZ12" s="12">
        <f>IF('Données projet'!$A$244&gt;35,FZ11+FY12-GH11,IF(A12&lt;'Données projet'!$A$244,$FW$205^A12,IF(A12='Données projet'!$A$244,'Données projet'!$B$244,FZ11+FY12-GH11)))</f>
        <v>5.0493748874295479</v>
      </c>
      <c r="GA12" s="17">
        <f>FZ12*VLOOKUP('Données projet'!$B$17,Paramètres!$A$1:$I$89,3,0)*VLOOKUP('Données projet'!$B$17,Paramètres!$A$1:$I$89,5,0)</f>
        <v>3.3871206744877407</v>
      </c>
      <c r="GB12" s="13">
        <f t="shared" si="49"/>
        <v>1.3542861736718972</v>
      </c>
      <c r="GC12" s="20">
        <f t="shared" si="25"/>
        <v>8.2579502605447033</v>
      </c>
      <c r="GD12" s="59">
        <f t="shared" si="26"/>
        <v>262.61213658181248</v>
      </c>
      <c r="GE12" s="59">
        <f ca="1">AVERAGE(OFFSET($GD$3,0,0,'Données projet'!$E$17+1,1))-AVERAGE(OFFSET($H$3,0,0,'Données projet'!$E$17+1,1))</f>
        <v>192.88444860121191</v>
      </c>
      <c r="GF12" s="59">
        <f t="shared" si="50"/>
        <v>136.13737493732751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66.369323542163954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0.85000000000000009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3.1166666666666671</v>
      </c>
      <c r="H13" s="67">
        <f t="shared" si="1"/>
        <v>244.19999999999996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339.85510337181466</v>
      </c>
      <c r="S13" s="59">
        <f ca="1">AVERAGE(OFFSET($R$3,0,0,'Données projet'!$E$9+1,1))-AVERAGE(OFFSET($H$3,0,0,'Données projet'!$E$9+1,1))</f>
        <v>643.492472896403</v>
      </c>
      <c r="T13" s="59">
        <f t="shared" si="34"/>
        <v>285.0259479655341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3.56</v>
      </c>
      <c r="AI13" s="13">
        <f>IF('Données projet'!$A$62&gt;35,AI12+AH13-AQ12,IF(A13&lt;'Données projet'!$A$62,$AF$205^A13,IF(A13='Données projet'!$A$62,'Données projet'!$B$62,AI12+AH13-AQ12)))</f>
        <v>6.0222114833056102</v>
      </c>
      <c r="AJ13" s="13">
        <f>AI13*VLOOKUP('Données projet'!$B$10,Paramètres!$A$1:$I$89,3,0)*VLOOKUP('Données projet'!$B$10,Paramètres!$A$1:$I$89,5,0)</f>
        <v>4.6973249569783757</v>
      </c>
      <c r="AK13" s="13">
        <f t="shared" si="35"/>
        <v>1.8080034704086858</v>
      </c>
      <c r="AL13" s="20">
        <f t="shared" si="4"/>
        <v>11.330113677699131</v>
      </c>
      <c r="AM13" s="59">
        <f t="shared" si="5"/>
        <v>267.1374639929345</v>
      </c>
      <c r="AN13" s="59">
        <f ca="1">AVERAGE(OFFSET($AM$3,0,0,'Données projet'!$E$10+1,1))-AVERAGE(OFFSET($H$3,0,0,'Données projet'!$E$10+1,1))</f>
        <v>289.89907502443873</v>
      </c>
      <c r="AO13" s="59">
        <f t="shared" si="36"/>
        <v>267.42183550360301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1.153846153846154</v>
      </c>
      <c r="BD13" s="12">
        <f>IF('Données projet'!$A$88&gt;35,BD12+BC13-BL12,IF(A13&lt;'Données projet'!$A$88,$BA$205^A13,IF(A13='Données projet'!$A$88,'Données projet'!$B$88,BD12+BC13-BL12)))</f>
        <v>3.8373831671348042</v>
      </c>
      <c r="BE13" s="13">
        <f>BD13*VLOOKUP('Données projet'!$B$11,Paramètres!$A$1:$I$89,3,0)*VLOOKUP('Données projet'!$B$11,Paramètres!$A$1:$I$89,5,0)</f>
        <v>3.7115169992527832</v>
      </c>
      <c r="BF13" s="13">
        <f t="shared" si="37"/>
        <v>1.4682761002120193</v>
      </c>
      <c r="BG13" s="20">
        <f t="shared" si="7"/>
        <v>9.0214729815678627</v>
      </c>
      <c r="BH13" s="59">
        <f t="shared" si="8"/>
        <v>264.82882329680325</v>
      </c>
      <c r="BI13" s="59">
        <f ca="1">AVERAGE(OFFSET($BH$3,0,0,'Données projet'!$E$11+1,1))-AVERAGE(OFFSET($H$3,0,0,'Données projet'!$E$11+1,1))</f>
        <v>177.54241137663234</v>
      </c>
      <c r="BJ13" s="59">
        <f t="shared" si="38"/>
        <v>114.71095021456071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1.153846153846154</v>
      </c>
      <c r="BY13" s="12">
        <f>IF('Données projet'!$A$114&gt;35,BY12+BX13-CG12,IF(A13&lt;'Données projet'!$A$114,$BV$205^A13,IF(A13='Données projet'!$A$114,'Données projet'!$B$114,BY12+BX13-CG12)))</f>
        <v>3.8373831671348042</v>
      </c>
      <c r="BZ13" s="13">
        <f>BY13*VLOOKUP('Données projet'!$B$12,Paramètres!$A$1:$I$89,3,0)*VLOOKUP('Données projet'!$B$12,Paramètres!$A$1:$I$89,5,0)</f>
        <v>4.1305592411039029</v>
      </c>
      <c r="CA13" s="13">
        <f t="shared" si="39"/>
        <v>1.6138289035381608</v>
      </c>
      <c r="CB13" s="20">
        <f t="shared" si="10"/>
        <v>10.00480935191826</v>
      </c>
      <c r="CC13" s="59">
        <f t="shared" si="11"/>
        <v>265.81215966715365</v>
      </c>
      <c r="CD13" s="59">
        <f ca="1">AVERAGE(OFFSET($CC$3,0,0,'Données projet'!$E$12+1,1))-AVERAGE(OFFSET($H$3,0,0,'Données projet'!$E$12+1,1))</f>
        <v>192.88977161349993</v>
      </c>
      <c r="CE13" s="59">
        <f t="shared" si="40"/>
        <v>122.91376861456772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1.7307692307692306</v>
      </c>
      <c r="CT13" s="12">
        <f>IF('Données projet'!$A$140&gt;35,CT12+CS13-DB12,IF(A13&lt;'Données projet'!$A$140,$CQ$205^A13,IF(A13='Données projet'!$A$140,'Données projet'!$B$140,CT12+CS13-DB12)))</f>
        <v>5.8834840541455176</v>
      </c>
      <c r="CU13" s="17">
        <f>CT13*VLOOKUP('Données projet'!$B$13,Paramètres!$A$1:$I$89,3,0)*VLOOKUP('Données projet'!$B$13,Paramètres!$A$1:$I$89,5,0)</f>
        <v>4.7726822647228442</v>
      </c>
      <c r="CV13" s="13">
        <f t="shared" si="41"/>
        <v>1.8336085692883652</v>
      </c>
      <c r="CW13" s="20">
        <f t="shared" si="13"/>
        <v>11.505956535902856</v>
      </c>
      <c r="CX13" s="59">
        <f t="shared" si="14"/>
        <v>267.31330685113824</v>
      </c>
      <c r="CY13" s="59">
        <f ca="1">AVERAGE(OFFSET($CX$3,0,0,'Données projet'!$E$13+1,1))-AVERAGE(OFFSET($H$3,0,0,'Données projet'!$E$13+1,1))</f>
        <v>163.16040389635825</v>
      </c>
      <c r="CZ13" s="59">
        <f t="shared" si="42"/>
        <v>138.57856782158811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7.7715686274509812</v>
      </c>
      <c r="DO13" s="12">
        <f>IF('Données projet'!$A$166&gt;35,DO12+DN13-DW12,IF(A13&lt;'Données projet'!$A$166,$DL$205^A13,IF(A13='Données projet'!$A$166,'Données projet'!$B$166,DO12+DN13-DW12)))</f>
        <v>77.715686274509807</v>
      </c>
      <c r="DP13" s="17">
        <f>DO13*VLOOKUP('Données projet'!$B$14,Paramètres!$A$1:$I$89,3,0)*VLOOKUP('Données projet'!$B$14,Paramètres!$A$1:$I$89,5,0)</f>
        <v>36.370941176470588</v>
      </c>
      <c r="DQ13" s="13">
        <f t="shared" si="43"/>
        <v>11.031505249173463</v>
      </c>
      <c r="DR13" s="20">
        <f t="shared" si="16"/>
        <v>82.559260857996719</v>
      </c>
      <c r="DS13" s="59">
        <f t="shared" si="17"/>
        <v>338.36661117323206</v>
      </c>
      <c r="DT13" s="59">
        <f ca="1">AVERAGE(OFFSET($DS$3,0,0,'Données projet'!$E$14+1,1))-AVERAGE(OFFSET($H$3,0,0,'Données projet'!$E$14+1,1))</f>
        <v>343.44193069803498</v>
      </c>
      <c r="DU13" s="59">
        <f t="shared" si="44"/>
        <v>280.67367019483481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1.8269230769230766</v>
      </c>
      <c r="EJ13" s="12">
        <f>IF('Données projet'!$A$192&gt;35,EJ12+EI13-ER12,IF(A13&lt;'Données projet'!$A$192,$EG$205^A13,IF(A13='Données projet'!$A$192,'Données projet'!$B$192,EJ12+EI13-ER12)))</f>
        <v>6.0447052482698957</v>
      </c>
      <c r="EK13" s="17">
        <f>EJ13*VLOOKUP('Données projet'!$B$15,Paramètres!$A$1:$I$89,3,0)*VLOOKUP('Données projet'!$B$15,Paramètres!$A$1:$I$89,5,0)</f>
        <v>6.1293311217456745</v>
      </c>
      <c r="EL13" s="13">
        <f t="shared" si="45"/>
        <v>2.2872322480945022</v>
      </c>
      <c r="EM13" s="20">
        <f t="shared" si="19"/>
        <v>14.658847869138306</v>
      </c>
      <c r="EN13" s="59">
        <f t="shared" si="20"/>
        <v>270.4661981843737</v>
      </c>
      <c r="EO13" s="59">
        <f ca="1">AVERAGE(OFFSET($EN$3,0,0,'Données projet'!$E$15+1,1))-AVERAGE(OFFSET($H$3,0,0,'Données projet'!$E$15+1,1))</f>
        <v>270.0029254736703</v>
      </c>
      <c r="EP13" s="59">
        <f t="shared" si="46"/>
        <v>183.80022202211441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9.7001944765574137</v>
      </c>
      <c r="FG13" s="13">
        <f t="shared" si="47"/>
        <v>3.4313993360317685</v>
      </c>
      <c r="FH13" s="20">
        <f t="shared" si="22"/>
        <v>22.870859223592827</v>
      </c>
      <c r="FI13" s="59">
        <f t="shared" si="23"/>
        <v>278.67820953882818</v>
      </c>
      <c r="FJ13" s="59">
        <f ca="1">AVERAGE(OFFSET($FI$3,0,0,'Données projet'!$E$16+1,1))-AVERAGE(OFFSET($H$3,0,0,'Données projet'!$E$16+1,1))</f>
        <v>328.93328163316073</v>
      </c>
      <c r="FK13" s="59">
        <f t="shared" si="48"/>
        <v>320.27831321887072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1.8269230769230766</v>
      </c>
      <c r="FZ13" s="12">
        <f>IF('Données projet'!$A$244&gt;35,FZ12+FY13-GH12,IF(A13&lt;'Données projet'!$A$244,$FW$205^A13,IF(A13='Données projet'!$A$244,'Données projet'!$B$244,FZ12+FY13-GH12)))</f>
        <v>6.0447052482698957</v>
      </c>
      <c r="GA13" s="17">
        <f>FZ13*VLOOKUP('Données projet'!$B$17,Paramètres!$A$1:$I$89,3,0)*VLOOKUP('Données projet'!$B$17,Paramètres!$A$1:$I$89,5,0)</f>
        <v>4.0547882805394462</v>
      </c>
      <c r="GB13" s="13">
        <f t="shared" si="49"/>
        <v>1.5876426275109665</v>
      </c>
      <c r="GC13" s="20">
        <f t="shared" si="25"/>
        <v>9.8272338315211361</v>
      </c>
      <c r="GD13" s="59">
        <f t="shared" si="26"/>
        <v>265.63458414675648</v>
      </c>
      <c r="GE13" s="59">
        <f ca="1">AVERAGE(OFFSET($GD$3,0,0,'Données projet'!$E$17+1,1))-AVERAGE(OFFSET($H$3,0,0,'Données projet'!$E$17+1,1))</f>
        <v>192.88444860121191</v>
      </c>
      <c r="GF13" s="59">
        <f t="shared" si="50"/>
        <v>136.13737493732751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66.43230766173086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0.85000000000000009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3.1166666666666671</v>
      </c>
      <c r="H14" s="67">
        <f t="shared" si="1"/>
        <v>244.19999999999996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349.47204869922456</v>
      </c>
      <c r="S14" s="59">
        <f ca="1">AVERAGE(OFFSET($R$3,0,0,'Données projet'!$E$9+1,1))-AVERAGE(OFFSET($H$3,0,0,'Données projet'!$E$9+1,1))</f>
        <v>643.492472896403</v>
      </c>
      <c r="T14" s="59">
        <f t="shared" si="34"/>
        <v>285.0259479655341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3.56</v>
      </c>
      <c r="AI14" s="13">
        <f>IF('Données projet'!$A$62&gt;35,AI13+AH14-AQ13,IF(A14&lt;'Données projet'!$A$62,$AF$205^A14,IF(A14='Données projet'!$A$62,'Données projet'!$B$62,AI13+AH14-AQ13)))</f>
        <v>7.206619673149639</v>
      </c>
      <c r="AJ14" s="13">
        <f>AI14*VLOOKUP('Données projet'!$B$10,Paramètres!$A$1:$I$89,3,0)*VLOOKUP('Données projet'!$B$10,Paramètres!$A$1:$I$89,5,0)</f>
        <v>5.6211633450567184</v>
      </c>
      <c r="AK14" s="13">
        <f t="shared" si="35"/>
        <v>2.1188416445874947</v>
      </c>
      <c r="AL14" s="20">
        <f t="shared" si="4"/>
        <v>13.480508690297002</v>
      </c>
      <c r="AM14" s="59">
        <f t="shared" si="5"/>
        <v>270.73701667606866</v>
      </c>
      <c r="AN14" s="59">
        <f ca="1">AVERAGE(OFFSET($AM$3,0,0,'Données projet'!$E$10+1,1))-AVERAGE(OFFSET($H$3,0,0,'Données projet'!$E$10+1,1))</f>
        <v>289.89907502443873</v>
      </c>
      <c r="AO14" s="59">
        <f t="shared" si="36"/>
        <v>267.42183550360301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1.153846153846154</v>
      </c>
      <c r="BD14" s="12">
        <f>IF('Données projet'!$A$88&gt;35,BD13+BC14-BL13,IF(A14&lt;'Données projet'!$A$88,$BA$205^A14,IF(A14='Données projet'!$A$88,'Données projet'!$B$88,BD13+BC14-BL13)))</f>
        <v>4.3897388337483161</v>
      </c>
      <c r="BE14" s="13">
        <f>BD14*VLOOKUP('Données projet'!$B$11,Paramètres!$A$1:$I$89,3,0)*VLOOKUP('Données projet'!$B$11,Paramètres!$A$1:$I$89,5,0)</f>
        <v>4.2457554000013715</v>
      </c>
      <c r="BF14" s="13">
        <f t="shared" si="37"/>
        <v>1.6535338005363975</v>
      </c>
      <c r="BG14" s="20">
        <f t="shared" si="7"/>
        <v>10.27459535760328</v>
      </c>
      <c r="BH14" s="59">
        <f t="shared" si="8"/>
        <v>267.53110334337492</v>
      </c>
      <c r="BI14" s="59">
        <f ca="1">AVERAGE(OFFSET($BH$3,0,0,'Données projet'!$E$11+1,1))-AVERAGE(OFFSET($H$3,0,0,'Données projet'!$E$11+1,1))</f>
        <v>177.54241137663234</v>
      </c>
      <c r="BJ14" s="59">
        <f t="shared" si="38"/>
        <v>114.71095021456071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1.153846153846154</v>
      </c>
      <c r="BY14" s="12">
        <f>IF('Données projet'!$A$114&gt;35,BY13+BX14-CG13,IF(A14&lt;'Données projet'!$A$114,$BV$205^A14,IF(A14='Données projet'!$A$114,'Données projet'!$B$114,BY13+BX14-CG13)))</f>
        <v>4.3897388337483161</v>
      </c>
      <c r="BZ14" s="13">
        <f>BY14*VLOOKUP('Données projet'!$B$12,Paramètres!$A$1:$I$89,3,0)*VLOOKUP('Données projet'!$B$12,Paramètres!$A$1:$I$89,5,0)</f>
        <v>4.7251148806466867</v>
      </c>
      <c r="CA14" s="13">
        <f t="shared" si="39"/>
        <v>1.8174515269284899</v>
      </c>
      <c r="CB14" s="20">
        <f t="shared" si="10"/>
        <v>11.394969826526763</v>
      </c>
      <c r="CC14" s="59">
        <f t="shared" si="11"/>
        <v>268.65147781229842</v>
      </c>
      <c r="CD14" s="59">
        <f ca="1">AVERAGE(OFFSET($CC$3,0,0,'Données projet'!$E$12+1,1))-AVERAGE(OFFSET($H$3,0,0,'Données projet'!$E$12+1,1))</f>
        <v>192.88977161349993</v>
      </c>
      <c r="CE14" s="59">
        <f t="shared" si="40"/>
        <v>122.91376861456772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1.7307692307692306</v>
      </c>
      <c r="CT14" s="12">
        <f>IF('Données projet'!$A$140&gt;35,CT13+CS14-DB13,IF(A14&lt;'Données projet'!$A$140,$CQ$205^A14,IF(A14='Données projet'!$A$140,'Données projet'!$B$140,CT13+CS14-DB13)))</f>
        <v>7.0242189245198432</v>
      </c>
      <c r="CU14" s="17">
        <f>CT14*VLOOKUP('Données projet'!$B$13,Paramètres!$A$1:$I$89,3,0)*VLOOKUP('Données projet'!$B$13,Paramètres!$A$1:$I$89,5,0)</f>
        <v>5.6980463915704975</v>
      </c>
      <c r="CV14" s="13">
        <f t="shared" si="41"/>
        <v>2.1444283569343181</v>
      </c>
      <c r="CW14" s="20">
        <f t="shared" si="13"/>
        <v>13.658976853645887</v>
      </c>
      <c r="CX14" s="59">
        <f t="shared" si="14"/>
        <v>270.9154848394175</v>
      </c>
      <c r="CY14" s="59">
        <f ca="1">AVERAGE(OFFSET($CX$3,0,0,'Données projet'!$E$13+1,1))-AVERAGE(OFFSET($H$3,0,0,'Données projet'!$E$13+1,1))</f>
        <v>163.16040389635825</v>
      </c>
      <c r="CZ14" s="59">
        <f t="shared" si="42"/>
        <v>138.57856782158811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7.7715686274509812</v>
      </c>
      <c r="DO14" s="12">
        <f>IF('Données projet'!$A$166&gt;35,DO13+DN14-DW13,IF(A14&lt;'Données projet'!$A$166,$DL$205^A14,IF(A14='Données projet'!$A$166,'Données projet'!$B$166,DO13+DN14-DW13)))</f>
        <v>85.487254901960782</v>
      </c>
      <c r="DP14" s="17">
        <f>DO14*VLOOKUP('Données projet'!$B$14,Paramètres!$A$1:$I$89,3,0)*VLOOKUP('Données projet'!$B$14,Paramètres!$A$1:$I$89,5,0)</f>
        <v>40.008035294117647</v>
      </c>
      <c r="DQ14" s="13">
        <f t="shared" si="43"/>
        <v>12.000776637389773</v>
      </c>
      <c r="DR14" s="20">
        <f t="shared" si="16"/>
        <v>90.582014114042082</v>
      </c>
      <c r="DS14" s="59">
        <f t="shared" si="17"/>
        <v>347.8385220998137</v>
      </c>
      <c r="DT14" s="59">
        <f ca="1">AVERAGE(OFFSET($DS$3,0,0,'Données projet'!$E$14+1,1))-AVERAGE(OFFSET($H$3,0,0,'Données projet'!$E$14+1,1))</f>
        <v>343.44193069803498</v>
      </c>
      <c r="DU14" s="59">
        <f t="shared" si="44"/>
        <v>280.67367019483481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1.8269230769230766</v>
      </c>
      <c r="EJ14" s="12">
        <f>IF('Données projet'!$A$192&gt;35,EJ13+EI14-ER13,IF(A14&lt;'Données projet'!$A$192,$EG$205^A14,IF(A14='Données projet'!$A$192,'Données projet'!$B$192,EJ13+EI14-ER13)))</f>
        <v>7.2362346534071689</v>
      </c>
      <c r="EK14" s="17">
        <f>EJ14*VLOOKUP('Données projet'!$B$15,Paramètres!$A$1:$I$89,3,0)*VLOOKUP('Données projet'!$B$15,Paramètres!$A$1:$I$89,5,0)</f>
        <v>7.3375419385548701</v>
      </c>
      <c r="EL14" s="13">
        <f t="shared" si="45"/>
        <v>2.6813442289283289</v>
      </c>
      <c r="EM14" s="20">
        <f t="shared" si="19"/>
        <v>17.449560075033236</v>
      </c>
      <c r="EN14" s="59">
        <f t="shared" si="20"/>
        <v>274.70606806080485</v>
      </c>
      <c r="EO14" s="59">
        <f ca="1">AVERAGE(OFFSET($EN$3,0,0,'Données projet'!$E$15+1,1))-AVERAGE(OFFSET($H$3,0,0,'Données projet'!$E$15+1,1))</f>
        <v>270.0029254736703</v>
      </c>
      <c r="EP14" s="59">
        <f t="shared" si="46"/>
        <v>183.80022202211441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12.340342770518083</v>
      </c>
      <c r="FG14" s="13">
        <f t="shared" si="47"/>
        <v>4.2447175714913801</v>
      </c>
      <c r="FH14" s="20">
        <f t="shared" si="22"/>
        <v>28.885646762333149</v>
      </c>
      <c r="FI14" s="59">
        <f t="shared" si="23"/>
        <v>286.14215474810476</v>
      </c>
      <c r="FJ14" s="59">
        <f ca="1">AVERAGE(OFFSET($FI$3,0,0,'Données projet'!$E$16+1,1))-AVERAGE(OFFSET($H$3,0,0,'Données projet'!$E$16+1,1))</f>
        <v>328.93328163316073</v>
      </c>
      <c r="FK14" s="59">
        <f t="shared" si="48"/>
        <v>320.27831321887072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1.8269230769230766</v>
      </c>
      <c r="FZ14" s="12">
        <f>IF('Données projet'!$A$244&gt;35,FZ13+FY14-GH13,IF(A14&lt;'Données projet'!$A$244,$FW$205^A14,IF(A14='Données projet'!$A$244,'Données projet'!$B$244,FZ13+FY14-GH13)))</f>
        <v>7.2362346534071689</v>
      </c>
      <c r="GA14" s="17">
        <f>FZ14*VLOOKUP('Données projet'!$B$17,Paramètres!$A$1:$I$89,3,0)*VLOOKUP('Données projet'!$B$17,Paramètres!$A$1:$I$89,5,0)</f>
        <v>4.8540662055055286</v>
      </c>
      <c r="GB14" s="13">
        <f t="shared" si="49"/>
        <v>1.8612086290859473</v>
      </c>
      <c r="GC14" s="20">
        <f t="shared" si="25"/>
        <v>11.695770336913489</v>
      </c>
      <c r="GD14" s="59">
        <f t="shared" si="26"/>
        <v>268.95227832268512</v>
      </c>
      <c r="GE14" s="59">
        <f ca="1">AVERAGE(OFFSET($GD$3,0,0,'Données projet'!$E$17+1,1))-AVERAGE(OFFSET($H$3,0,0,'Données projet'!$E$17+1,1))</f>
        <v>192.88444860121191</v>
      </c>
      <c r="GF14" s="59">
        <f t="shared" si="50"/>
        <v>136.13737493732751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66.494199147634674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0.85000000000000009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3.1166666666666671</v>
      </c>
      <c r="H15" s="67">
        <f t="shared" si="1"/>
        <v>244.19999999999996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359.06697072157363</v>
      </c>
      <c r="S15" s="59">
        <f ca="1">AVERAGE(OFFSET($R$3,0,0,'Données projet'!$E$9+1,1))-AVERAGE(OFFSET($H$3,0,0,'Données projet'!$E$9+1,1))</f>
        <v>643.492472896403</v>
      </c>
      <c r="T15" s="59">
        <f t="shared" si="34"/>
        <v>285.0259479655341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3.56</v>
      </c>
      <c r="AI15" s="13">
        <f>IF('Données projet'!$A$62&gt;35,AI14+AH15-AQ14,IF(A15&lt;'Données projet'!$A$62,$AF$205^A15,IF(A15='Données projet'!$A$62,'Données projet'!$B$62,AI14+AH15-AQ14)))</f>
        <v>8.6239693271150166</v>
      </c>
      <c r="AJ15" s="13">
        <f>AI15*VLOOKUP('Données projet'!$B$10,Paramètres!$A$1:$I$89,3,0)*VLOOKUP('Données projet'!$B$10,Paramètres!$A$1:$I$89,5,0)</f>
        <v>6.7266960751497136</v>
      </c>
      <c r="AK15" s="13">
        <f t="shared" si="35"/>
        <v>2.4831201866130401</v>
      </c>
      <c r="AL15" s="20">
        <f t="shared" si="4"/>
        <v>16.040429989236795</v>
      </c>
      <c r="AM15" s="59">
        <f t="shared" si="5"/>
        <v>274.74215882286796</v>
      </c>
      <c r="AN15" s="59">
        <f ca="1">AVERAGE(OFFSET($AM$3,0,0,'Données projet'!$E$10+1,1))-AVERAGE(OFFSET($H$3,0,0,'Données projet'!$E$10+1,1))</f>
        <v>289.89907502443873</v>
      </c>
      <c r="AO15" s="59">
        <f t="shared" si="36"/>
        <v>267.42183550360301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1.153846153846154</v>
      </c>
      <c r="BD15" s="12">
        <f>IF('Données projet'!$A$88&gt;35,BD14+BC15-BL14,IF(A15&lt;'Données projet'!$A$88,$BA$205^A15,IF(A15='Données projet'!$A$88,'Données projet'!$B$88,BD14+BC15-BL14)))</f>
        <v>5.021600968481315</v>
      </c>
      <c r="BE15" s="13">
        <f>BD15*VLOOKUP('Données projet'!$B$11,Paramètres!$A$1:$I$89,3,0)*VLOOKUP('Données projet'!$B$11,Paramètres!$A$1:$I$89,5,0)</f>
        <v>4.8568924567151281</v>
      </c>
      <c r="BF15" s="13">
        <f t="shared" si="37"/>
        <v>1.862166134231517</v>
      </c>
      <c r="BG15" s="20">
        <f t="shared" si="7"/>
        <v>11.702360379232074</v>
      </c>
      <c r="BH15" s="59">
        <f t="shared" si="8"/>
        <v>270.40408921286325</v>
      </c>
      <c r="BI15" s="59">
        <f ca="1">AVERAGE(OFFSET($BH$3,0,0,'Données projet'!$E$11+1,1))-AVERAGE(OFFSET($H$3,0,0,'Données projet'!$E$11+1,1))</f>
        <v>177.54241137663234</v>
      </c>
      <c r="BJ15" s="59">
        <f t="shared" si="38"/>
        <v>114.71095021456071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1.153846153846154</v>
      </c>
      <c r="BY15" s="12">
        <f>IF('Données projet'!$A$114&gt;35,BY14+BX15-CG14,IF(A15&lt;'Données projet'!$A$114,$BV$205^A15,IF(A15='Données projet'!$A$114,'Données projet'!$B$114,BY14+BX15-CG14)))</f>
        <v>5.021600968481315</v>
      </c>
      <c r="BZ15" s="13">
        <f>BY15*VLOOKUP('Données projet'!$B$12,Paramètres!$A$1:$I$89,3,0)*VLOOKUP('Données projet'!$B$12,Paramètres!$A$1:$I$89,5,0)</f>
        <v>5.4052512824732872</v>
      </c>
      <c r="CA15" s="13">
        <f t="shared" si="39"/>
        <v>2.0467659523837454</v>
      </c>
      <c r="CB15" s="20">
        <f t="shared" si="10"/>
        <v>12.978930017375999</v>
      </c>
      <c r="CC15" s="59">
        <f t="shared" si="11"/>
        <v>271.68065885100719</v>
      </c>
      <c r="CD15" s="59">
        <f ca="1">AVERAGE(OFFSET($CC$3,0,0,'Données projet'!$E$12+1,1))-AVERAGE(OFFSET($H$3,0,0,'Données projet'!$E$12+1,1))</f>
        <v>192.88977161349993</v>
      </c>
      <c r="CE15" s="59">
        <f t="shared" si="40"/>
        <v>122.91376861456772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1.7307692307692306</v>
      </c>
      <c r="CT15" s="12">
        <f>IF('Données projet'!$A$140&gt;35,CT14+CS15-DB14,IF(A15&lt;'Données projet'!$A$140,$CQ$205^A15,IF(A15='Données projet'!$A$140,'Données projet'!$B$140,CT14+CS15-DB14)))</f>
        <v>8.3861281930079947</v>
      </c>
      <c r="CU15" s="17">
        <f>CT15*VLOOKUP('Données projet'!$B$13,Paramètres!$A$1:$I$89,3,0)*VLOOKUP('Données projet'!$B$13,Paramètres!$A$1:$I$89,5,0)</f>
        <v>6.8028271901680855</v>
      </c>
      <c r="CV15" s="13">
        <f t="shared" si="41"/>
        <v>2.5079360202863539</v>
      </c>
      <c r="CW15" s="20">
        <f t="shared" si="13"/>
        <v>16.216245924874816</v>
      </c>
      <c r="CX15" s="59">
        <f t="shared" si="14"/>
        <v>274.91797475850603</v>
      </c>
      <c r="CY15" s="59">
        <f ca="1">AVERAGE(OFFSET($CX$3,0,0,'Données projet'!$E$13+1,1))-AVERAGE(OFFSET($H$3,0,0,'Données projet'!$E$13+1,1))</f>
        <v>163.16040389635825</v>
      </c>
      <c r="CZ15" s="59">
        <f t="shared" si="42"/>
        <v>138.57856782158811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7.7715686274509812</v>
      </c>
      <c r="DO15" s="12">
        <f>IF('Données projet'!$A$166&gt;35,DO14+DN15-DW14,IF(A15&lt;'Données projet'!$A$166,$DL$205^A15,IF(A15='Données projet'!$A$166,'Données projet'!$B$166,DO14+DN15-DW14)))</f>
        <v>93.258823529411757</v>
      </c>
      <c r="DP15" s="17">
        <f>DO15*VLOOKUP('Données projet'!$B$14,Paramètres!$A$1:$I$89,3,0)*VLOOKUP('Données projet'!$B$14,Paramètres!$A$1:$I$89,5,0)</f>
        <v>43.6451294117647</v>
      </c>
      <c r="DQ15" s="13">
        <f t="shared" si="43"/>
        <v>12.959830604318677</v>
      </c>
      <c r="DR15" s="20">
        <f t="shared" si="16"/>
        <v>98.586972028011871</v>
      </c>
      <c r="DS15" s="59">
        <f t="shared" si="17"/>
        <v>357.28870086164306</v>
      </c>
      <c r="DT15" s="59">
        <f ca="1">AVERAGE(OFFSET($DS$3,0,0,'Données projet'!$E$14+1,1))-AVERAGE(OFFSET($H$3,0,0,'Données projet'!$E$14+1,1))</f>
        <v>343.44193069803498</v>
      </c>
      <c r="DU15" s="59">
        <f t="shared" si="44"/>
        <v>280.67367019483481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1.8269230769230766</v>
      </c>
      <c r="EJ15" s="12">
        <f>IF('Données projet'!$A$192&gt;35,EJ14+EI15-ER14,IF(A15&lt;'Données projet'!$A$192,$EG$205^A15,IF(A15='Données projet'!$A$192,'Données projet'!$B$192,EJ14+EI15-ER14)))</f>
        <v>8.662637764539145</v>
      </c>
      <c r="EK15" s="17">
        <f>EJ15*VLOOKUP('Données projet'!$B$15,Paramètres!$A$1:$I$89,3,0)*VLOOKUP('Données projet'!$B$15,Paramètres!$A$1:$I$89,5,0)</f>
        <v>8.7839146932426928</v>
      </c>
      <c r="EL15" s="13">
        <f t="shared" si="45"/>
        <v>3.143365471519969</v>
      </c>
      <c r="EM15" s="20">
        <f t="shared" si="19"/>
        <v>20.773346286961637</v>
      </c>
      <c r="EN15" s="59">
        <f t="shared" si="20"/>
        <v>279.47507512059281</v>
      </c>
      <c r="EO15" s="59">
        <f ca="1">AVERAGE(OFFSET($EN$3,0,0,'Données projet'!$E$15+1,1))-AVERAGE(OFFSET($H$3,0,0,'Données projet'!$E$15+1,1))</f>
        <v>270.0029254736703</v>
      </c>
      <c r="EP15" s="59">
        <f t="shared" si="46"/>
        <v>183.80022202211441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15.699072844560465</v>
      </c>
      <c r="FG15" s="13">
        <f t="shared" si="47"/>
        <v>5.250810382962916</v>
      </c>
      <c r="FH15" s="20">
        <f t="shared" si="22"/>
        <v>36.48771328793655</v>
      </c>
      <c r="FI15" s="59">
        <f t="shared" si="23"/>
        <v>295.18944212156777</v>
      </c>
      <c r="FJ15" s="59">
        <f ca="1">AVERAGE(OFFSET($FI$3,0,0,'Données projet'!$E$16+1,1))-AVERAGE(OFFSET($H$3,0,0,'Données projet'!$E$16+1,1))</f>
        <v>328.93328163316073</v>
      </c>
      <c r="FK15" s="59">
        <f t="shared" si="48"/>
        <v>320.27831321887072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1.8269230769230766</v>
      </c>
      <c r="FZ15" s="12">
        <f>IF('Données projet'!$A$244&gt;35,FZ14+FY15-GH14,IF(A15&lt;'Données projet'!$A$244,$FW$205^A15,IF(A15='Données projet'!$A$244,'Données projet'!$B$244,FZ14+FY15-GH14)))</f>
        <v>8.662637764539145</v>
      </c>
      <c r="GA15" s="17">
        <f>FZ15*VLOOKUP('Données projet'!$B$17,Paramètres!$A$1:$I$89,3,0)*VLOOKUP('Données projet'!$B$17,Paramètres!$A$1:$I$89,5,0)</f>
        <v>5.8108974124528583</v>
      </c>
      <c r="GB15" s="13">
        <f t="shared" si="49"/>
        <v>2.1819126678494678</v>
      </c>
      <c r="GC15" s="20">
        <f t="shared" si="25"/>
        <v>13.920810889859885</v>
      </c>
      <c r="GD15" s="59">
        <f t="shared" si="26"/>
        <v>272.62253972349106</v>
      </c>
      <c r="GE15" s="59">
        <f ca="1">AVERAGE(OFFSET($GD$3,0,0,'Données projet'!$E$17+1,1))-AVERAGE(OFFSET($H$3,0,0,'Données projet'!$E$17+1,1))</f>
        <v>192.88444860121191</v>
      </c>
      <c r="GF15" s="59">
        <f t="shared" si="50"/>
        <v>136.13737493732751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66.555016954626694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0.85000000000000009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3.1166666666666671</v>
      </c>
      <c r="H16" s="67">
        <f t="shared" si="1"/>
        <v>244.19999999999996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368.64161629683485</v>
      </c>
      <c r="S16" s="59">
        <f ca="1">AVERAGE(OFFSET($R$3,0,0,'Données projet'!$E$9+1,1))-AVERAGE(OFFSET($H$3,0,0,'Données projet'!$E$9+1,1))</f>
        <v>643.492472896403</v>
      </c>
      <c r="T16" s="59">
        <f t="shared" si="34"/>
        <v>285.0259479655341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3.56</v>
      </c>
      <c r="AI16" s="13">
        <f>IF('Données projet'!$A$62&gt;35,AI15+AH16-AQ15,IF(A16&lt;'Données projet'!$A$62,$AF$205^A16,IF(A16='Données projet'!$A$62,'Données projet'!$B$62,AI15+AH16-AQ15)))</f>
        <v>10.320073811043248</v>
      </c>
      <c r="AJ16" s="13">
        <f>AI16*VLOOKUP('Données projet'!$B$10,Paramètres!$A$1:$I$89,3,0)*VLOOKUP('Données projet'!$B$10,Paramètres!$A$1:$I$89,5,0)</f>
        <v>8.049657572613734</v>
      </c>
      <c r="AK16" s="13">
        <f t="shared" si="35"/>
        <v>2.9100267483017022</v>
      </c>
      <c r="AL16" s="20">
        <f t="shared" si="4"/>
        <v>19.088116858927716</v>
      </c>
      <c r="AM16" s="59">
        <f t="shared" si="5"/>
        <v>279.23119801281399</v>
      </c>
      <c r="AN16" s="59">
        <f ca="1">AVERAGE(OFFSET($AM$3,0,0,'Données projet'!$E$10+1,1))-AVERAGE(OFFSET($H$3,0,0,'Données projet'!$E$10+1,1))</f>
        <v>289.89907502443873</v>
      </c>
      <c r="AO16" s="59">
        <f t="shared" si="36"/>
        <v>267.42183550360301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1.153846153846154</v>
      </c>
      <c r="BD16" s="12">
        <f>IF('Données projet'!$A$88&gt;35,BD15+BC16-BL15,IF(A16&lt;'Données projet'!$A$88,$BA$205^A16,IF(A16='Données projet'!$A$88,'Données projet'!$B$88,BD15+BC16-BL15)))</f>
        <v>5.7444137889908591</v>
      </c>
      <c r="BE16" s="13">
        <f>BD16*VLOOKUP('Données projet'!$B$11,Paramètres!$A$1:$I$89,3,0)*VLOOKUP('Données projet'!$B$11,Paramètres!$A$1:$I$89,5,0)</f>
        <v>5.5559970167119586</v>
      </c>
      <c r="BF16" s="13">
        <f t="shared" si="37"/>
        <v>2.0971223632403886</v>
      </c>
      <c r="BG16" s="20">
        <f t="shared" si="7"/>
        <v>13.329182920083669</v>
      </c>
      <c r="BH16" s="59">
        <f t="shared" si="8"/>
        <v>273.47226407396994</v>
      </c>
      <c r="BI16" s="59">
        <f ca="1">AVERAGE(OFFSET($BH$3,0,0,'Données projet'!$E$11+1,1))-AVERAGE(OFFSET($H$3,0,0,'Données projet'!$E$11+1,1))</f>
        <v>177.54241137663234</v>
      </c>
      <c r="BJ16" s="59">
        <f t="shared" si="38"/>
        <v>114.71095021456071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1.153846153846154</v>
      </c>
      <c r="BY16" s="12">
        <f>IF('Données projet'!$A$114&gt;35,BY15+BX16-CG15,IF(A16&lt;'Données projet'!$A$114,$BV$205^A16,IF(A16='Données projet'!$A$114,'Données projet'!$B$114,BY15+BX16-CG15)))</f>
        <v>5.7444137889908591</v>
      </c>
      <c r="BZ16" s="13">
        <f>BY16*VLOOKUP('Données projet'!$B$12,Paramètres!$A$1:$I$89,3,0)*VLOOKUP('Données projet'!$B$12,Paramètres!$A$1:$I$89,5,0)</f>
        <v>6.1832870024697604</v>
      </c>
      <c r="CA16" s="13">
        <f t="shared" si="39"/>
        <v>2.3050138073928235</v>
      </c>
      <c r="CB16" s="20">
        <f t="shared" si="10"/>
        <v>14.78379057717733</v>
      </c>
      <c r="CC16" s="59">
        <f t="shared" si="11"/>
        <v>274.92687173106361</v>
      </c>
      <c r="CD16" s="59">
        <f ca="1">AVERAGE(OFFSET($CC$3,0,0,'Données projet'!$E$12+1,1))-AVERAGE(OFFSET($H$3,0,0,'Données projet'!$E$12+1,1))</f>
        <v>192.88977161349993</v>
      </c>
      <c r="CE16" s="59">
        <f t="shared" si="40"/>
        <v>122.91376861456772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1.7307692307692306</v>
      </c>
      <c r="CT16" s="12">
        <f>IF('Données projet'!$A$140&gt;35,CT15+CS16-DB15,IF(A16&lt;'Données projet'!$A$140,$CQ$205^A16,IF(A16='Données projet'!$A$140,'Données projet'!$B$140,CT15+CS16-DB15)))</f>
        <v>10.012094842896845</v>
      </c>
      <c r="CU16" s="17">
        <f>CT16*VLOOKUP('Données projet'!$B$13,Paramètres!$A$1:$I$89,3,0)*VLOOKUP('Données projet'!$B$13,Paramètres!$A$1:$I$89,5,0)</f>
        <v>8.1218113365579221</v>
      </c>
      <c r="CV16" s="13">
        <f t="shared" si="41"/>
        <v>2.9330628190543022</v>
      </c>
      <c r="CW16" s="20">
        <f t="shared" si="13"/>
        <v>19.253905821024624</v>
      </c>
      <c r="CX16" s="59">
        <f t="shared" si="14"/>
        <v>279.39698697491087</v>
      </c>
      <c r="CY16" s="59">
        <f ca="1">AVERAGE(OFFSET($CX$3,0,0,'Données projet'!$E$13+1,1))-AVERAGE(OFFSET($H$3,0,0,'Données projet'!$E$13+1,1))</f>
        <v>163.16040389635825</v>
      </c>
      <c r="CZ16" s="59">
        <f t="shared" si="42"/>
        <v>138.57856782158811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7.7715686274509812</v>
      </c>
      <c r="DO16" s="12">
        <f>IF('Données projet'!$A$166&gt;35,DO15+DN16-DW15,IF(A16&lt;'Données projet'!$A$166,$DL$205^A16,IF(A16='Données projet'!$A$166,'Données projet'!$B$166,DO15+DN16-DW15)))</f>
        <v>101.03039215686273</v>
      </c>
      <c r="DP16" s="17">
        <f>DO16*VLOOKUP('Données projet'!$B$14,Paramètres!$A$1:$I$89,3,0)*VLOOKUP('Données projet'!$B$14,Paramètres!$A$1:$I$89,5,0)</f>
        <v>47.282223529411759</v>
      </c>
      <c r="DQ16" s="13">
        <f t="shared" si="43"/>
        <v>13.909615404239247</v>
      </c>
      <c r="DR16" s="20">
        <f t="shared" si="16"/>
        <v>106.5757861427755</v>
      </c>
      <c r="DS16" s="59">
        <f t="shared" si="17"/>
        <v>366.71886729666176</v>
      </c>
      <c r="DT16" s="59">
        <f ca="1">AVERAGE(OFFSET($DS$3,0,0,'Données projet'!$E$14+1,1))-AVERAGE(OFFSET($H$3,0,0,'Données projet'!$E$14+1,1))</f>
        <v>343.44193069803498</v>
      </c>
      <c r="DU16" s="59">
        <f t="shared" si="44"/>
        <v>280.67367019483481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1.8269230769230766</v>
      </c>
      <c r="EJ16" s="12">
        <f>IF('Données projet'!$A$192&gt;35,EJ15+EI16-ER15,IF(A16&lt;'Données projet'!$A$192,$EG$205^A16,IF(A16='Données projet'!$A$192,'Données projet'!$B$192,EJ15+EI16-ER15)))</f>
        <v>10.37021277416518</v>
      </c>
      <c r="EK16" s="17">
        <f>EJ16*VLOOKUP('Données projet'!$B$15,Paramètres!$A$1:$I$89,3,0)*VLOOKUP('Données projet'!$B$15,Paramètres!$A$1:$I$89,5,0)</f>
        <v>10.515395753003494</v>
      </c>
      <c r="EL16" s="13">
        <f t="shared" si="45"/>
        <v>3.6849973908396927</v>
      </c>
      <c r="EM16" s="20">
        <f t="shared" si="19"/>
        <v>24.73235139219355</v>
      </c>
      <c r="EN16" s="59">
        <f t="shared" si="20"/>
        <v>284.87543254607982</v>
      </c>
      <c r="EO16" s="59">
        <f ca="1">AVERAGE(OFFSET($EN$3,0,0,'Données projet'!$E$15+1,1))-AVERAGE(OFFSET($H$3,0,0,'Données projet'!$E$15+1,1))</f>
        <v>270.0029254736703</v>
      </c>
      <c r="EP16" s="59">
        <f t="shared" si="46"/>
        <v>183.80022202211441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19.971964536319657</v>
      </c>
      <c r="FG16" s="13">
        <f t="shared" si="47"/>
        <v>6.4953696479137237</v>
      </c>
      <c r="FH16" s="20">
        <f t="shared" si="22"/>
        <v>46.097273704206465</v>
      </c>
      <c r="FI16" s="59">
        <f t="shared" si="23"/>
        <v>306.24035485809276</v>
      </c>
      <c r="FJ16" s="59">
        <f ca="1">AVERAGE(OFFSET($FI$3,0,0,'Données projet'!$E$16+1,1))-AVERAGE(OFFSET($H$3,0,0,'Données projet'!$E$16+1,1))</f>
        <v>328.93328163316073</v>
      </c>
      <c r="FK16" s="59">
        <f t="shared" si="48"/>
        <v>320.27831321887072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1.8269230769230766</v>
      </c>
      <c r="FZ16" s="12">
        <f>IF('Données projet'!$A$244&gt;35,FZ15+FY16-GH15,IF(A16&lt;'Données projet'!$A$244,$FW$205^A16,IF(A16='Données projet'!$A$244,'Données projet'!$B$244,FZ15+FY16-GH15)))</f>
        <v>10.37021277416518</v>
      </c>
      <c r="GA16" s="17">
        <f>FZ16*VLOOKUP('Données projet'!$B$17,Paramètres!$A$1:$I$89,3,0)*VLOOKUP('Données projet'!$B$17,Paramètres!$A$1:$I$89,5,0)</f>
        <v>6.9563387289100032</v>
      </c>
      <c r="GB16" s="13">
        <f t="shared" si="49"/>
        <v>2.5578770782188007</v>
      </c>
      <c r="GC16" s="20">
        <f t="shared" si="25"/>
        <v>16.57059253074933</v>
      </c>
      <c r="GD16" s="59">
        <f t="shared" si="26"/>
        <v>276.71367368463558</v>
      </c>
      <c r="GE16" s="59">
        <f ca="1">AVERAGE(OFFSET($GD$3,0,0,'Données projet'!$E$17+1,1))-AVERAGE(OFFSET($H$3,0,0,'Données projet'!$E$17+1,1))</f>
        <v>192.88444860121191</v>
      </c>
      <c r="GF16" s="59">
        <f t="shared" si="50"/>
        <v>136.13737493732751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66.614779708635652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0.85000000000000009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3.1166666666666671</v>
      </c>
      <c r="H17" s="67">
        <f t="shared" si="1"/>
        <v>244.19999999999996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378.19745818804876</v>
      </c>
      <c r="S17" s="59">
        <f ca="1">AVERAGE(OFFSET($R$3,0,0,'Données projet'!$E$9+1,1))-AVERAGE(OFFSET($H$3,0,0,'Données projet'!$E$9+1,1))</f>
        <v>643.492472896403</v>
      </c>
      <c r="T17" s="59">
        <f t="shared" si="34"/>
        <v>285.0259479655341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3.56</v>
      </c>
      <c r="AI17" s="13">
        <f>IF('Données projet'!$A$62&gt;35,AI16+AH17-AQ16,IF(A17&lt;'Données projet'!$A$62,$AF$205^A17,IF(A17='Données projet'!$A$62,'Données projet'!$B$62,AI16+AH17-AQ16)))</f>
        <v>12.349756756499216</v>
      </c>
      <c r="AJ17" s="13">
        <f>AI17*VLOOKUP('Données projet'!$B$10,Paramètres!$A$1:$I$89,3,0)*VLOOKUP('Données projet'!$B$10,Paramètres!$A$1:$I$89,5,0)</f>
        <v>9.6328102700693883</v>
      </c>
      <c r="AK17" s="13">
        <f t="shared" si="35"/>
        <v>3.4103285541655652</v>
      </c>
      <c r="AL17" s="20">
        <f t="shared" si="4"/>
        <v>22.716800118875877</v>
      </c>
      <c r="AM17" s="59">
        <f t="shared" si="5"/>
        <v>284.29743217571786</v>
      </c>
      <c r="AN17" s="59">
        <f ca="1">AVERAGE(OFFSET($AM$3,0,0,'Données projet'!$E$10+1,1))-AVERAGE(OFFSET($H$3,0,0,'Données projet'!$E$10+1,1))</f>
        <v>289.89907502443873</v>
      </c>
      <c r="AO17" s="59">
        <f t="shared" si="36"/>
        <v>267.42183550360301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1.153846153846154</v>
      </c>
      <c r="BD17" s="12">
        <f>IF('Données projet'!$A$88&gt;35,BD16+BC17-BL16,IF(A17&lt;'Données projet'!$A$88,$BA$205^A17,IF(A17='Données projet'!$A$88,'Données projet'!$B$88,BD16+BC17-BL16)))</f>
        <v>6.5712688017757817</v>
      </c>
      <c r="BE17" s="13">
        <f>BD17*VLOOKUP('Données projet'!$B$11,Paramètres!$A$1:$I$89,3,0)*VLOOKUP('Données projet'!$B$11,Paramètres!$A$1:$I$89,5,0)</f>
        <v>6.355731185077536</v>
      </c>
      <c r="BF17" s="13">
        <f t="shared" si="37"/>
        <v>2.3617238685408144</v>
      </c>
      <c r="BG17" s="20">
        <f t="shared" si="7"/>
        <v>15.182900885051957</v>
      </c>
      <c r="BH17" s="59">
        <f t="shared" si="8"/>
        <v>276.76353294189391</v>
      </c>
      <c r="BI17" s="59">
        <f ca="1">AVERAGE(OFFSET($BH$3,0,0,'Données projet'!$E$11+1,1))-AVERAGE(OFFSET($H$3,0,0,'Données projet'!$E$11+1,1))</f>
        <v>177.54241137663234</v>
      </c>
      <c r="BJ17" s="59">
        <f t="shared" si="38"/>
        <v>114.71095021456071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1.153846153846154</v>
      </c>
      <c r="BY17" s="12">
        <f>IF('Données projet'!$A$114&gt;35,BY16+BX17-CG16,IF(A17&lt;'Données projet'!$A$114,$BV$205^A17,IF(A17='Données projet'!$A$114,'Données projet'!$B$114,BY16+BX17-CG16)))</f>
        <v>6.5712688017757817</v>
      </c>
      <c r="BZ17" s="13">
        <f>BY17*VLOOKUP('Données projet'!$B$12,Paramètres!$A$1:$I$89,3,0)*VLOOKUP('Données projet'!$B$12,Paramètres!$A$1:$I$89,5,0)</f>
        <v>7.0733137382314508</v>
      </c>
      <c r="CA17" s="13">
        <f t="shared" si="39"/>
        <v>2.595845727296628</v>
      </c>
      <c r="CB17" s="20">
        <f t="shared" si="10"/>
        <v>16.840452735794738</v>
      </c>
      <c r="CC17" s="59">
        <f t="shared" si="11"/>
        <v>278.42108479263669</v>
      </c>
      <c r="CD17" s="59">
        <f ca="1">AVERAGE(OFFSET($CC$3,0,0,'Données projet'!$E$12+1,1))-AVERAGE(OFFSET($H$3,0,0,'Données projet'!$E$12+1,1))</f>
        <v>192.88977161349993</v>
      </c>
      <c r="CE17" s="59">
        <f t="shared" si="40"/>
        <v>122.91376861456772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1.7307692307692306</v>
      </c>
      <c r="CT17" s="12">
        <f>IF('Données projet'!$A$140&gt;35,CT16+CS17-DB16,IF(A17&lt;'Données projet'!$A$140,$CQ$205^A17,IF(A17='Données projet'!$A$140,'Données projet'!$B$140,CT16+CS17-DB16)))</f>
        <v>11.953316338133162</v>
      </c>
      <c r="CU17" s="17">
        <f>CT17*VLOOKUP('Données projet'!$B$13,Paramètres!$A$1:$I$89,3,0)*VLOOKUP('Données projet'!$B$13,Paramètres!$A$1:$I$89,5,0)</f>
        <v>9.696530213493622</v>
      </c>
      <c r="CV17" s="13">
        <f t="shared" si="41"/>
        <v>3.4302539741570039</v>
      </c>
      <c r="CW17" s="20">
        <f t="shared" si="13"/>
        <v>22.862482460158173</v>
      </c>
      <c r="CX17" s="59">
        <f t="shared" si="14"/>
        <v>284.44311451700014</v>
      </c>
      <c r="CY17" s="59">
        <f ca="1">AVERAGE(OFFSET($CX$3,0,0,'Données projet'!$E$13+1,1))-AVERAGE(OFFSET($H$3,0,0,'Données projet'!$E$13+1,1))</f>
        <v>163.16040389635825</v>
      </c>
      <c r="CZ17" s="59">
        <f t="shared" si="42"/>
        <v>138.57856782158811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7.7715686274509812</v>
      </c>
      <c r="DO17" s="12">
        <f>IF('Données projet'!$A$166&gt;35,DO16+DN17-DW16,IF(A17&lt;'Données projet'!$A$166,$DL$205^A17,IF(A17='Données projet'!$A$166,'Données projet'!$B$166,DO16+DN17-DW16)))</f>
        <v>108.80196078431371</v>
      </c>
      <c r="DP17" s="17">
        <f>DO17*VLOOKUP('Données projet'!$B$14,Paramètres!$A$1:$I$89,3,0)*VLOOKUP('Données projet'!$B$14,Paramètres!$A$1:$I$89,5,0)</f>
        <v>50.919317647058811</v>
      </c>
      <c r="DQ17" s="13">
        <f t="shared" si="43"/>
        <v>14.850925118934597</v>
      </c>
      <c r="DR17" s="20">
        <f t="shared" si="16"/>
        <v>114.54983948410518</v>
      </c>
      <c r="DS17" s="59">
        <f t="shared" si="17"/>
        <v>376.13047154094716</v>
      </c>
      <c r="DT17" s="59">
        <f ca="1">AVERAGE(OFFSET($DS$3,0,0,'Données projet'!$E$14+1,1))-AVERAGE(OFFSET($H$3,0,0,'Données projet'!$E$14+1,1))</f>
        <v>343.44193069803498</v>
      </c>
      <c r="DU17" s="59">
        <f t="shared" si="44"/>
        <v>280.67367019483481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1.8269230769230766</v>
      </c>
      <c r="EJ17" s="12">
        <f>IF('Données projet'!$A$192&gt;35,EJ16+EI17-ER16,IF(A17&lt;'Données projet'!$A$192,$EG$205^A17,IF(A17='Données projet'!$A$192,'Données projet'!$B$192,EJ16+EI17-ER16)))</f>
        <v>12.414384152328676</v>
      </c>
      <c r="EK17" s="17">
        <f>EJ17*VLOOKUP('Données projet'!$B$15,Paramètres!$A$1:$I$89,3,0)*VLOOKUP('Données projet'!$B$15,Paramètres!$A$1:$I$89,5,0)</f>
        <v>12.588185530461278</v>
      </c>
      <c r="EL17" s="13">
        <f t="shared" si="45"/>
        <v>4.3199576675152365</v>
      </c>
      <c r="EM17" s="20">
        <f t="shared" si="19"/>
        <v>29.44834940314243</v>
      </c>
      <c r="EN17" s="59">
        <f t="shared" si="20"/>
        <v>291.02898145998438</v>
      </c>
      <c r="EO17" s="59">
        <f ca="1">AVERAGE(OFFSET($EN$3,0,0,'Données projet'!$E$15+1,1))-AVERAGE(OFFSET($H$3,0,0,'Données projet'!$E$15+1,1))</f>
        <v>270.0029254736703</v>
      </c>
      <c r="EP17" s="59">
        <f t="shared" si="46"/>
        <v>183.80022202211441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25.407829582637852</v>
      </c>
      <c r="FG17" s="13">
        <f t="shared" si="47"/>
        <v>8.0349172386667025</v>
      </c>
      <c r="FH17" s="20">
        <f t="shared" si="22"/>
        <v>58.246117380438761</v>
      </c>
      <c r="FI17" s="59">
        <f t="shared" si="23"/>
        <v>319.82674943728074</v>
      </c>
      <c r="FJ17" s="59">
        <f ca="1">AVERAGE(OFFSET($FI$3,0,0,'Données projet'!$E$16+1,1))-AVERAGE(OFFSET($H$3,0,0,'Données projet'!$E$16+1,1))</f>
        <v>328.93328163316073</v>
      </c>
      <c r="FK17" s="59">
        <f t="shared" si="48"/>
        <v>320.27831321887072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1.8269230769230766</v>
      </c>
      <c r="FZ17" s="12">
        <f>IF('Données projet'!$A$244&gt;35,FZ16+FY17-GH16,IF(A17&lt;'Données projet'!$A$244,$FW$205^A17,IF(A17='Données projet'!$A$244,'Données projet'!$B$244,FZ16+FY17-GH16)))</f>
        <v>12.414384152328676</v>
      </c>
      <c r="GA17" s="17">
        <f>FZ17*VLOOKUP('Données projet'!$B$17,Paramètres!$A$1:$I$89,3,0)*VLOOKUP('Données projet'!$B$17,Paramètres!$A$1:$I$89,5,0)</f>
        <v>8.3275688893820767</v>
      </c>
      <c r="GB17" s="13">
        <f t="shared" si="49"/>
        <v>2.9986237504756712</v>
      </c>
      <c r="GC17" s="20">
        <f t="shared" si="25"/>
        <v>19.726452181085573</v>
      </c>
      <c r="GD17" s="59">
        <f t="shared" si="26"/>
        <v>281.30708423792754</v>
      </c>
      <c r="GE17" s="59">
        <f ca="1">AVERAGE(OFFSET($GD$3,0,0,'Données projet'!$E$17+1,1))-AVERAGE(OFFSET($H$3,0,0,'Données projet'!$E$17+1,1))</f>
        <v>192.88444860121191</v>
      </c>
      <c r="GF17" s="59">
        <f t="shared" si="50"/>
        <v>136.13737493732751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66.67350571247205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0.85000000000000009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3.1166666666666671</v>
      </c>
      <c r="H18" s="67">
        <f t="shared" si="1"/>
        <v>244.19999999999996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387.73575580780675</v>
      </c>
      <c r="S18" s="59">
        <f ca="1">AVERAGE(OFFSET($R$3,0,0,'Données projet'!$E$9+1,1))-AVERAGE(OFFSET($H$3,0,0,'Données projet'!$E$9+1,1))</f>
        <v>643.492472896403</v>
      </c>
      <c r="T18" s="59">
        <f t="shared" si="34"/>
        <v>285.0259479655341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3.56</v>
      </c>
      <c r="AI18" s="13">
        <f>IF('Données projet'!$A$62&gt;35,AI17+AH18-AQ17,IF(A18&lt;'Données projet'!$A$62,$AF$205^A18,IF(A18='Données projet'!$A$62,'Données projet'!$B$62,AI17+AH18-AQ17)))</f>
        <v>14.778624139441142</v>
      </c>
      <c r="AJ18" s="13">
        <f>AI18*VLOOKUP('Données projet'!$B$10,Paramètres!$A$1:$I$89,3,0)*VLOOKUP('Données projet'!$B$10,Paramètres!$A$1:$I$89,5,0)</f>
        <v>11.527326828764091</v>
      </c>
      <c r="AK18" s="13">
        <f t="shared" si="35"/>
        <v>3.9966439669822584</v>
      </c>
      <c r="AL18" s="20">
        <f t="shared" si="4"/>
        <v>27.037582469258226</v>
      </c>
      <c r="AM18" s="59">
        <f t="shared" si="5"/>
        <v>290.05202995784799</v>
      </c>
      <c r="AN18" s="59">
        <f ca="1">AVERAGE(OFFSET($AM$3,0,0,'Données projet'!$E$10+1,1))-AVERAGE(OFFSET($H$3,0,0,'Données projet'!$E$10+1,1))</f>
        <v>289.89907502443873</v>
      </c>
      <c r="AO18" s="59">
        <f t="shared" si="36"/>
        <v>267.42183550360301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1.153846153846154</v>
      </c>
      <c r="BD18" s="12">
        <f>IF('Données projet'!$A$88&gt;35,BD17+BC18-BL17,IF(A18&lt;'Données projet'!$A$88,$BA$205^A18,IF(A18='Données projet'!$A$88,'Données projet'!$B$88,BD17+BC18-BL17)))</f>
        <v>7.5171419141060118</v>
      </c>
      <c r="BE18" s="13">
        <f>BD18*VLOOKUP('Données projet'!$B$11,Paramètres!$A$1:$I$89,3,0)*VLOOKUP('Données projet'!$B$11,Paramètres!$A$1:$I$89,5,0)</f>
        <v>7.2705796593233352</v>
      </c>
      <c r="BF18" s="13">
        <f t="shared" si="37"/>
        <v>2.6597111017484418</v>
      </c>
      <c r="BG18" s="20">
        <f t="shared" si="7"/>
        <v>17.295256408866681</v>
      </c>
      <c r="BH18" s="59">
        <f t="shared" si="8"/>
        <v>280.30970389745647</v>
      </c>
      <c r="BI18" s="59">
        <f ca="1">AVERAGE(OFFSET($BH$3,0,0,'Données projet'!$E$11+1,1))-AVERAGE(OFFSET($H$3,0,0,'Données projet'!$E$11+1,1))</f>
        <v>177.54241137663234</v>
      </c>
      <c r="BJ18" s="59">
        <f t="shared" si="38"/>
        <v>114.71095021456071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1.153846153846154</v>
      </c>
      <c r="BY18" s="12">
        <f>IF('Données projet'!$A$114&gt;35,BY17+BX18-CG17,IF(A18&lt;'Données projet'!$A$114,$BV$205^A18,IF(A18='Données projet'!$A$114,'Données projet'!$B$114,BY17+BX18-CG17)))</f>
        <v>7.5171419141060118</v>
      </c>
      <c r="BZ18" s="13">
        <f>BY18*VLOOKUP('Données projet'!$B$12,Paramètres!$A$1:$I$89,3,0)*VLOOKUP('Données projet'!$B$12,Paramètres!$A$1:$I$89,5,0)</f>
        <v>8.0914515563437099</v>
      </c>
      <c r="CA18" s="13">
        <f t="shared" si="39"/>
        <v>2.923372961286471</v>
      </c>
      <c r="CB18" s="20">
        <f t="shared" si="10"/>
        <v>19.184152701539233</v>
      </c>
      <c r="CC18" s="59">
        <f t="shared" si="11"/>
        <v>282.19860019012901</v>
      </c>
      <c r="CD18" s="59">
        <f ca="1">AVERAGE(OFFSET($CC$3,0,0,'Données projet'!$E$12+1,1))-AVERAGE(OFFSET($H$3,0,0,'Données projet'!$E$12+1,1))</f>
        <v>192.88977161349993</v>
      </c>
      <c r="CE18" s="59">
        <f t="shared" si="40"/>
        <v>122.91376861456772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1.7307692307692306</v>
      </c>
      <c r="CT18" s="12">
        <f>IF('Données projet'!$A$140&gt;35,CT17+CS18-DB17,IF(A18&lt;'Données projet'!$A$140,$CQ$205^A18,IF(A18='Données projet'!$A$140,'Données projet'!$B$140,CT17+CS18-DB17)))</f>
        <v>14.270916698402004</v>
      </c>
      <c r="CU18" s="17">
        <f>CT18*VLOOKUP('Données projet'!$B$13,Paramètres!$A$1:$I$89,3,0)*VLOOKUP('Données projet'!$B$13,Paramètres!$A$1:$I$89,5,0)</f>
        <v>11.576567625743708</v>
      </c>
      <c r="CV18" s="13">
        <f t="shared" si="41"/>
        <v>4.0117253032493201</v>
      </c>
      <c r="CW18" s="20">
        <f t="shared" si="13"/>
        <v>27.149610184662851</v>
      </c>
      <c r="CX18" s="59">
        <f t="shared" si="14"/>
        <v>290.16405767325261</v>
      </c>
      <c r="CY18" s="59">
        <f ca="1">AVERAGE(OFFSET($CX$3,0,0,'Données projet'!$E$13+1,1))-AVERAGE(OFFSET($H$3,0,0,'Données projet'!$E$13+1,1))</f>
        <v>163.16040389635825</v>
      </c>
      <c r="CZ18" s="59">
        <f t="shared" si="42"/>
        <v>138.57856782158811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7.7715686274509812</v>
      </c>
      <c r="DO18" s="12">
        <f>IF('Données projet'!$A$166&gt;35,DO17+DN18-DW17,IF(A18&lt;'Données projet'!$A$166,$DL$205^A18,IF(A18='Données projet'!$A$166,'Données projet'!$B$166,DO17+DN18-DW17)))</f>
        <v>116.57352941176468</v>
      </c>
      <c r="DP18" s="17">
        <f>DO18*VLOOKUP('Données projet'!$B$14,Paramètres!$A$1:$I$89,3,0)*VLOOKUP('Données projet'!$B$14,Paramètres!$A$1:$I$89,5,0)</f>
        <v>54.556411764705871</v>
      </c>
      <c r="DQ18" s="13">
        <f t="shared" si="43"/>
        <v>15.784433961873273</v>
      </c>
      <c r="DR18" s="20">
        <f t="shared" si="16"/>
        <v>122.51030630712535</v>
      </c>
      <c r="DS18" s="59">
        <f t="shared" si="17"/>
        <v>385.52475379571513</v>
      </c>
      <c r="DT18" s="59">
        <f ca="1">AVERAGE(OFFSET($DS$3,0,0,'Données projet'!$E$14+1,1))-AVERAGE(OFFSET($H$3,0,0,'Données projet'!$E$14+1,1))</f>
        <v>343.44193069803498</v>
      </c>
      <c r="DU18" s="59">
        <f t="shared" si="44"/>
        <v>280.67367019483481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1.8269230769230766</v>
      </c>
      <c r="EJ18" s="12">
        <f>IF('Données projet'!$A$192&gt;35,EJ17+EI18-ER17,IF(A18&lt;'Données projet'!$A$192,$EG$205^A18,IF(A18='Données projet'!$A$192,'Données projet'!$B$192,EJ17+EI18-ER17)))</f>
        <v>14.86150161407812</v>
      </c>
      <c r="EK18" s="17">
        <f>EJ18*VLOOKUP('Données projet'!$B$15,Paramètres!$A$1:$I$89,3,0)*VLOOKUP('Données projet'!$B$15,Paramètres!$A$1:$I$89,5,0)</f>
        <v>15.069562636675213</v>
      </c>
      <c r="EL18" s="13">
        <f t="shared" si="45"/>
        <v>5.0643276696788133</v>
      </c>
      <c r="EM18" s="20">
        <f t="shared" si="19"/>
        <v>35.066525616899931</v>
      </c>
      <c r="EN18" s="59">
        <f t="shared" si="20"/>
        <v>298.0809731054897</v>
      </c>
      <c r="EO18" s="59">
        <f ca="1">AVERAGE(OFFSET($EN$3,0,0,'Données projet'!$E$15+1,1))-AVERAGE(OFFSET($H$3,0,0,'Données projet'!$E$15+1,1))</f>
        <v>270.0029254736703</v>
      </c>
      <c r="EP18" s="59">
        <f t="shared" si="46"/>
        <v>183.80022202211441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32.323200000000007</v>
      </c>
      <c r="FG18" s="13">
        <f t="shared" si="47"/>
        <v>9.9393719729191545</v>
      </c>
      <c r="FH18" s="20">
        <f t="shared" si="22"/>
        <v>73.607312852834198</v>
      </c>
      <c r="FI18" s="59">
        <f t="shared" si="23"/>
        <v>336.62176034142396</v>
      </c>
      <c r="FJ18" s="59">
        <f ca="1">AVERAGE(OFFSET($FI$3,0,0,'Données projet'!$E$16+1,1))-AVERAGE(OFFSET($H$3,0,0,'Données projet'!$E$16+1,1))</f>
        <v>328.93328163316073</v>
      </c>
      <c r="FK18" s="59">
        <f t="shared" si="48"/>
        <v>320.27831321887072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0.13250000000000001</v>
      </c>
      <c r="FP18" s="16">
        <f>IF(ISNA(VLOOKUP(A18,'Données projet'!$A$217:$I$237,7,0)),0%,VLOOKUP(A18,'Données projet'!$A$217:$I$237,7,0))</f>
        <v>0.25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1.91184867736707</v>
      </c>
      <c r="FS18" s="21">
        <f>EXP(-LN(2)/2)*FS17+(1-EXP(-LN(2)/2))/(LN(2)/2)*FM18*FP18*VLOOKUP('Données projet'!$B$16,Paramètres!$A$1:$I$89,3,0)*0.475*44/12</f>
        <v>3.0909941722472518</v>
      </c>
      <c r="FT18" s="22">
        <f t="shared" si="24"/>
        <v>5.0028428496143214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1.8269230769230766</v>
      </c>
      <c r="FZ18" s="12">
        <f>IF('Données projet'!$A$244&gt;35,FZ17+FY18-GH17,IF(A18&lt;'Données projet'!$A$244,$FW$205^A18,IF(A18='Données projet'!$A$244,'Données projet'!$B$244,FZ17+FY18-GH17)))</f>
        <v>14.86150161407812</v>
      </c>
      <c r="GA18" s="17">
        <f>FZ18*VLOOKUP('Données projet'!$B$17,Paramètres!$A$1:$I$89,3,0)*VLOOKUP('Données projet'!$B$17,Paramètres!$A$1:$I$89,5,0)</f>
        <v>9.9690952827236039</v>
      </c>
      <c r="GB18" s="13">
        <f t="shared" si="49"/>
        <v>3.5153152876205684</v>
      </c>
      <c r="GC18" s="20">
        <f t="shared" si="25"/>
        <v>23.485348410016101</v>
      </c>
      <c r="GD18" s="59">
        <f t="shared" si="26"/>
        <v>286.4997958986059</v>
      </c>
      <c r="GE18" s="59">
        <f ca="1">AVERAGE(OFFSET($GD$3,0,0,'Données projet'!$E$17+1,1))-AVERAGE(OFFSET($H$3,0,0,'Données projet'!$E$17+1,1))</f>
        <v>192.88444860121191</v>
      </c>
      <c r="GF18" s="59">
        <f t="shared" si="50"/>
        <v>136.13737493732751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66.731212951433577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0.85000000000000009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3.1166666666666671</v>
      </c>
      <c r="H19" s="67">
        <f t="shared" si="1"/>
        <v>244.19999999999996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397.25759929316155</v>
      </c>
      <c r="S19" s="59">
        <f ca="1">AVERAGE(OFFSET($R$3,0,0,'Données projet'!$E$9+1,1))-AVERAGE(OFFSET($H$3,0,0,'Données projet'!$E$9+1,1))</f>
        <v>643.492472896403</v>
      </c>
      <c r="T19" s="59">
        <f t="shared" si="34"/>
        <v>285.0259479655341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3.56</v>
      </c>
      <c r="AI19" s="13">
        <f>IF('Données projet'!$A$62&gt;35,AI18+AH19-AQ18,IF(A19&lt;'Données projet'!$A$62,$AF$205^A19,IF(A19='Données projet'!$A$62,'Données projet'!$B$62,AI18+AH19-AQ18)))</f>
        <v>17.68518487944571</v>
      </c>
      <c r="AJ19" s="13">
        <f>AI19*VLOOKUP('Données projet'!$B$10,Paramètres!$A$1:$I$89,3,0)*VLOOKUP('Données projet'!$B$10,Paramètres!$A$1:$I$89,5,0)</f>
        <v>13.794444205967654</v>
      </c>
      <c r="AK19" s="13">
        <f t="shared" si="35"/>
        <v>4.6837607418514473</v>
      </c>
      <c r="AL19" s="20">
        <f t="shared" si="4"/>
        <v>32.182873617451598</v>
      </c>
      <c r="AM19" s="59">
        <f t="shared" si="5"/>
        <v>296.62746586865541</v>
      </c>
      <c r="AN19" s="59">
        <f ca="1">AVERAGE(OFFSET($AM$3,0,0,'Données projet'!$E$10+1,1))-AVERAGE(OFFSET($H$3,0,0,'Données projet'!$E$10+1,1))</f>
        <v>289.89907502443873</v>
      </c>
      <c r="AO19" s="59">
        <f t="shared" si="36"/>
        <v>267.42183550360301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1.153846153846154</v>
      </c>
      <c r="BD19" s="12">
        <f>IF('Données projet'!$A$88&gt;35,BD18+BC19-BL18,IF(A19&lt;'Données projet'!$A$88,$BA$205^A19,IF(A19='Données projet'!$A$88,'Données projet'!$B$88,BD18+BC19-BL18)))</f>
        <v>8.5991646760119096</v>
      </c>
      <c r="BE19" s="13">
        <f>BD19*VLOOKUP('Données projet'!$B$11,Paramètres!$A$1:$I$89,3,0)*VLOOKUP('Données projet'!$B$11,Paramètres!$A$1:$I$89,5,0)</f>
        <v>8.3171120746387199</v>
      </c>
      <c r="BF19" s="13">
        <f t="shared" si="37"/>
        <v>2.9952964607732095</v>
      </c>
      <c r="BG19" s="20">
        <f t="shared" si="7"/>
        <v>19.702444865842441</v>
      </c>
      <c r="BH19" s="59">
        <f t="shared" si="8"/>
        <v>284.14703711704624</v>
      </c>
      <c r="BI19" s="59">
        <f ca="1">AVERAGE(OFFSET($BH$3,0,0,'Données projet'!$E$11+1,1))-AVERAGE(OFFSET($H$3,0,0,'Données projet'!$E$11+1,1))</f>
        <v>177.54241137663234</v>
      </c>
      <c r="BJ19" s="59">
        <f t="shared" si="38"/>
        <v>114.71095021456071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1.153846153846154</v>
      </c>
      <c r="BY19" s="12">
        <f>IF('Données projet'!$A$114&gt;35,BY18+BX19-CG18,IF(A19&lt;'Données projet'!$A$114,$BV$205^A19,IF(A19='Données projet'!$A$114,'Données projet'!$B$114,BY18+BX19-CG18)))</f>
        <v>8.5991646760119096</v>
      </c>
      <c r="BZ19" s="13">
        <f>BY19*VLOOKUP('Données projet'!$B$12,Paramètres!$A$1:$I$89,3,0)*VLOOKUP('Données projet'!$B$12,Paramètres!$A$1:$I$89,5,0)</f>
        <v>9.2561408572592185</v>
      </c>
      <c r="CA19" s="13">
        <f t="shared" si="39"/>
        <v>3.2922254897177363</v>
      </c>
      <c r="CB19" s="20">
        <f t="shared" si="10"/>
        <v>21.855071387651531</v>
      </c>
      <c r="CC19" s="59">
        <f t="shared" si="11"/>
        <v>286.29966363885535</v>
      </c>
      <c r="CD19" s="59">
        <f ca="1">AVERAGE(OFFSET($CC$3,0,0,'Données projet'!$E$12+1,1))-AVERAGE(OFFSET($H$3,0,0,'Données projet'!$E$12+1,1))</f>
        <v>192.88977161349993</v>
      </c>
      <c r="CE19" s="59">
        <f t="shared" si="40"/>
        <v>122.91376861456772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1.7307692307692306</v>
      </c>
      <c r="CT19" s="12">
        <f>IF('Données projet'!$A$140&gt;35,CT18+CS19-DB18,IF(A19&lt;'Données projet'!$A$140,$CQ$205^A19,IF(A19='Données projet'!$A$140,'Données projet'!$B$140,CT18+CS19-DB18)))</f>
        <v>17.03787113564637</v>
      </c>
      <c r="CU19" s="17">
        <f>CT19*VLOOKUP('Données projet'!$B$13,Paramètres!$A$1:$I$89,3,0)*VLOOKUP('Données projet'!$B$13,Paramètres!$A$1:$I$89,5,0)</f>
        <v>13.821121065236337</v>
      </c>
      <c r="CV19" s="13">
        <f t="shared" si="41"/>
        <v>4.6917633592089878</v>
      </c>
      <c r="CW19" s="20">
        <f t="shared" si="13"/>
        <v>32.24327370590894</v>
      </c>
      <c r="CX19" s="59">
        <f t="shared" si="14"/>
        <v>296.68786595711276</v>
      </c>
      <c r="CY19" s="59">
        <f ca="1">AVERAGE(OFFSET($CX$3,0,0,'Données projet'!$E$13+1,1))-AVERAGE(OFFSET($H$3,0,0,'Données projet'!$E$13+1,1))</f>
        <v>163.16040389635825</v>
      </c>
      <c r="CZ19" s="59">
        <f t="shared" si="42"/>
        <v>138.57856782158811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7.7715686274509812</v>
      </c>
      <c r="DO19" s="12">
        <f>IF('Données projet'!$A$166&gt;35,DO18+DN19-DW18,IF(A19&lt;'Données projet'!$A$166,$DL$205^A19,IF(A19='Données projet'!$A$166,'Données projet'!$B$166,DO18+DN19-DW18)))</f>
        <v>124.34509803921566</v>
      </c>
      <c r="DP19" s="17">
        <f>DO19*VLOOKUP('Données projet'!$B$14,Paramètres!$A$1:$I$89,3,0)*VLOOKUP('Données projet'!$B$14,Paramètres!$A$1:$I$89,5,0)</f>
        <v>58.193505882352923</v>
      </c>
      <c r="DQ19" s="13">
        <f t="shared" si="43"/>
        <v>16.710721165612199</v>
      </c>
      <c r="DR19" s="20">
        <f t="shared" si="16"/>
        <v>130.45819544187259</v>
      </c>
      <c r="DS19" s="59">
        <f t="shared" si="17"/>
        <v>394.90278769307639</v>
      </c>
      <c r="DT19" s="59">
        <f ca="1">AVERAGE(OFFSET($DS$3,0,0,'Données projet'!$E$14+1,1))-AVERAGE(OFFSET($H$3,0,0,'Données projet'!$E$14+1,1))</f>
        <v>343.44193069803498</v>
      </c>
      <c r="DU19" s="59">
        <f t="shared" si="44"/>
        <v>280.67367019483481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1.8269230769230766</v>
      </c>
      <c r="EJ19" s="12">
        <f>IF('Données projet'!$A$192&gt;35,EJ18+EI19-ER18,IF(A19&lt;'Données projet'!$A$192,$EG$205^A19,IF(A19='Données projet'!$A$192,'Données projet'!$B$192,EJ18+EI19-ER18)))</f>
        <v>17.790993698532937</v>
      </c>
      <c r="EK19" s="17">
        <f>EJ19*VLOOKUP('Données projet'!$B$15,Paramètres!$A$1:$I$89,3,0)*VLOOKUP('Données projet'!$B$15,Paramètres!$A$1:$I$89,5,0)</f>
        <v>18.040067610312398</v>
      </c>
      <c r="EL19" s="13">
        <f t="shared" si="45"/>
        <v>5.9369597389194739</v>
      </c>
      <c r="EM19" s="20">
        <f t="shared" si="19"/>
        <v>41.759989299912178</v>
      </c>
      <c r="EN19" s="59">
        <f t="shared" si="20"/>
        <v>306.20458155111601</v>
      </c>
      <c r="EO19" s="59">
        <f ca="1">AVERAGE(OFFSET($EN$3,0,0,'Données projet'!$E$15+1,1))-AVERAGE(OFFSET($H$3,0,0,'Données projet'!$E$15+1,1))</f>
        <v>270.0029254736703</v>
      </c>
      <c r="EP19" s="59">
        <f t="shared" si="46"/>
        <v>183.80022202211441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33.6</v>
      </c>
      <c r="FF19" s="17">
        <f>FE19*VLOOKUP('Données projet'!$B$16,Paramètres!$A$1:$I$89,3,0)*VLOOKUP('Données projet'!$B$16,Paramètres!$A$1:$I$89,5,0)</f>
        <v>29.352960000000007</v>
      </c>
      <c r="FG19" s="13">
        <f t="shared" si="47"/>
        <v>9.1278666361046881</v>
      </c>
      <c r="FH19" s="20">
        <f t="shared" si="22"/>
        <v>67.020773057882352</v>
      </c>
      <c r="FI19" s="59">
        <f t="shared" si="23"/>
        <v>331.46536530908617</v>
      </c>
      <c r="FJ19" s="59">
        <f ca="1">AVERAGE(OFFSET($FI$3,0,0,'Données projet'!$E$16+1,1))-AVERAGE(OFFSET($H$3,0,0,'Données projet'!$E$16+1,1))</f>
        <v>328.93328163316073</v>
      </c>
      <c r="FK19" s="59">
        <f t="shared" si="48"/>
        <v>320.27831321887072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1.8595690747447151</v>
      </c>
      <c r="FS19" s="21">
        <f>EXP(-LN(2)/2)*FS18+(1-EXP(-LN(2)/2))/(LN(2)/2)*FM19*FP19*VLOOKUP('Données projet'!$B$16,Paramètres!$A$1:$I$89,3,0)*0.475*44/12</f>
        <v>2.1856629398041312</v>
      </c>
      <c r="FT19" s="22">
        <f t="shared" si="24"/>
        <v>4.0452320145488461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1.8269230769230766</v>
      </c>
      <c r="FZ19" s="12">
        <f>IF('Données projet'!$A$244&gt;35,FZ18+FY19-GH18,IF(A19&lt;'Données projet'!$A$244,$FW$205^A19,IF(A19='Données projet'!$A$244,'Données projet'!$B$244,FZ18+FY19-GH18)))</f>
        <v>17.790993698532937</v>
      </c>
      <c r="GA19" s="17">
        <f>FZ19*VLOOKUP('Données projet'!$B$17,Paramètres!$A$1:$I$89,3,0)*VLOOKUP('Données projet'!$B$17,Paramètres!$A$1:$I$89,5,0)</f>
        <v>11.934198572975895</v>
      </c>
      <c r="GB19" s="13">
        <f t="shared" si="49"/>
        <v>4.121037715858356</v>
      </c>
      <c r="GC19" s="20">
        <f t="shared" si="25"/>
        <v>27.962869869719654</v>
      </c>
      <c r="GD19" s="59">
        <f t="shared" si="26"/>
        <v>292.40746212092347</v>
      </c>
      <c r="GE19" s="59">
        <f ca="1">AVERAGE(OFFSET($GD$3,0,0,'Données projet'!$E$17+1,1))-AVERAGE(OFFSET($H$3,0,0,'Données projet'!$E$17+1,1))</f>
        <v>192.88444860121191</v>
      </c>
      <c r="GF19" s="59">
        <f t="shared" si="50"/>
        <v>136.13737493732751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66.787919098813163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0.85000000000000009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3.1166666666666671</v>
      </c>
      <c r="H20" s="67">
        <f t="shared" si="1"/>
        <v>244.19999999999996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406.7639422461076</v>
      </c>
      <c r="S20" s="59">
        <f ca="1">AVERAGE(OFFSET($R$3,0,0,'Données projet'!$E$9+1,1))-AVERAGE(OFFSET($H$3,0,0,'Données projet'!$E$9+1,1))</f>
        <v>643.492472896403</v>
      </c>
      <c r="T20" s="59">
        <f t="shared" si="34"/>
        <v>285.0259479655341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3.56</v>
      </c>
      <c r="AI20" s="13">
        <f>IF('Données projet'!$A$62&gt;35,AI19+AH20-AQ19,IF(A20&lt;'Données projet'!$A$62,$AF$205^A20,IF(A20='Données projet'!$A$62,'Données projet'!$B$62,AI19+AH20-AQ19)))</f>
        <v>21.163388504175224</v>
      </c>
      <c r="AJ20" s="13">
        <f>AI20*VLOOKUP('Données projet'!$B$10,Paramètres!$A$1:$I$89,3,0)*VLOOKUP('Données projet'!$B$10,Paramètres!$A$1:$I$89,5,0)</f>
        <v>16.507443033256674</v>
      </c>
      <c r="AK20" s="13">
        <f t="shared" si="35"/>
        <v>5.4890089955831698</v>
      </c>
      <c r="AL20" s="20">
        <f t="shared" si="4"/>
        <v>38.310487283562729</v>
      </c>
      <c r="AM20" s="59">
        <f t="shared" si="5"/>
        <v>304.18161730614997</v>
      </c>
      <c r="AN20" s="59">
        <f ca="1">AVERAGE(OFFSET($AM$3,0,0,'Données projet'!$E$10+1,1))-AVERAGE(OFFSET($H$3,0,0,'Données projet'!$E$10+1,1))</f>
        <v>289.89907502443873</v>
      </c>
      <c r="AO20" s="59">
        <f t="shared" si="36"/>
        <v>267.42183550360301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1.153846153846154</v>
      </c>
      <c r="BD20" s="12">
        <f>IF('Données projet'!$A$88&gt;35,BD19+BC20-BL19,IF(A20&lt;'Données projet'!$A$88,$BA$205^A20,IF(A20='Données projet'!$A$88,'Données projet'!$B$88,BD19+BC20-BL19)))</f>
        <v>9.836934565038753</v>
      </c>
      <c r="BE20" s="13">
        <f>BD20*VLOOKUP('Données projet'!$B$11,Paramètres!$A$1:$I$89,3,0)*VLOOKUP('Données projet'!$B$11,Paramètres!$A$1:$I$89,5,0)</f>
        <v>9.5142831113054811</v>
      </c>
      <c r="BF20" s="13">
        <f t="shared" si="37"/>
        <v>3.3732238369883953</v>
      </c>
      <c r="BG20" s="20">
        <f t="shared" si="7"/>
        <v>22.4457412682785</v>
      </c>
      <c r="BH20" s="59">
        <f t="shared" si="8"/>
        <v>288.31687129086572</v>
      </c>
      <c r="BI20" s="59">
        <f ca="1">AVERAGE(OFFSET($BH$3,0,0,'Données projet'!$E$11+1,1))-AVERAGE(OFFSET($H$3,0,0,'Données projet'!$E$11+1,1))</f>
        <v>177.54241137663234</v>
      </c>
      <c r="BJ20" s="59">
        <f t="shared" si="38"/>
        <v>114.71095021456071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1.153846153846154</v>
      </c>
      <c r="BY20" s="12">
        <f>IF('Données projet'!$A$114&gt;35,BY19+BX20-CG19,IF(A20&lt;'Données projet'!$A$114,$BV$205^A20,IF(A20='Données projet'!$A$114,'Données projet'!$B$114,BY19+BX20-CG19)))</f>
        <v>9.836934565038753</v>
      </c>
      <c r="BZ20" s="13">
        <f>BY20*VLOOKUP('Données projet'!$B$12,Paramètres!$A$1:$I$89,3,0)*VLOOKUP('Données projet'!$B$12,Paramètres!$A$1:$I$89,5,0)</f>
        <v>10.588476365807713</v>
      </c>
      <c r="CA20" s="13">
        <f t="shared" si="39"/>
        <v>3.7076174742949788</v>
      </c>
      <c r="CB20" s="20">
        <f t="shared" si="10"/>
        <v>24.899030104845522</v>
      </c>
      <c r="CC20" s="59">
        <f t="shared" si="11"/>
        <v>290.77016012743275</v>
      </c>
      <c r="CD20" s="59">
        <f ca="1">AVERAGE(OFFSET($CC$3,0,0,'Données projet'!$E$12+1,1))-AVERAGE(OFFSET($H$3,0,0,'Données projet'!$E$12+1,1))</f>
        <v>192.88977161349993</v>
      </c>
      <c r="CE20" s="59">
        <f t="shared" si="40"/>
        <v>122.91376861456772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1.7307692307692306</v>
      </c>
      <c r="CT20" s="12">
        <f>IF('Données projet'!$A$140&gt;35,CT19+CS20-DB19,IF(A20&lt;'Données projet'!$A$140,$CQ$205^A20,IF(A20='Données projet'!$A$140,'Données projet'!$B$140,CT19+CS20-DB19)))</f>
        <v>20.341303853830009</v>
      </c>
      <c r="CU20" s="17">
        <f>CT20*VLOOKUP('Données projet'!$B$13,Paramètres!$A$1:$I$89,3,0)*VLOOKUP('Données projet'!$B$13,Paramètres!$A$1:$I$89,5,0)</f>
        <v>16.500865686226902</v>
      </c>
      <c r="CV20" s="13">
        <f t="shared" si="41"/>
        <v>5.4870764458839529</v>
      </c>
      <c r="CW20" s="20">
        <f t="shared" si="13"/>
        <v>38.295665880093075</v>
      </c>
      <c r="CX20" s="59">
        <f t="shared" si="14"/>
        <v>304.16679590268029</v>
      </c>
      <c r="CY20" s="59">
        <f ca="1">AVERAGE(OFFSET($CX$3,0,0,'Données projet'!$E$13+1,1))-AVERAGE(OFFSET($H$3,0,0,'Données projet'!$E$13+1,1))</f>
        <v>163.16040389635825</v>
      </c>
      <c r="CZ20" s="59">
        <f t="shared" si="42"/>
        <v>138.57856782158811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7.7715686274509812</v>
      </c>
      <c r="DO20" s="12">
        <f>IF('Données projet'!$A$166&gt;35,DO19+DN20-DW19,IF(A20&lt;'Données projet'!$A$166,$DL$205^A20,IF(A20='Données projet'!$A$166,'Données projet'!$B$166,DO19+DN20-DW19)))</f>
        <v>132.11666666666665</v>
      </c>
      <c r="DP20" s="17">
        <f>DO20*VLOOKUP('Données projet'!$B$14,Paramètres!$A$1:$I$89,3,0)*VLOOKUP('Données projet'!$B$14,Paramètres!$A$1:$I$89,5,0)</f>
        <v>61.83059999999999</v>
      </c>
      <c r="DQ20" s="13">
        <f t="shared" si="43"/>
        <v>17.630289466347477</v>
      </c>
      <c r="DR20" s="20">
        <f t="shared" si="16"/>
        <v>138.39438248722183</v>
      </c>
      <c r="DS20" s="59">
        <f t="shared" si="17"/>
        <v>404.26551250980907</v>
      </c>
      <c r="DT20" s="59">
        <f ca="1">AVERAGE(OFFSET($DS$3,0,0,'Données projet'!$E$14+1,1))-AVERAGE(OFFSET($H$3,0,0,'Données projet'!$E$14+1,1))</f>
        <v>343.44193069803498</v>
      </c>
      <c r="DU20" s="59">
        <f t="shared" si="44"/>
        <v>280.67367019483481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1.8269230769230766</v>
      </c>
      <c r="EJ20" s="12">
        <f>IF('Données projet'!$A$192&gt;35,EJ19+EI20-ER19,IF(A20&lt;'Données projet'!$A$192,$EG$205^A20,IF(A20='Données projet'!$A$192,'Données projet'!$B$192,EJ19+EI20-ER19)))</f>
        <v>21.297945860423926</v>
      </c>
      <c r="EK20" s="17">
        <f>EJ20*VLOOKUP('Données projet'!$B$15,Paramètres!$A$1:$I$89,3,0)*VLOOKUP('Données projet'!$B$15,Paramètres!$A$1:$I$89,5,0)</f>
        <v>21.596117102469861</v>
      </c>
      <c r="EL20" s="13">
        <f t="shared" si="45"/>
        <v>6.9599546554984739</v>
      </c>
      <c r="EM20" s="20">
        <f t="shared" si="19"/>
        <v>49.735158311794855</v>
      </c>
      <c r="EN20" s="59">
        <f t="shared" si="20"/>
        <v>315.6062883343821</v>
      </c>
      <c r="EO20" s="59">
        <f ca="1">AVERAGE(OFFSET($EN$3,0,0,'Données projet'!$E$15+1,1))-AVERAGE(OFFSET($H$3,0,0,'Données projet'!$E$15+1,1))</f>
        <v>270.0029254736703</v>
      </c>
      <c r="EP20" s="59">
        <f t="shared" si="46"/>
        <v>183.80022202211441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45.2</v>
      </c>
      <c r="FF20" s="17">
        <f>FE20*VLOOKUP('Données projet'!$B$16,Paramètres!$A$1:$I$89,3,0)*VLOOKUP('Données projet'!$B$16,Paramètres!$A$1:$I$89,5,0)</f>
        <v>39.486720000000005</v>
      </c>
      <c r="FG20" s="13">
        <f t="shared" si="47"/>
        <v>11.862499896265861</v>
      </c>
      <c r="FH20" s="20">
        <f t="shared" si="22"/>
        <v>89.433224652663043</v>
      </c>
      <c r="FI20" s="59">
        <f t="shared" si="23"/>
        <v>355.30435467525029</v>
      </c>
      <c r="FJ20" s="59">
        <f ca="1">AVERAGE(OFFSET($FI$3,0,0,'Données projet'!$E$16+1,1))-AVERAGE(OFFSET($H$3,0,0,'Données projet'!$E$16+1,1))</f>
        <v>328.93328163316073</v>
      </c>
      <c r="FK20" s="59">
        <f t="shared" si="48"/>
        <v>320.27831321887072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1.8087190606053334</v>
      </c>
      <c r="FS20" s="21">
        <f>EXP(-LN(2)/2)*FS19+(1-EXP(-LN(2)/2))/(LN(2)/2)*FM20*FP20*VLOOKUP('Données projet'!$B$16,Paramètres!$A$1:$I$89,3,0)*0.475*44/12</f>
        <v>1.5454970861236261</v>
      </c>
      <c r="FT20" s="22">
        <f t="shared" si="24"/>
        <v>3.3542161467289597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1.8269230769230766</v>
      </c>
      <c r="FZ20" s="12">
        <f>IF('Données projet'!$A$244&gt;35,FZ19+FY20-GH19,IF(A20&lt;'Données projet'!$A$244,$FW$205^A20,IF(A20='Données projet'!$A$244,'Données projet'!$B$244,FZ19+FY20-GH19)))</f>
        <v>21.297945860423926</v>
      </c>
      <c r="GA20" s="17">
        <f>FZ20*VLOOKUP('Données projet'!$B$17,Paramètres!$A$1:$I$89,3,0)*VLOOKUP('Données projet'!$B$17,Paramètres!$A$1:$I$89,5,0)</f>
        <v>14.28666208317237</v>
      </c>
      <c r="GB20" s="13">
        <f t="shared" si="49"/>
        <v>4.8311319088030924</v>
      </c>
      <c r="GC20" s="20">
        <f t="shared" si="25"/>
        <v>33.296824536023927</v>
      </c>
      <c r="GD20" s="59">
        <f t="shared" si="26"/>
        <v>299.16795455861114</v>
      </c>
      <c r="GE20" s="59">
        <f ca="1">AVERAGE(OFFSET($GD$3,0,0,'Données projet'!$E$17+1,1))-AVERAGE(OFFSET($H$3,0,0,'Données projet'!$E$17+1,1))</f>
        <v>192.88444860121191</v>
      </c>
      <c r="GF20" s="59">
        <f t="shared" si="50"/>
        <v>136.13737493732751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66.843641521311667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0.85000000000000009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3.1166666666666671</v>
      </c>
      <c r="H21" s="67">
        <f t="shared" si="1"/>
        <v>244.19999999999996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416.25562655261103</v>
      </c>
      <c r="S21" s="59">
        <f ca="1">AVERAGE(OFFSET($R$3,0,0,'Données projet'!$E$9+1,1))-AVERAGE(OFFSET($H$3,0,0,'Données projet'!$E$9+1,1))</f>
        <v>643.492472896403</v>
      </c>
      <c r="T21" s="59">
        <f t="shared" si="34"/>
        <v>285.0259479655341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3.56</v>
      </c>
      <c r="AI21" s="13">
        <f>IF('Données projet'!$A$62&gt;35,AI20+AH21-AQ20,IF(A21&lt;'Données projet'!$A$62,$AF$205^A21,IF(A21='Données projet'!$A$62,'Données projet'!$B$62,AI20+AH21-AQ20)))</f>
        <v>25.325661904683113</v>
      </c>
      <c r="AJ21" s="13">
        <f>AI21*VLOOKUP('Données projet'!$B$10,Paramètres!$A$1:$I$89,3,0)*VLOOKUP('Données projet'!$B$10,Paramètres!$A$1:$I$89,5,0)</f>
        <v>19.754016285652828</v>
      </c>
      <c r="AK21" s="13">
        <f t="shared" si="35"/>
        <v>6.4326982982660121</v>
      </c>
      <c r="AL21" s="20">
        <f t="shared" si="4"/>
        <v>45.608527900325306</v>
      </c>
      <c r="AM21" s="59">
        <f t="shared" si="5"/>
        <v>312.9026512762992</v>
      </c>
      <c r="AN21" s="59">
        <f ca="1">AVERAGE(OFFSET($AM$3,0,0,'Données projet'!$E$10+1,1))-AVERAGE(OFFSET($H$3,0,0,'Données projet'!$E$10+1,1))</f>
        <v>289.89907502443873</v>
      </c>
      <c r="AO21" s="59">
        <f t="shared" si="36"/>
        <v>267.42183550360301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1.153846153846154</v>
      </c>
      <c r="BD21" s="12">
        <f>IF('Données projet'!$A$88&gt;35,BD20+BC21-BL20,IF(A21&lt;'Données projet'!$A$88,$BA$205^A21,IF(A21='Données projet'!$A$88,'Données projet'!$B$88,BD20+BC21-BL20)))</f>
        <v>11.252869933609833</v>
      </c>
      <c r="BE21" s="13">
        <f>BD21*VLOOKUP('Données projet'!$B$11,Paramètres!$A$1:$I$89,3,0)*VLOOKUP('Données projet'!$B$11,Paramètres!$A$1:$I$89,5,0)</f>
        <v>10.883775799787431</v>
      </c>
      <c r="BF21" s="13">
        <f t="shared" si="37"/>
        <v>3.7988356756811363</v>
      </c>
      <c r="BG21" s="20">
        <f t="shared" si="7"/>
        <v>25.572214986441086</v>
      </c>
      <c r="BH21" s="59">
        <f t="shared" si="8"/>
        <v>292.86633836241498</v>
      </c>
      <c r="BI21" s="59">
        <f ca="1">AVERAGE(OFFSET($BH$3,0,0,'Données projet'!$E$11+1,1))-AVERAGE(OFFSET($H$3,0,0,'Données projet'!$E$11+1,1))</f>
        <v>177.54241137663234</v>
      </c>
      <c r="BJ21" s="59">
        <f t="shared" si="38"/>
        <v>114.71095021456071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1.153846153846154</v>
      </c>
      <c r="BY21" s="12">
        <f>IF('Données projet'!$A$114&gt;35,BY20+BX21-CG20,IF(A21&lt;'Données projet'!$A$114,$BV$205^A21,IF(A21='Données projet'!$A$114,'Données projet'!$B$114,BY20+BX21-CG20)))</f>
        <v>11.252869933609833</v>
      </c>
      <c r="BZ21" s="13">
        <f>BY21*VLOOKUP('Données projet'!$B$12,Paramètres!$A$1:$I$89,3,0)*VLOOKUP('Données projet'!$B$12,Paramètres!$A$1:$I$89,5,0)</f>
        <v>12.112589196537625</v>
      </c>
      <c r="CA21" s="13">
        <f t="shared" si="39"/>
        <v>4.1754209663433643</v>
      </c>
      <c r="CB21" s="20">
        <f t="shared" si="10"/>
        <v>28.368284367017722</v>
      </c>
      <c r="CC21" s="59">
        <f t="shared" si="11"/>
        <v>295.6624077429916</v>
      </c>
      <c r="CD21" s="59">
        <f ca="1">AVERAGE(OFFSET($CC$3,0,0,'Données projet'!$E$12+1,1))-AVERAGE(OFFSET($H$3,0,0,'Données projet'!$E$12+1,1))</f>
        <v>192.88977161349993</v>
      </c>
      <c r="CE21" s="59">
        <f t="shared" si="40"/>
        <v>122.91376861456772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1.7307692307692306</v>
      </c>
      <c r="CT21" s="12">
        <f>IF('Données projet'!$A$140&gt;35,CT20+CS21-DB20,IF(A21&lt;'Données projet'!$A$140,$CQ$205^A21,IF(A21='Données projet'!$A$140,'Données projet'!$B$140,CT20+CS21-DB20)))</f>
        <v>24.285231363685998</v>
      </c>
      <c r="CU21" s="17">
        <f>CT21*VLOOKUP('Données projet'!$B$13,Paramètres!$A$1:$I$89,3,0)*VLOOKUP('Données projet'!$B$13,Paramètres!$A$1:$I$89,5,0)</f>
        <v>19.700179682222085</v>
      </c>
      <c r="CV21" s="13">
        <f t="shared" si="41"/>
        <v>6.4172051354377277</v>
      </c>
      <c r="CW21" s="20">
        <f t="shared" si="13"/>
        <v>45.487778557424171</v>
      </c>
      <c r="CX21" s="59">
        <f t="shared" si="14"/>
        <v>312.78190193339805</v>
      </c>
      <c r="CY21" s="59">
        <f ca="1">AVERAGE(OFFSET($CX$3,0,0,'Données projet'!$E$13+1,1))-AVERAGE(OFFSET($H$3,0,0,'Données projet'!$E$13+1,1))</f>
        <v>163.16040389635825</v>
      </c>
      <c r="CZ21" s="59">
        <f t="shared" si="42"/>
        <v>138.57856782158811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7.7715686274509812</v>
      </c>
      <c r="DO21" s="12">
        <f>IF('Données projet'!$A$166&gt;35,DO20+DN21-DW20,IF(A21&lt;'Données projet'!$A$166,$DL$205^A21,IF(A21='Données projet'!$A$166,'Données projet'!$B$166,DO20+DN21-DW20)))</f>
        <v>139.88823529411764</v>
      </c>
      <c r="DP21" s="17">
        <f>DO21*VLOOKUP('Données projet'!$B$14,Paramètres!$A$1:$I$89,3,0)*VLOOKUP('Données projet'!$B$14,Paramètres!$A$1:$I$89,5,0)</f>
        <v>65.467694117647056</v>
      </c>
      <c r="DQ21" s="13">
        <f t="shared" si="43"/>
        <v>18.543579113671662</v>
      </c>
      <c r="DR21" s="20">
        <f t="shared" si="16"/>
        <v>146.31963421121341</v>
      </c>
      <c r="DS21" s="59">
        <f t="shared" si="17"/>
        <v>413.61375758718725</v>
      </c>
      <c r="DT21" s="59">
        <f ca="1">AVERAGE(OFFSET($DS$3,0,0,'Données projet'!$E$14+1,1))-AVERAGE(OFFSET($H$3,0,0,'Données projet'!$E$14+1,1))</f>
        <v>343.44193069803498</v>
      </c>
      <c r="DU21" s="59">
        <f t="shared" si="44"/>
        <v>280.67367019483481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1.8269230769230766</v>
      </c>
      <c r="EJ21" s="12">
        <f>IF('Données projet'!$A$192&gt;35,EJ20+EI21-ER20,IF(A21&lt;'Données projet'!$A$192,$EG$205^A21,IF(A21='Données projet'!$A$192,'Données projet'!$B$192,EJ20+EI21-ER20)))</f>
        <v>25.49618675380416</v>
      </c>
      <c r="EK21" s="17">
        <f>EJ21*VLOOKUP('Données projet'!$B$15,Paramètres!$A$1:$I$89,3,0)*VLOOKUP('Données projet'!$B$15,Paramètres!$A$1:$I$89,5,0)</f>
        <v>25.853133368357419</v>
      </c>
      <c r="EL21" s="13">
        <f t="shared" si="45"/>
        <v>8.1592213753854956</v>
      </c>
      <c r="EM21" s="20">
        <f t="shared" si="19"/>
        <v>59.238184512018925</v>
      </c>
      <c r="EN21" s="59">
        <f t="shared" si="20"/>
        <v>326.53230788799277</v>
      </c>
      <c r="EO21" s="59">
        <f ca="1">AVERAGE(OFFSET($EN$3,0,0,'Données projet'!$E$15+1,1))-AVERAGE(OFFSET($H$3,0,0,'Données projet'!$E$15+1,1))</f>
        <v>270.0029254736703</v>
      </c>
      <c r="EP21" s="59">
        <f t="shared" si="46"/>
        <v>183.80022202211441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56.800000000000004</v>
      </c>
      <c r="FF21" s="17">
        <f>FE21*VLOOKUP('Données projet'!$B$16,Paramètres!$A$1:$I$89,3,0)*VLOOKUP('Données projet'!$B$16,Paramètres!$A$1:$I$89,5,0)</f>
        <v>49.620480000000015</v>
      </c>
      <c r="FG21" s="13">
        <f t="shared" si="47"/>
        <v>14.515703547444382</v>
      </c>
      <c r="FH21" s="20">
        <f t="shared" si="22"/>
        <v>111.70385301179901</v>
      </c>
      <c r="FI21" s="59">
        <f t="shared" si="23"/>
        <v>378.99797638777289</v>
      </c>
      <c r="FJ21" s="59">
        <f ca="1">AVERAGE(OFFSET($FI$3,0,0,'Données projet'!$E$16+1,1))-AVERAGE(OFFSET($H$3,0,0,'Données projet'!$E$16+1,1))</f>
        <v>328.93328163316073</v>
      </c>
      <c r="FK21" s="59">
        <f t="shared" si="48"/>
        <v>320.27831321887072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1.7592595427766791</v>
      </c>
      <c r="FS21" s="21">
        <f>EXP(-LN(2)/2)*FS20+(1-EXP(-LN(2)/2))/(LN(2)/2)*FM21*FP21*VLOOKUP('Données projet'!$B$16,Paramètres!$A$1:$I$89,3,0)*0.475*44/12</f>
        <v>1.0928314699020658</v>
      </c>
      <c r="FT21" s="22">
        <f t="shared" si="24"/>
        <v>2.8520910126787449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1.8269230769230766</v>
      </c>
      <c r="FZ21" s="12">
        <f>IF('Données projet'!$A$244&gt;35,FZ20+FY21-GH20,IF(A21&lt;'Données projet'!$A$244,$FW$205^A21,IF(A21='Données projet'!$A$244,'Données projet'!$B$244,FZ20+FY21-GH20)))</f>
        <v>25.49618675380416</v>
      </c>
      <c r="GA21" s="17">
        <f>FZ21*VLOOKUP('Données projet'!$B$17,Paramètres!$A$1:$I$89,3,0)*VLOOKUP('Données projet'!$B$17,Paramètres!$A$1:$I$89,5,0)</f>
        <v>17.102842074451832</v>
      </c>
      <c r="GB21" s="13">
        <f t="shared" si="49"/>
        <v>5.663582119241549</v>
      </c>
      <c r="GC21" s="20">
        <f t="shared" si="25"/>
        <v>39.651522137349311</v>
      </c>
      <c r="GD21" s="59">
        <f t="shared" si="26"/>
        <v>306.9456455133232</v>
      </c>
      <c r="GE21" s="59">
        <f ca="1">AVERAGE(OFFSET($GD$3,0,0,'Données projet'!$E$17+1,1))-AVERAGE(OFFSET($H$3,0,0,'Données projet'!$E$17+1,1))</f>
        <v>192.88444860121191</v>
      </c>
      <c r="GF21" s="59">
        <f t="shared" si="50"/>
        <v>136.13737493732751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66.898397284356506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0.85000000000000009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3.1166666666666671</v>
      </c>
      <c r="H22" s="67">
        <f t="shared" si="1"/>
        <v>244.19999999999996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425.73340153229947</v>
      </c>
      <c r="S22" s="59">
        <f ca="1">AVERAGE(OFFSET($R$3,0,0,'Données projet'!$E$9+1,1))-AVERAGE(OFFSET($H$3,0,0,'Données projet'!$E$9+1,1))</f>
        <v>643.492472896403</v>
      </c>
      <c r="T22" s="59">
        <f t="shared" si="34"/>
        <v>285.0259479655341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3.56</v>
      </c>
      <c r="AI22" s="13">
        <f>IF('Données projet'!$A$62&gt;35,AI21+AH22-AQ21,IF(A22&lt;'Données projet'!$A$62,$AF$205^A22,IF(A22='Données projet'!$A$62,'Données projet'!$B$62,AI21+AH22-AQ21)))</f>
        <v>30.306543339398647</v>
      </c>
      <c r="AJ22" s="13">
        <f>AI22*VLOOKUP('Données projet'!$B$10,Paramètres!$A$1:$I$89,3,0)*VLOOKUP('Données projet'!$B$10,Paramètres!$A$1:$I$89,5,0)</f>
        <v>23.639103804730947</v>
      </c>
      <c r="AK22" s="13">
        <f t="shared" si="35"/>
        <v>7.5386299111208031</v>
      </c>
      <c r="AL22" s="20">
        <f t="shared" si="4"/>
        <v>54.301219555108467</v>
      </c>
      <c r="AM22" s="59">
        <f t="shared" si="5"/>
        <v>323.01485335420017</v>
      </c>
      <c r="AN22" s="59">
        <f ca="1">AVERAGE(OFFSET($AM$3,0,0,'Données projet'!$E$10+1,1))-AVERAGE(OFFSET($H$3,0,0,'Données projet'!$E$10+1,1))</f>
        <v>289.89907502443873</v>
      </c>
      <c r="AO22" s="59">
        <f t="shared" si="36"/>
        <v>267.42183550360301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1.153846153846154</v>
      </c>
      <c r="BD22" s="12">
        <f>IF('Données projet'!$A$88&gt;35,BD21+BC22-BL21,IF(A22&lt;'Données projet'!$A$88,$BA$205^A22,IF(A22='Données projet'!$A$88,'Données projet'!$B$88,BD21+BC22-BL21)))</f>
        <v>12.872616047765822</v>
      </c>
      <c r="BE22" s="13">
        <f>BD22*VLOOKUP('Données projet'!$B$11,Paramètres!$A$1:$I$89,3,0)*VLOOKUP('Données projet'!$B$11,Paramètres!$A$1:$I$89,5,0)</f>
        <v>12.450394241399104</v>
      </c>
      <c r="BF22" s="13">
        <f t="shared" si="37"/>
        <v>4.2781484977622624</v>
      </c>
      <c r="BG22" s="20">
        <f t="shared" si="7"/>
        <v>29.135545270706046</v>
      </c>
      <c r="BH22" s="59">
        <f t="shared" si="8"/>
        <v>297.84917906979774</v>
      </c>
      <c r="BI22" s="59">
        <f ca="1">AVERAGE(OFFSET($BH$3,0,0,'Données projet'!$E$11+1,1))-AVERAGE(OFFSET($H$3,0,0,'Données projet'!$E$11+1,1))</f>
        <v>177.54241137663234</v>
      </c>
      <c r="BJ22" s="59">
        <f t="shared" si="38"/>
        <v>114.71095021456071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1.153846153846154</v>
      </c>
      <c r="BY22" s="12">
        <f>IF('Données projet'!$A$114&gt;35,BY21+BX22-CG21,IF(A22&lt;'Données projet'!$A$114,$BV$205^A22,IF(A22='Données projet'!$A$114,'Données projet'!$B$114,BY21+BX22-CG21)))</f>
        <v>12.872616047765822</v>
      </c>
      <c r="BZ22" s="13">
        <f>BY22*VLOOKUP('Données projet'!$B$12,Paramètres!$A$1:$I$89,3,0)*VLOOKUP('Données projet'!$B$12,Paramètres!$A$1:$I$89,5,0)</f>
        <v>13.856083913815132</v>
      </c>
      <c r="CA22" s="13">
        <f t="shared" si="39"/>
        <v>4.702248915118985</v>
      </c>
      <c r="CB22" s="20">
        <f t="shared" si="10"/>
        <v>32.322429677060249</v>
      </c>
      <c r="CC22" s="59">
        <f t="shared" si="11"/>
        <v>301.03606347615198</v>
      </c>
      <c r="CD22" s="59">
        <f ca="1">AVERAGE(OFFSET($CC$3,0,0,'Données projet'!$E$12+1,1))-AVERAGE(OFFSET($H$3,0,0,'Données projet'!$E$12+1,1))</f>
        <v>192.88977161349993</v>
      </c>
      <c r="CE22" s="59">
        <f t="shared" si="40"/>
        <v>122.91376861456772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1.7307692307692306</v>
      </c>
      <c r="CT22" s="12">
        <f>IF('Données projet'!$A$140&gt;35,CT21+CS22-DB21,IF(A22&lt;'Données projet'!$A$140,$CQ$205^A22,IF(A22='Données projet'!$A$140,'Données projet'!$B$140,CT21+CS22-DB21)))</f>
        <v>28.993837692302673</v>
      </c>
      <c r="CU22" s="17">
        <f>CT22*VLOOKUP('Données projet'!$B$13,Paramètres!$A$1:$I$89,3,0)*VLOOKUP('Données projet'!$B$13,Paramètres!$A$1:$I$89,5,0)</f>
        <v>23.51980113599593</v>
      </c>
      <c r="CV22" s="13">
        <f t="shared" si="41"/>
        <v>7.5050023735643885</v>
      </c>
      <c r="CW22" s="20">
        <f t="shared" si="13"/>
        <v>54.034866112484217</v>
      </c>
      <c r="CX22" s="59">
        <f t="shared" si="14"/>
        <v>322.74849991157595</v>
      </c>
      <c r="CY22" s="59">
        <f ca="1">AVERAGE(OFFSET($CX$3,0,0,'Données projet'!$E$13+1,1))-AVERAGE(OFFSET($H$3,0,0,'Données projet'!$E$13+1,1))</f>
        <v>163.16040389635825</v>
      </c>
      <c r="CZ22" s="59">
        <f t="shared" si="42"/>
        <v>138.57856782158811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7.7715686274509812</v>
      </c>
      <c r="DO22" s="12">
        <f>IF('Données projet'!$A$166&gt;35,DO21+DN22-DW21,IF(A22&lt;'Données projet'!$A$166,$DL$205^A22,IF(A22='Données projet'!$A$166,'Données projet'!$B$166,DO21+DN22-DW21)))</f>
        <v>147.65980392156862</v>
      </c>
      <c r="DP22" s="17">
        <f>DO22*VLOOKUP('Données projet'!$B$14,Paramètres!$A$1:$I$89,3,0)*VLOOKUP('Données projet'!$B$14,Paramètres!$A$1:$I$89,5,0)</f>
        <v>69.104788235294123</v>
      </c>
      <c r="DQ22" s="13">
        <f t="shared" si="43"/>
        <v>19.450978677796666</v>
      </c>
      <c r="DR22" s="20">
        <f t="shared" si="16"/>
        <v>154.23462737363312</v>
      </c>
      <c r="DS22" s="59">
        <f t="shared" si="17"/>
        <v>422.94826117272487</v>
      </c>
      <c r="DT22" s="59">
        <f ca="1">AVERAGE(OFFSET($DS$3,0,0,'Données projet'!$E$14+1,1))-AVERAGE(OFFSET($H$3,0,0,'Données projet'!$E$14+1,1))</f>
        <v>343.44193069803498</v>
      </c>
      <c r="DU22" s="59">
        <f t="shared" si="44"/>
        <v>280.67367019483481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1.8269230769230766</v>
      </c>
      <c r="EJ22" s="12">
        <f>IF('Données projet'!$A$192&gt;35,EJ21+EI22-ER21,IF(A22&lt;'Données projet'!$A$192,$EG$205^A22,IF(A22='Données projet'!$A$192,'Données projet'!$B$192,EJ21+EI22-ER21)))</f>
        <v>30.521982882527599</v>
      </c>
      <c r="EK22" s="17">
        <f>EJ22*VLOOKUP('Données projet'!$B$15,Paramètres!$A$1:$I$89,3,0)*VLOOKUP('Données projet'!$B$15,Paramètres!$A$1:$I$89,5,0)</f>
        <v>30.949290642882985</v>
      </c>
      <c r="EL22" s="13">
        <f t="shared" si="45"/>
        <v>9.5651332153369655</v>
      </c>
      <c r="EM22" s="20">
        <f t="shared" si="19"/>
        <v>70.562621553066407</v>
      </c>
      <c r="EN22" s="59">
        <f t="shared" si="20"/>
        <v>339.27625535215816</v>
      </c>
      <c r="EO22" s="59">
        <f ca="1">AVERAGE(OFFSET($EN$3,0,0,'Données projet'!$E$15+1,1))-AVERAGE(OFFSET($H$3,0,0,'Données projet'!$E$15+1,1))</f>
        <v>270.0029254736703</v>
      </c>
      <c r="EP22" s="59">
        <f t="shared" si="46"/>
        <v>183.80022202211441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68.400000000000006</v>
      </c>
      <c r="FF22" s="17">
        <f>FE22*VLOOKUP('Données projet'!$B$16,Paramètres!$A$1:$I$89,3,0)*VLOOKUP('Données projet'!$B$16,Paramètres!$A$1:$I$89,5,0)</f>
        <v>59.754240000000017</v>
      </c>
      <c r="FG22" s="13">
        <f t="shared" si="47"/>
        <v>17.106118338764027</v>
      </c>
      <c r="FH22" s="20">
        <f t="shared" si="22"/>
        <v>133.8651241066807</v>
      </c>
      <c r="FI22" s="59">
        <f t="shared" si="23"/>
        <v>402.57875790577242</v>
      </c>
      <c r="FJ22" s="59">
        <f ca="1">AVERAGE(OFFSET($FI$3,0,0,'Données projet'!$E$16+1,1))-AVERAGE(OFFSET($H$3,0,0,'Données projet'!$E$16+1,1))</f>
        <v>328.93328163316073</v>
      </c>
      <c r="FK22" s="59">
        <f t="shared" si="48"/>
        <v>320.27831321887072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1.7111524980640123</v>
      </c>
      <c r="FS22" s="21">
        <f>EXP(-LN(2)/2)*FS21+(1-EXP(-LN(2)/2))/(LN(2)/2)*FM22*FP22*VLOOKUP('Données projet'!$B$16,Paramètres!$A$1:$I$89,3,0)*0.475*44/12</f>
        <v>0.77274854306181318</v>
      </c>
      <c r="FT22" s="22">
        <f t="shared" si="24"/>
        <v>2.4839010411258253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1.8269230769230766</v>
      </c>
      <c r="FZ22" s="12">
        <f>IF('Données projet'!$A$244&gt;35,FZ21+FY22-GH21,IF(A22&lt;'Données projet'!$A$244,$FW$205^A22,IF(A22='Données projet'!$A$244,'Données projet'!$B$244,FZ21+FY22-GH21)))</f>
        <v>30.521982882527599</v>
      </c>
      <c r="GA22" s="17">
        <f>FZ22*VLOOKUP('Données projet'!$B$17,Paramètres!$A$1:$I$89,3,0)*VLOOKUP('Données projet'!$B$17,Paramètres!$A$1:$I$89,5,0)</f>
        <v>20.474146117599513</v>
      </c>
      <c r="GB22" s="13">
        <f t="shared" si="49"/>
        <v>6.6394714586336834</v>
      </c>
      <c r="GC22" s="20">
        <f t="shared" si="25"/>
        <v>47.22288394527282</v>
      </c>
      <c r="GD22" s="59">
        <f t="shared" si="26"/>
        <v>315.93651774436455</v>
      </c>
      <c r="GE22" s="59">
        <f ca="1">AVERAGE(OFFSET($GD$3,0,0,'Données projet'!$E$17+1,1))-AVERAGE(OFFSET($H$3,0,0,'Données projet'!$E$17+1,1))</f>
        <v>192.88444860121191</v>
      </c>
      <c r="GF22" s="59">
        <f t="shared" si="50"/>
        <v>136.13737493732751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66.952203157328057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0.85000000000000009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3.1166666666666671</v>
      </c>
      <c r="H23" s="67">
        <f t="shared" si="1"/>
        <v>244.19999999999996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435.19793894544557</v>
      </c>
      <c r="S23" s="59">
        <f ca="1">AVERAGE(OFFSET($R$3,0,0,'Données projet'!$E$9+1,1))-AVERAGE(OFFSET($H$3,0,0,'Données projet'!$E$9+1,1))</f>
        <v>643.492472896403</v>
      </c>
      <c r="T23" s="59">
        <f t="shared" si="34"/>
        <v>285.0259479655341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3.56</v>
      </c>
      <c r="AI23" s="13">
        <f>IF('Données projet'!$A$62&gt;35,AI22+AH23-AQ22,IF(A23&lt;'Données projet'!$A$62,$AF$205^A23,IF(A23='Données projet'!$A$62,'Données projet'!$B$62,AI22+AH23-AQ22)))</f>
        <v>36.267031149657967</v>
      </c>
      <c r="AJ23" s="13">
        <f>AI23*VLOOKUP('Données projet'!$B$10,Paramètres!$A$1:$I$89,3,0)*VLOOKUP('Données projet'!$B$10,Paramètres!$A$1:$I$89,5,0)</f>
        <v>28.288284296733217</v>
      </c>
      <c r="AK23" s="13">
        <f t="shared" si="35"/>
        <v>8.834697090047662</v>
      </c>
      <c r="AL23" s="20">
        <f t="shared" si="4"/>
        <v>64.655859248643353</v>
      </c>
      <c r="AM23" s="59">
        <f t="shared" si="5"/>
        <v>334.78558096163783</v>
      </c>
      <c r="AN23" s="59">
        <f ca="1">AVERAGE(OFFSET($AM$3,0,0,'Données projet'!$E$10+1,1))-AVERAGE(OFFSET($H$3,0,0,'Données projet'!$E$10+1,1))</f>
        <v>289.89907502443873</v>
      </c>
      <c r="AO23" s="59">
        <f t="shared" si="36"/>
        <v>267.42183550360301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1.153846153846154</v>
      </c>
      <c r="BD23" s="12">
        <f>IF('Données projet'!$A$88&gt;35,BD22+BC23-BL22,IF(A23&lt;'Données projet'!$A$88,$BA$205^A23,IF(A23='Données projet'!$A$88,'Données projet'!$B$88,BD22+BC23-BL22)))</f>
        <v>14.725509571409539</v>
      </c>
      <c r="BE23" s="13">
        <f>BD23*VLOOKUP('Données projet'!$B$11,Paramètres!$A$1:$I$89,3,0)*VLOOKUP('Données projet'!$B$11,Paramètres!$A$1:$I$89,5,0)</f>
        <v>14.242512857467306</v>
      </c>
      <c r="BF23" s="13">
        <f t="shared" si="37"/>
        <v>4.8179379503231141</v>
      </c>
      <c r="BG23" s="20">
        <f t="shared" si="7"/>
        <v>33.196951823568313</v>
      </c>
      <c r="BH23" s="59">
        <f t="shared" si="8"/>
        <v>303.32667353656279</v>
      </c>
      <c r="BI23" s="59">
        <f ca="1">AVERAGE(OFFSET($BH$3,0,0,'Données projet'!$E$11+1,1))-AVERAGE(OFFSET($H$3,0,0,'Données projet'!$E$11+1,1))</f>
        <v>177.54241137663234</v>
      </c>
      <c r="BJ23" s="59">
        <f t="shared" si="38"/>
        <v>114.71095021456071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1.153846153846154</v>
      </c>
      <c r="BY23" s="12">
        <f>IF('Données projet'!$A$114&gt;35,BY22+BX23-CG22,IF(A23&lt;'Données projet'!$A$114,$BV$205^A23,IF(A23='Données projet'!$A$114,'Données projet'!$B$114,BY22+BX23-CG22)))</f>
        <v>14.725509571409539</v>
      </c>
      <c r="BZ23" s="13">
        <f>BY23*VLOOKUP('Données projet'!$B$12,Paramètres!$A$1:$I$89,3,0)*VLOOKUP('Données projet'!$B$12,Paramètres!$A$1:$I$89,5,0)</f>
        <v>15.850538502665229</v>
      </c>
      <c r="CA23" s="13">
        <f t="shared" si="39"/>
        <v>5.2955486495776167</v>
      </c>
      <c r="CB23" s="20">
        <f t="shared" si="10"/>
        <v>36.829435123489624</v>
      </c>
      <c r="CC23" s="59">
        <f t="shared" si="11"/>
        <v>306.95915683648411</v>
      </c>
      <c r="CD23" s="59">
        <f ca="1">AVERAGE(OFFSET($CC$3,0,0,'Données projet'!$E$12+1,1))-AVERAGE(OFFSET($H$3,0,0,'Données projet'!$E$12+1,1))</f>
        <v>192.88977161349993</v>
      </c>
      <c r="CE23" s="59">
        <f t="shared" si="40"/>
        <v>122.91376861456772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34.615384615384613</v>
      </c>
      <c r="CR23" s="12">
        <f>VLOOKUP(A23,'Données projet'!$A$139:$I$159,9,0)</f>
        <v>1.7307692307692306</v>
      </c>
      <c r="CS23" s="12">
        <f t="array" ref="CS23">INDEX(CR:CR,MIN(IF(ISNUMBER(CR23:CR219),ROW(CR23:CR219),"")))</f>
        <v>1.7307692307692306</v>
      </c>
      <c r="CT23" s="12">
        <f>IF('Données projet'!$A$140&gt;35,CT22+CS23-DB22,IF(A23&lt;'Données projet'!$A$140,$CQ$205^A23,IF(A23='Données projet'!$A$140,'Données projet'!$B$140,CT22+CS23-DB22)))</f>
        <v>34.615384615384613</v>
      </c>
      <c r="CU23" s="17">
        <f>CT23*VLOOKUP('Données projet'!$B$13,Paramètres!$A$1:$I$89,3,0)*VLOOKUP('Données projet'!$B$13,Paramètres!$A$1:$I$89,5,0)</f>
        <v>28.080000000000002</v>
      </c>
      <c r="CV23" s="13">
        <f t="shared" si="41"/>
        <v>8.7771949685951878</v>
      </c>
      <c r="CW23" s="20">
        <f t="shared" si="13"/>
        <v>64.192947903636622</v>
      </c>
      <c r="CX23" s="59">
        <f t="shared" si="14"/>
        <v>334.32266961663106</v>
      </c>
      <c r="CY23" s="59">
        <f ca="1">AVERAGE(OFFSET($CX$3,0,0,'Données projet'!$E$13+1,1))-AVERAGE(OFFSET($H$3,0,0,'Données projet'!$E$13+1,1))</f>
        <v>163.16040389635825</v>
      </c>
      <c r="CZ23" s="59">
        <f t="shared" si="42"/>
        <v>138.57856782158811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5.7692307692307692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0.55397232565218346</v>
      </c>
      <c r="DH23" s="21">
        <f>EXP(-LN(2)/2)*DH22+(1-EXP(-LN(2)/2))/(LN(2)/2)*DB23*DE23*VLOOKUP('Données projet'!$B$13,Paramètres!$A$1:$I$89,3,0)*0.475*44/12</f>
        <v>1.1039264900883043</v>
      </c>
      <c r="DI23" s="22">
        <f t="shared" si="15"/>
        <v>1.6578988157404879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7.7715686274509812</v>
      </c>
      <c r="DO23" s="12">
        <f>IF('Données projet'!$A$166&gt;35,DO22+DN23-DW22,IF(A23&lt;'Données projet'!$A$166,$DL$205^A23,IF(A23='Données projet'!$A$166,'Données projet'!$B$166,DO22+DN23-DW22)))</f>
        <v>155.43137254901961</v>
      </c>
      <c r="DP23" s="17">
        <f>DO23*VLOOKUP('Données projet'!$B$14,Paramètres!$A$1:$I$89,3,0)*VLOOKUP('Données projet'!$B$14,Paramètres!$A$1:$I$89,5,0)</f>
        <v>72.741882352941175</v>
      </c>
      <c r="DQ23" s="13">
        <f t="shared" si="43"/>
        <v>20.352833516665445</v>
      </c>
      <c r="DR23" s="20">
        <f t="shared" si="16"/>
        <v>162.13996347289819</v>
      </c>
      <c r="DS23" s="59">
        <f t="shared" si="17"/>
        <v>432.26968518589263</v>
      </c>
      <c r="DT23" s="59">
        <f ca="1">AVERAGE(OFFSET($DS$3,0,0,'Données projet'!$E$14+1,1))-AVERAGE(OFFSET($H$3,0,0,'Données projet'!$E$14+1,1))</f>
        <v>343.44193069803498</v>
      </c>
      <c r="DU23" s="59">
        <f t="shared" si="44"/>
        <v>280.67367019483481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36.538461538461533</v>
      </c>
      <c r="EH23" s="12">
        <f>VLOOKUP(A23,'Données projet'!$A$191:$I$211,9,0)</f>
        <v>1.8269230769230766</v>
      </c>
      <c r="EI23" s="12">
        <f t="array" ref="EI23">INDEX(EH:EH,MIN(IF(ISNUMBER(EH23:EH219),ROW(EH23:EH219),"")))</f>
        <v>1.8269230769230766</v>
      </c>
      <c r="EJ23" s="12">
        <f>IF('Données projet'!$A$192&gt;35,EJ22+EI23-ER22,IF(A23&lt;'Données projet'!$A$192,$EG$205^A23,IF(A23='Données projet'!$A$192,'Données projet'!$B$192,EJ22+EI23-ER22)))</f>
        <v>36.538461538461533</v>
      </c>
      <c r="EK23" s="17">
        <f>EJ23*VLOOKUP('Données projet'!$B$15,Paramètres!$A$1:$I$89,3,0)*VLOOKUP('Données projet'!$B$15,Paramètres!$A$1:$I$89,5,0)</f>
        <v>37.049999999999997</v>
      </c>
      <c r="EL23" s="13">
        <f t="shared" si="45"/>
        <v>11.21329710493602</v>
      </c>
      <c r="EM23" s="20">
        <f t="shared" si="19"/>
        <v>84.058575791096885</v>
      </c>
      <c r="EN23" s="59">
        <f t="shared" si="20"/>
        <v>354.18829750409134</v>
      </c>
      <c r="EO23" s="59">
        <f ca="1">AVERAGE(OFFSET($EN$3,0,0,'Données projet'!$E$15+1,1))-AVERAGE(OFFSET($H$3,0,0,'Données projet'!$E$15+1,1))</f>
        <v>270.0029254736703</v>
      </c>
      <c r="EP23" s="59">
        <f t="shared" si="46"/>
        <v>183.80022202211441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7.0512820512820511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0.34400000000000003</v>
      </c>
      <c r="EU23" s="16">
        <f>IF(ISNA(VLOOKUP(A23,'Données projet'!$A$191:$I$211,7,0)),0%,VLOOKUP(A23,'Données projet'!$A$191:$I$211,7,0))</f>
        <v>0.2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2.708309147632896</v>
      </c>
      <c r="EX23" s="21">
        <f>EXP(-LN(2)/2)*EX22+(1-EXP(-LN(2)/2))/(LN(2)/2)*ER23*EU23*VLOOKUP('Données projet'!$B$15,Paramètres!$A$1:$I$89,3,0)*0.475*44/12</f>
        <v>1.3492434878857054</v>
      </c>
      <c r="EY23" s="22">
        <f t="shared" si="21"/>
        <v>4.0575526355186016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80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80</v>
      </c>
      <c r="FF23" s="17">
        <f>FE23*VLOOKUP('Données projet'!$B$16,Paramètres!$A$1:$I$89,3,0)*VLOOKUP('Données projet'!$B$16,Paramètres!$A$1:$I$89,5,0)</f>
        <v>69.888000000000005</v>
      </c>
      <c r="FG23" s="13">
        <f t="shared" si="47"/>
        <v>19.645641432461961</v>
      </c>
      <c r="FH23" s="20">
        <f t="shared" si="22"/>
        <v>155.93775882820458</v>
      </c>
      <c r="FI23" s="59">
        <f t="shared" si="23"/>
        <v>426.06748054119907</v>
      </c>
      <c r="FJ23" s="59">
        <f ca="1">AVERAGE(OFFSET($FI$3,0,0,'Données projet'!$E$16+1,1))-AVERAGE(OFFSET($H$3,0,0,'Données projet'!$E$16+1,1))</f>
        <v>328.93328163316073</v>
      </c>
      <c r="FK23" s="59">
        <f t="shared" si="48"/>
        <v>320.27831321887072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0.13250000000000001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5.2331451407707181</v>
      </c>
      <c r="FS23" s="21">
        <f>EXP(-LN(2)/2)*FS22+(1-EXP(-LN(2)/2))/(LN(2)/2)*FM23*FP23*VLOOKUP('Données projet'!$B$16,Paramètres!$A$1:$I$89,3,0)*0.475*44/12</f>
        <v>6.3162715231459039</v>
      </c>
      <c r="FT23" s="22">
        <f t="shared" si="24"/>
        <v>11.549416663916622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36.538461538461533</v>
      </c>
      <c r="FX23" s="12">
        <f>VLOOKUP(A23,'Données projet'!$A$243:$I$263,9,0)</f>
        <v>1.8269230769230766</v>
      </c>
      <c r="FY23" s="12">
        <f t="array" ref="FY23">INDEX(FX:FX,MIN(IF(ISNUMBER(FX23:FX219),ROW(FX23:FX219),"")))</f>
        <v>1.8269230769230766</v>
      </c>
      <c r="FZ23" s="12">
        <f>IF('Données projet'!$A$244&gt;35,FZ22+FY23-GH22,IF(A23&lt;'Données projet'!$A$244,$FW$205^A23,IF(A23='Données projet'!$A$244,'Données projet'!$B$244,FZ22+FY23-GH22)))</f>
        <v>36.538461538461533</v>
      </c>
      <c r="GA23" s="17">
        <f>FZ23*VLOOKUP('Données projet'!$B$17,Paramètres!$A$1:$I$89,3,0)*VLOOKUP('Données projet'!$B$17,Paramètres!$A$1:$I$89,5,0)</f>
        <v>24.509999999999994</v>
      </c>
      <c r="GB23" s="13">
        <f t="shared" si="49"/>
        <v>7.7835158600851351</v>
      </c>
      <c r="GC23" s="20">
        <f t="shared" si="25"/>
        <v>56.244540122981597</v>
      </c>
      <c r="GD23" s="59">
        <f t="shared" si="26"/>
        <v>326.37426183597609</v>
      </c>
      <c r="GE23" s="59">
        <f ca="1">AVERAGE(OFFSET($GD$3,0,0,'Données projet'!$E$17+1,1))-AVERAGE(OFFSET($H$3,0,0,'Données projet'!$E$17+1,1))</f>
        <v>192.88444860121191</v>
      </c>
      <c r="GF23" s="59">
        <f t="shared" si="50"/>
        <v>136.13737493732751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7.0512820512820511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0.42400000000000004</v>
      </c>
      <c r="GK23" s="16">
        <f>IF(ISNA(VLOOKUP(A23,'Données projet'!$A$243:$I$263,7,0)),0%,VLOOKUP(A23,'Données projet'!$A$243:$I$263,7,0))</f>
        <v>0.2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2.2083136126852847</v>
      </c>
      <c r="GN23" s="21">
        <f>EXP(-LN(2)/2)*GN22+(1-EXP(-LN(2)/2))/(LN(2)/2)*GH23*GK23*VLOOKUP('Données projet'!$B$17,Paramètres!$A$1:$I$89,3,0)*0.475*44/12</f>
        <v>0.89257646121669731</v>
      </c>
      <c r="GO23" s="21">
        <f t="shared" si="27"/>
        <v>3.100890073901982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67.005075618695457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0.85000000000000009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3.1166666666666671</v>
      </c>
      <c r="H24" s="67">
        <f t="shared" si="1"/>
        <v>244.19999999999996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444.64984491680559</v>
      </c>
      <c r="S24" s="59">
        <f ca="1">AVERAGE(OFFSET($R$3,0,0,'Données projet'!$E$9+1,1))-AVERAGE(OFFSET($H$3,0,0,'Données projet'!$E$9+1,1))</f>
        <v>643.492472896403</v>
      </c>
      <c r="T24" s="59">
        <f t="shared" si="34"/>
        <v>285.0259479655341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3.56</v>
      </c>
      <c r="AI24" s="13">
        <f>IF('Données projet'!$A$62&gt;35,AI23+AH24-AQ23,IF(A24&lt;'Données projet'!$A$62,$AF$205^A24,IF(A24='Données projet'!$A$62,'Données projet'!$B$62,AI23+AH24-AQ23)))</f>
        <v>43.399787751457886</v>
      </c>
      <c r="AJ24" s="13">
        <f>AI24*VLOOKUP('Données projet'!$B$10,Paramètres!$A$1:$I$89,3,0)*VLOOKUP('Données projet'!$B$10,Paramètres!$A$1:$I$89,5,0)</f>
        <v>33.851834446137154</v>
      </c>
      <c r="AK24" s="13">
        <f t="shared" si="35"/>
        <v>10.353588595423204</v>
      </c>
      <c r="AL24" s="20">
        <f t="shared" si="4"/>
        <v>76.991111797384278</v>
      </c>
      <c r="AM24" s="59">
        <f t="shared" si="5"/>
        <v>348.53355828794957</v>
      </c>
      <c r="AN24" s="59">
        <f ca="1">AVERAGE(OFFSET($AM$3,0,0,'Données projet'!$E$10+1,1))-AVERAGE(OFFSET($H$3,0,0,'Données projet'!$E$10+1,1))</f>
        <v>289.89907502443873</v>
      </c>
      <c r="AO24" s="59">
        <f t="shared" si="36"/>
        <v>267.42183550360301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1.153846153846154</v>
      </c>
      <c r="BD24" s="12">
        <f>IF('Données projet'!$A$88&gt;35,BD23+BC24-BL23,IF(A24&lt;'Données projet'!$A$88,$BA$205^A24,IF(A24='Données projet'!$A$88,'Données projet'!$B$88,BD23+BC24-BL23)))</f>
        <v>16.845109908743755</v>
      </c>
      <c r="BE24" s="13">
        <f>BD24*VLOOKUP('Données projet'!$B$11,Paramètres!$A$1:$I$89,3,0)*VLOOKUP('Données projet'!$B$11,Paramètres!$A$1:$I$89,5,0)</f>
        <v>16.292590303736958</v>
      </c>
      <c r="BF24" s="13">
        <f t="shared" si="37"/>
        <v>5.4258345883284083</v>
      </c>
      <c r="BG24" s="20">
        <f t="shared" si="7"/>
        <v>37.826256687013839</v>
      </c>
      <c r="BH24" s="59">
        <f t="shared" si="8"/>
        <v>309.36870317757911</v>
      </c>
      <c r="BI24" s="59">
        <f ca="1">AVERAGE(OFFSET($BH$3,0,0,'Données projet'!$E$11+1,1))-AVERAGE(OFFSET($H$3,0,0,'Données projet'!$E$11+1,1))</f>
        <v>177.54241137663234</v>
      </c>
      <c r="BJ24" s="59">
        <f t="shared" si="38"/>
        <v>114.71095021456071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1.153846153846154</v>
      </c>
      <c r="BY24" s="12">
        <f>IF('Données projet'!$A$114&gt;35,BY23+BX24-CG23,IF(A24&lt;'Données projet'!$A$114,$BV$205^A24,IF(A24='Données projet'!$A$114,'Données projet'!$B$114,BY23+BX24-CG23)))</f>
        <v>16.845109908743755</v>
      </c>
      <c r="BZ24" s="13">
        <f>BY24*VLOOKUP('Données projet'!$B$12,Paramètres!$A$1:$I$89,3,0)*VLOOKUP('Données projet'!$B$12,Paramètres!$A$1:$I$89,5,0)</f>
        <v>18.132076305771776</v>
      </c>
      <c r="CA24" s="13">
        <f t="shared" si="39"/>
        <v>5.9637071550759728</v>
      </c>
      <c r="CB24" s="20">
        <f t="shared" si="10"/>
        <v>41.966822860976492</v>
      </c>
      <c r="CC24" s="59">
        <f t="shared" si="11"/>
        <v>313.50926935154177</v>
      </c>
      <c r="CD24" s="59">
        <f ca="1">AVERAGE(OFFSET($CC$3,0,0,'Données projet'!$E$12+1,1))-AVERAGE(OFFSET($H$3,0,0,'Données projet'!$E$12+1,1))</f>
        <v>192.88977161349993</v>
      </c>
      <c r="CE24" s="59">
        <f t="shared" si="40"/>
        <v>122.91376861456772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2.9487179487179498</v>
      </c>
      <c r="CT24" s="12">
        <f>IF('Données projet'!$A$140&gt;35,CT23+CS24-DB23,IF(A24&lt;'Données projet'!$A$140,$CQ$205^A24,IF(A24='Données projet'!$A$140,'Données projet'!$B$140,CT23+CS24-DB23)))</f>
        <v>31.794871794871792</v>
      </c>
      <c r="CU24" s="17">
        <f>CT24*VLOOKUP('Données projet'!$B$13,Paramètres!$A$1:$I$89,3,0)*VLOOKUP('Données projet'!$B$13,Paramètres!$A$1:$I$89,5,0)</f>
        <v>25.791999999999998</v>
      </c>
      <c r="CV24" s="13">
        <f t="shared" si="41"/>
        <v>8.1421711792342304</v>
      </c>
      <c r="CW24" s="20">
        <f t="shared" si="13"/>
        <v>59.102014803832951</v>
      </c>
      <c r="CX24" s="59">
        <f t="shared" si="14"/>
        <v>330.64446129439824</v>
      </c>
      <c r="CY24" s="59">
        <f ca="1">AVERAGE(OFFSET($CX$3,0,0,'Données projet'!$E$13+1,1))-AVERAGE(OFFSET($H$3,0,0,'Données projet'!$E$13+1,1))</f>
        <v>163.16040389635825</v>
      </c>
      <c r="CZ24" s="59">
        <f t="shared" si="42"/>
        <v>138.57856782158811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0.53882392327508599</v>
      </c>
      <c r="DH24" s="21">
        <f>EXP(-LN(2)/2)*DH23+(1-EXP(-LN(2)/2))/(LN(2)/2)*DB24*DE24*VLOOKUP('Données projet'!$B$13,Paramètres!$A$1:$I$89,3,0)*0.475*44/12</f>
        <v>0.7805939070729041</v>
      </c>
      <c r="DI24" s="22">
        <f t="shared" si="15"/>
        <v>1.31941783034799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7.7715686274509812</v>
      </c>
      <c r="DO24" s="12">
        <f>IF('Données projet'!$A$166&gt;35,DO23+DN24-DW23,IF(A24&lt;'Données projet'!$A$166,$DL$205^A24,IF(A24='Données projet'!$A$166,'Données projet'!$B$166,DO23+DN24-DW23)))</f>
        <v>163.2029411764706</v>
      </c>
      <c r="DP24" s="17">
        <f>DO24*VLOOKUP('Données projet'!$B$14,Paramètres!$A$1:$I$89,3,0)*VLOOKUP('Données projet'!$B$14,Paramètres!$A$1:$I$89,5,0)</f>
        <v>76.378976470588242</v>
      </c>
      <c r="DQ24" s="13">
        <f t="shared" si="43"/>
        <v>21.249452501517116</v>
      </c>
      <c r="DR24" s="20">
        <f t="shared" si="16"/>
        <v>170.03618045975017</v>
      </c>
      <c r="DS24" s="59">
        <f t="shared" si="17"/>
        <v>441.57862695031542</v>
      </c>
      <c r="DT24" s="59">
        <f ca="1">AVERAGE(OFFSET($DS$3,0,0,'Données projet'!$E$14+1,1))-AVERAGE(OFFSET($H$3,0,0,'Données projet'!$E$14+1,1))</f>
        <v>343.44193069803498</v>
      </c>
      <c r="DU24" s="59">
        <f t="shared" si="44"/>
        <v>280.67367019483481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4.2307692307692308</v>
      </c>
      <c r="EJ24" s="12">
        <f>IF('Données projet'!$A$192&gt;35,EJ23+EI24-ER23,IF(A24&lt;'Données projet'!$A$192,$EG$205^A24,IF(A24='Données projet'!$A$192,'Données projet'!$B$192,EJ23+EI24-ER23)))</f>
        <v>33.717948717948715</v>
      </c>
      <c r="EK24" s="17">
        <f>EJ24*VLOOKUP('Données projet'!$B$15,Paramètres!$A$1:$I$89,3,0)*VLOOKUP('Données projet'!$B$15,Paramètres!$A$1:$I$89,5,0)</f>
        <v>34.19</v>
      </c>
      <c r="EL24" s="13">
        <f t="shared" si="45"/>
        <v>10.444924626412023</v>
      </c>
      <c r="EM24" s="20">
        <f t="shared" si="19"/>
        <v>77.739160391000937</v>
      </c>
      <c r="EN24" s="59">
        <f t="shared" si="20"/>
        <v>349.28160688156623</v>
      </c>
      <c r="EO24" s="59">
        <f ca="1">AVERAGE(OFFSET($EN$3,0,0,'Données projet'!$E$15+1,1))-AVERAGE(OFFSET($H$3,0,0,'Données projet'!$E$15+1,1))</f>
        <v>270.0029254736703</v>
      </c>
      <c r="EP24" s="59">
        <f t="shared" si="46"/>
        <v>183.80022202211441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2.6342502915670862</v>
      </c>
      <c r="EX24" s="21">
        <f>EXP(-LN(2)/2)*EX23+(1-EXP(-LN(2)/2))/(LN(2)/2)*ER24*EU24*VLOOKUP('Données projet'!$B$15,Paramètres!$A$1:$I$89,3,0)*0.475*44/12</f>
        <v>0.95405921975577168</v>
      </c>
      <c r="EY24" s="22">
        <f t="shared" si="21"/>
        <v>3.588309511322858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64.599999999999994</v>
      </c>
      <c r="FF24" s="17">
        <f>FE24*VLOOKUP('Données projet'!$B$16,Paramètres!$A$1:$I$89,3,0)*VLOOKUP('Données projet'!$B$16,Paramètres!$A$1:$I$89,5,0)</f>
        <v>56.434560000000005</v>
      </c>
      <c r="FG24" s="13">
        <f t="shared" si="47"/>
        <v>16.26362505907256</v>
      </c>
      <c r="FH24" s="20">
        <f t="shared" si="22"/>
        <v>126.61600564455136</v>
      </c>
      <c r="FI24" s="59">
        <f t="shared" si="23"/>
        <v>398.15845213511665</v>
      </c>
      <c r="FJ24" s="59">
        <f ca="1">AVERAGE(OFFSET($FI$3,0,0,'Données projet'!$E$16+1,1))-AVERAGE(OFFSET($H$3,0,0,'Données projet'!$E$16+1,1))</f>
        <v>328.93328163316073</v>
      </c>
      <c r="FK24" s="59">
        <f t="shared" si="48"/>
        <v>320.27831321887072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5.0900445116972008</v>
      </c>
      <c r="FS24" s="21">
        <f>EXP(-LN(2)/2)*FS23+(1-EXP(-LN(2)/2))/(LN(2)/2)*FM24*FP24*VLOOKUP('Données projet'!$B$16,Paramètres!$A$1:$I$89,3,0)*0.475*44/12</f>
        <v>4.4662784258319519</v>
      </c>
      <c r="FT24" s="22">
        <f t="shared" si="24"/>
        <v>9.5563229375291527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4.2307692307692308</v>
      </c>
      <c r="FZ24" s="12">
        <f>IF('Données projet'!$A$244&gt;35,FZ23+FY24-GH23,IF(A24&lt;'Données projet'!$A$244,$FW$205^A24,IF(A24='Données projet'!$A$244,'Données projet'!$B$244,FZ23+FY24-GH23)))</f>
        <v>33.717948717948715</v>
      </c>
      <c r="GA24" s="17">
        <f>FZ24*VLOOKUP('Données projet'!$B$17,Paramètres!$A$1:$I$89,3,0)*VLOOKUP('Données projet'!$B$17,Paramètres!$A$1:$I$89,5,0)</f>
        <v>22.617999999999999</v>
      </c>
      <c r="GB24" s="13">
        <f t="shared" si="49"/>
        <v>7.2501634199351486</v>
      </c>
      <c r="GC24" s="20">
        <f t="shared" si="25"/>
        <v>52.020384623053708</v>
      </c>
      <c r="GD24" s="59">
        <f t="shared" si="26"/>
        <v>323.56283111361898</v>
      </c>
      <c r="GE24" s="59">
        <f ca="1">AVERAGE(OFFSET($GD$3,0,0,'Données projet'!$E$17+1,1))-AVERAGE(OFFSET($H$3,0,0,'Données projet'!$E$17+1,1))</f>
        <v>192.88444860121191</v>
      </c>
      <c r="GF24" s="59">
        <f t="shared" si="50"/>
        <v>136.13737493732751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2.14792716081624</v>
      </c>
      <c r="GN24" s="21">
        <f>EXP(-LN(2)/2)*GN23+(1-EXP(-LN(2)/2))/(LN(2)/2)*GH24*GK24*VLOOKUP('Données projet'!$B$17,Paramètres!$A$1:$I$89,3,0)*0.475*44/12</f>
        <v>0.63114686845381818</v>
      </c>
      <c r="GO24" s="21">
        <f t="shared" si="27"/>
        <v>2.779074029270058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67.057030861063254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0.85000000000000009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3.1166666666666671</v>
      </c>
      <c r="H25" s="67">
        <f t="shared" si="1"/>
        <v>244.19999999999996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454.08966952720277</v>
      </c>
      <c r="S25" s="59">
        <f ca="1">AVERAGE(OFFSET($R$3,0,0,'Données projet'!$E$9+1,1))-AVERAGE(OFFSET($H$3,0,0,'Données projet'!$E$9+1,1))</f>
        <v>643.492472896403</v>
      </c>
      <c r="T25" s="59">
        <f t="shared" si="34"/>
        <v>285.0259479655341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3.56</v>
      </c>
      <c r="AI25" s="13">
        <f>IF('Données projet'!$A$62&gt;35,AI24+AH25-AQ24,IF(A25&lt;'Données projet'!$A$62,$AF$205^A25,IF(A25='Données projet'!$A$62,'Données projet'!$B$62,AI24+AH25-AQ24)))</f>
        <v>51.935367113427411</v>
      </c>
      <c r="AJ25" s="13">
        <f>AI25*VLOOKUP('Données projet'!$B$10,Paramètres!$A$1:$I$89,3,0)*VLOOKUP('Données projet'!$B$10,Paramètres!$A$1:$I$89,5,0)</f>
        <v>40.509586348473384</v>
      </c>
      <c r="AK25" s="13">
        <f t="shared" si="35"/>
        <v>12.133613151721432</v>
      </c>
      <c r="AL25" s="20">
        <f t="shared" si="4"/>
        <v>91.686905796172638</v>
      </c>
      <c r="AM25" s="59">
        <f t="shared" si="5"/>
        <v>364.63877227087335</v>
      </c>
      <c r="AN25" s="59">
        <f ca="1">AVERAGE(OFFSET($AM$3,0,0,'Données projet'!$E$10+1,1))-AVERAGE(OFFSET($H$3,0,0,'Données projet'!$E$10+1,1))</f>
        <v>289.89907502443873</v>
      </c>
      <c r="AO25" s="59">
        <f t="shared" si="36"/>
        <v>267.42183550360301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1.153846153846154</v>
      </c>
      <c r="BD25" s="12">
        <f>IF('Données projet'!$A$88&gt;35,BD24+BC25-BL24,IF(A25&lt;'Données projet'!$A$88,$BA$205^A25,IF(A25='Données projet'!$A$88,'Données projet'!$B$88,BD24+BC25-BL24)))</f>
        <v>19.269807028518027</v>
      </c>
      <c r="BE25" s="13">
        <f>BD25*VLOOKUP('Données projet'!$B$11,Paramètres!$A$1:$I$89,3,0)*VLOOKUP('Données projet'!$B$11,Paramètres!$A$1:$I$89,5,0)</f>
        <v>18.637757357982636</v>
      </c>
      <c r="BF25" s="13">
        <f t="shared" si="37"/>
        <v>6.1104317414313183</v>
      </c>
      <c r="BG25" s="20">
        <f t="shared" si="7"/>
        <v>43.103096014812643</v>
      </c>
      <c r="BH25" s="59">
        <f t="shared" si="8"/>
        <v>316.05496248951334</v>
      </c>
      <c r="BI25" s="59">
        <f ca="1">AVERAGE(OFFSET($BH$3,0,0,'Données projet'!$E$11+1,1))-AVERAGE(OFFSET($H$3,0,0,'Données projet'!$E$11+1,1))</f>
        <v>177.54241137663234</v>
      </c>
      <c r="BJ25" s="59">
        <f t="shared" si="38"/>
        <v>114.71095021456071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1.153846153846154</v>
      </c>
      <c r="BY25" s="12">
        <f>IF('Données projet'!$A$114&gt;35,BY24+BX25-CG24,IF(A25&lt;'Données projet'!$A$114,$BV$205^A25,IF(A25='Données projet'!$A$114,'Données projet'!$B$114,BY24+BX25-CG24)))</f>
        <v>19.269807028518027</v>
      </c>
      <c r="BZ25" s="13">
        <f>BY25*VLOOKUP('Données projet'!$B$12,Paramètres!$A$1:$I$89,3,0)*VLOOKUP('Données projet'!$B$12,Paramètres!$A$1:$I$89,5,0)</f>
        <v>20.742020285496803</v>
      </c>
      <c r="CA25" s="13">
        <f t="shared" si="39"/>
        <v>6.7161696332147072</v>
      </c>
      <c r="CB25" s="20">
        <f t="shared" si="10"/>
        <v>47.823014108422548</v>
      </c>
      <c r="CC25" s="59">
        <f t="shared" si="11"/>
        <v>320.77488058312326</v>
      </c>
      <c r="CD25" s="59">
        <f ca="1">AVERAGE(OFFSET($CC$3,0,0,'Données projet'!$E$12+1,1))-AVERAGE(OFFSET($H$3,0,0,'Données projet'!$E$12+1,1))</f>
        <v>192.88977161349993</v>
      </c>
      <c r="CE25" s="59">
        <f t="shared" si="40"/>
        <v>122.91376861456772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2.9487179487179498</v>
      </c>
      <c r="CT25" s="12">
        <f>IF('Données projet'!$A$140&gt;35,CT24+CS25-DB24,IF(A25&lt;'Données projet'!$A$140,$CQ$205^A25,IF(A25='Données projet'!$A$140,'Données projet'!$B$140,CT24+CS25-DB24)))</f>
        <v>34.743589743589745</v>
      </c>
      <c r="CU25" s="17">
        <f>CT25*VLOOKUP('Données projet'!$B$13,Paramètres!$A$1:$I$89,3,0)*VLOOKUP('Données projet'!$B$13,Paramètres!$A$1:$I$89,5,0)</f>
        <v>28.184000000000001</v>
      </c>
      <c r="CV25" s="13">
        <f t="shared" si="41"/>
        <v>8.8059129686929793</v>
      </c>
      <c r="CW25" s="20">
        <f t="shared" si="13"/>
        <v>64.424098420473612</v>
      </c>
      <c r="CX25" s="59">
        <f t="shared" si="14"/>
        <v>337.37596489517432</v>
      </c>
      <c r="CY25" s="59">
        <f ca="1">AVERAGE(OFFSET($CX$3,0,0,'Données projet'!$E$13+1,1))-AVERAGE(OFFSET($H$3,0,0,'Données projet'!$E$13+1,1))</f>
        <v>163.16040389635825</v>
      </c>
      <c r="CZ25" s="59">
        <f t="shared" si="42"/>
        <v>138.57856782158811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0.5240897547576101</v>
      </c>
      <c r="DH25" s="21">
        <f>EXP(-LN(2)/2)*DH24+(1-EXP(-LN(2)/2))/(LN(2)/2)*DB25*DE25*VLOOKUP('Données projet'!$B$13,Paramètres!$A$1:$I$89,3,0)*0.475*44/12</f>
        <v>0.55196324504415228</v>
      </c>
      <c r="DI25" s="22">
        <f t="shared" si="15"/>
        <v>1.0760529998017625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7.7715686274509812</v>
      </c>
      <c r="DO25" s="12">
        <f>IF('Données projet'!$A$166&gt;35,DO24+DN25-DW24,IF(A25&lt;'Données projet'!$A$166,$DL$205^A25,IF(A25='Données projet'!$A$166,'Données projet'!$B$166,DO24+DN25-DW24)))</f>
        <v>170.97450980392159</v>
      </c>
      <c r="DP25" s="17">
        <f>DO25*VLOOKUP('Données projet'!$B$14,Paramètres!$A$1:$I$89,3,0)*VLOOKUP('Données projet'!$B$14,Paramètres!$A$1:$I$89,5,0)</f>
        <v>80.016070588235308</v>
      </c>
      <c r="DQ25" s="13">
        <f t="shared" si="43"/>
        <v>22.14111342509517</v>
      </c>
      <c r="DR25" s="20">
        <f t="shared" si="16"/>
        <v>177.92376215655057</v>
      </c>
      <c r="DS25" s="59">
        <f t="shared" si="17"/>
        <v>450.87562863125129</v>
      </c>
      <c r="DT25" s="59">
        <f ca="1">AVERAGE(OFFSET($DS$3,0,0,'Données projet'!$E$14+1,1))-AVERAGE(OFFSET($H$3,0,0,'Données projet'!$E$14+1,1))</f>
        <v>343.44193069803498</v>
      </c>
      <c r="DU25" s="59">
        <f t="shared" si="44"/>
        <v>280.67367019483481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4.2307692307692308</v>
      </c>
      <c r="EJ25" s="12">
        <f>IF('Données projet'!$A$192&gt;35,EJ24+EI25-ER24,IF(A25&lt;'Données projet'!$A$192,$EG$205^A25,IF(A25='Données projet'!$A$192,'Données projet'!$B$192,EJ24+EI25-ER24)))</f>
        <v>37.948717948717949</v>
      </c>
      <c r="EK25" s="17">
        <f>EJ25*VLOOKUP('Données projet'!$B$15,Paramètres!$A$1:$I$89,3,0)*VLOOKUP('Données projet'!$B$15,Paramètres!$A$1:$I$89,5,0)</f>
        <v>38.480000000000004</v>
      </c>
      <c r="EL25" s="13">
        <f t="shared" si="45"/>
        <v>11.594866879116243</v>
      </c>
      <c r="EM25" s="20">
        <f t="shared" si="19"/>
        <v>87.213726481127466</v>
      </c>
      <c r="EN25" s="59">
        <f t="shared" si="20"/>
        <v>360.16559295582817</v>
      </c>
      <c r="EO25" s="59">
        <f ca="1">AVERAGE(OFFSET($EN$3,0,0,'Données projet'!$E$15+1,1))-AVERAGE(OFFSET($H$3,0,0,'Données projet'!$E$15+1,1))</f>
        <v>270.0029254736703</v>
      </c>
      <c r="EP25" s="59">
        <f t="shared" si="46"/>
        <v>183.80022202211441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2.562216578814982</v>
      </c>
      <c r="EX25" s="21">
        <f>EXP(-LN(2)/2)*EX24+(1-EXP(-LN(2)/2))/(LN(2)/2)*ER25*EU25*VLOOKUP('Données projet'!$B$15,Paramètres!$A$1:$I$89,3,0)*0.475*44/12</f>
        <v>0.67462174394285279</v>
      </c>
      <c r="EY25" s="22">
        <f t="shared" si="21"/>
        <v>3.2368383227578348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77.199999999999989</v>
      </c>
      <c r="FF25" s="17">
        <f>FE25*VLOOKUP('Données projet'!$B$16,Paramètres!$A$1:$I$89,3,0)*VLOOKUP('Données projet'!$B$16,Paramètres!$A$1:$I$89,5,0)</f>
        <v>67.441919999999996</v>
      </c>
      <c r="FG25" s="13">
        <f t="shared" si="47"/>
        <v>19.036826299015036</v>
      </c>
      <c r="FH25" s="20">
        <f t="shared" si="22"/>
        <v>150.61714980411784</v>
      </c>
      <c r="FI25" s="59">
        <f t="shared" si="23"/>
        <v>423.56901627881854</v>
      </c>
      <c r="FJ25" s="59">
        <f ca="1">AVERAGE(OFFSET($FI$3,0,0,'Données projet'!$E$16+1,1))-AVERAGE(OFFSET($H$3,0,0,'Données projet'!$E$16+1,1))</f>
        <v>328.93328163316073</v>
      </c>
      <c r="FK25" s="59">
        <f t="shared" si="48"/>
        <v>320.27831321887072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4.9508569768510338</v>
      </c>
      <c r="FS25" s="21">
        <f>EXP(-LN(2)/2)*FS24+(1-EXP(-LN(2)/2))/(LN(2)/2)*FM25*FP25*VLOOKUP('Données projet'!$B$16,Paramètres!$A$1:$I$89,3,0)*0.475*44/12</f>
        <v>3.1581357615729519</v>
      </c>
      <c r="FT25" s="22">
        <f t="shared" si="24"/>
        <v>8.1089927384239857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4.2307692307692308</v>
      </c>
      <c r="FZ25" s="12">
        <f>IF('Données projet'!$A$244&gt;35,FZ24+FY25-GH24,IF(A25&lt;'Données projet'!$A$244,$FW$205^A25,IF(A25='Données projet'!$A$244,'Données projet'!$B$244,FZ24+FY25-GH24)))</f>
        <v>37.948717948717949</v>
      </c>
      <c r="GA25" s="17">
        <f>FZ25*VLOOKUP('Données projet'!$B$17,Paramètres!$A$1:$I$89,3,0)*VLOOKUP('Données projet'!$B$17,Paramètres!$A$1:$I$89,5,0)</f>
        <v>25.456</v>
      </c>
      <c r="GB25" s="13">
        <f t="shared" si="49"/>
        <v>8.048375906266692</v>
      </c>
      <c r="GC25" s="20">
        <f t="shared" si="25"/>
        <v>58.353454703414485</v>
      </c>
      <c r="GD25" s="59">
        <f t="shared" si="26"/>
        <v>331.30532117811515</v>
      </c>
      <c r="GE25" s="59">
        <f ca="1">AVERAGE(OFFSET($GD$3,0,0,'Données projet'!$E$17+1,1))-AVERAGE(OFFSET($H$3,0,0,'Données projet'!$E$17+1,1))</f>
        <v>192.88444860121191</v>
      </c>
      <c r="GF25" s="59">
        <f t="shared" si="50"/>
        <v>136.13737493732751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2.0891919796491396</v>
      </c>
      <c r="GN25" s="21">
        <f>EXP(-LN(2)/2)*GN24+(1-EXP(-LN(2)/2))/(LN(2)/2)*GH25*GK25*VLOOKUP('Données projet'!$B$17,Paramètres!$A$1:$I$89,3,0)*0.475*44/12</f>
        <v>0.44628823060834871</v>
      </c>
      <c r="GO25" s="21">
        <f t="shared" si="27"/>
        <v>2.5354802102574885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67.108084796130498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0.85000000000000009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3.1166666666666671</v>
      </c>
      <c r="H26" s="67">
        <f t="shared" si="1"/>
        <v>244.19999999999996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463.5179146149747</v>
      </c>
      <c r="S26" s="59">
        <f ca="1">AVERAGE(OFFSET($R$3,0,0,'Données projet'!$E$9+1,1))-AVERAGE(OFFSET($H$3,0,0,'Données projet'!$E$9+1,1))</f>
        <v>643.492472896403</v>
      </c>
      <c r="T26" s="59">
        <f t="shared" si="34"/>
        <v>285.0259479655341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3.56</v>
      </c>
      <c r="AI26" s="13">
        <f>IF('Données projet'!$A$62&gt;35,AI25+AH26-AQ25,IF(A26&lt;'Données projet'!$A$62,$AF$205^A26,IF(A26='Données projet'!$A$62,'Données projet'!$B$62,AI25+AH26-AQ25)))</f>
        <v>62.149667013426139</v>
      </c>
      <c r="AJ26" s="13">
        <f>AI26*VLOOKUP('Données projet'!$B$10,Paramètres!$A$1:$I$89,3,0)*VLOOKUP('Données projet'!$B$10,Paramètres!$A$1:$I$89,5,0)</f>
        <v>48.476740270472391</v>
      </c>
      <c r="AK26" s="13">
        <f t="shared" si="35"/>
        <v>14.219665651067873</v>
      </c>
      <c r="AL26" s="20">
        <f t="shared" si="4"/>
        <v>109.19624031334928</v>
      </c>
      <c r="AM26" s="59">
        <f t="shared" si="5"/>
        <v>383.55427930952771</v>
      </c>
      <c r="AN26" s="59">
        <f ca="1">AVERAGE(OFFSET($AM$3,0,0,'Données projet'!$E$10+1,1))-AVERAGE(OFFSET($H$3,0,0,'Données projet'!$E$10+1,1))</f>
        <v>289.89907502443873</v>
      </c>
      <c r="AO26" s="59">
        <f t="shared" si="36"/>
        <v>267.42183550360301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1.153846153846154</v>
      </c>
      <c r="BD26" s="12">
        <f>IF('Données projet'!$A$88&gt;35,BD25+BC26-BL25,IF(A26&lt;'Données projet'!$A$88,$BA$205^A26,IF(A26='Données projet'!$A$88,'Données projet'!$B$88,BD25+BC26-BL25)))</f>
        <v>22.043516778930577</v>
      </c>
      <c r="BE26" s="13">
        <f>BD26*VLOOKUP('Données projet'!$B$11,Paramètres!$A$1:$I$89,3,0)*VLOOKUP('Données projet'!$B$11,Paramètres!$A$1:$I$89,5,0)</f>
        <v>21.320489428581656</v>
      </c>
      <c r="BF26" s="13">
        <f t="shared" si="37"/>
        <v>6.8814069907343525</v>
      </c>
      <c r="BG26" s="20">
        <f t="shared" si="7"/>
        <v>49.118302930308708</v>
      </c>
      <c r="BH26" s="59">
        <f t="shared" si="8"/>
        <v>323.47634192648712</v>
      </c>
      <c r="BI26" s="59">
        <f ca="1">AVERAGE(OFFSET($BH$3,0,0,'Données projet'!$E$11+1,1))-AVERAGE(OFFSET($H$3,0,0,'Données projet'!$E$11+1,1))</f>
        <v>177.54241137663234</v>
      </c>
      <c r="BJ26" s="59">
        <f t="shared" si="38"/>
        <v>114.71095021456071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1.153846153846154</v>
      </c>
      <c r="BY26" s="12">
        <f>IF('Données projet'!$A$114&gt;35,BY25+BX26-CG25,IF(A26&lt;'Données projet'!$A$114,$BV$205^A26,IF(A26='Données projet'!$A$114,'Données projet'!$B$114,BY25+BX26-CG25)))</f>
        <v>22.043516778930577</v>
      </c>
      <c r="BZ26" s="13">
        <f>BY26*VLOOKUP('Données projet'!$B$12,Paramètres!$A$1:$I$89,3,0)*VLOOKUP('Données projet'!$B$12,Paramètres!$A$1:$I$89,5,0)</f>
        <v>23.727641460840871</v>
      </c>
      <c r="CA26" s="13">
        <f t="shared" si="39"/>
        <v>7.5635730208051664</v>
      </c>
      <c r="CB26" s="20">
        <f t="shared" si="10"/>
        <v>54.49886522220018</v>
      </c>
      <c r="CC26" s="59">
        <f t="shared" si="11"/>
        <v>328.85690421837865</v>
      </c>
      <c r="CD26" s="59">
        <f ca="1">AVERAGE(OFFSET($CC$3,0,0,'Données projet'!$E$12+1,1))-AVERAGE(OFFSET($H$3,0,0,'Données projet'!$E$12+1,1))</f>
        <v>192.88977161349993</v>
      </c>
      <c r="CE26" s="59">
        <f t="shared" si="40"/>
        <v>122.91376861456772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2.9487179487179498</v>
      </c>
      <c r="CT26" s="12">
        <f>IF('Données projet'!$A$140&gt;35,CT25+CS26-DB25,IF(A26&lt;'Données projet'!$A$140,$CQ$205^A26,IF(A26='Données projet'!$A$140,'Données projet'!$B$140,CT25+CS26-DB25)))</f>
        <v>37.692307692307693</v>
      </c>
      <c r="CU26" s="17">
        <f>CT26*VLOOKUP('Données projet'!$B$13,Paramètres!$A$1:$I$89,3,0)*VLOOKUP('Données projet'!$B$13,Paramètres!$A$1:$I$89,5,0)</f>
        <v>30.576000000000004</v>
      </c>
      <c r="CV26" s="13">
        <f t="shared" si="41"/>
        <v>9.4631216842413863</v>
      </c>
      <c r="CW26" s="20">
        <f t="shared" si="13"/>
        <v>69.734803600053766</v>
      </c>
      <c r="CX26" s="59">
        <f t="shared" si="14"/>
        <v>344.09284259623223</v>
      </c>
      <c r="CY26" s="59">
        <f ca="1">AVERAGE(OFFSET($CX$3,0,0,'Données projet'!$E$13+1,1))-AVERAGE(OFFSET($H$3,0,0,'Données projet'!$E$13+1,1))</f>
        <v>163.16040389635825</v>
      </c>
      <c r="CZ26" s="59">
        <f t="shared" si="42"/>
        <v>138.57856782158811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0.50975849285308084</v>
      </c>
      <c r="DH26" s="21">
        <f>EXP(-LN(2)/2)*DH25+(1-EXP(-LN(2)/2))/(LN(2)/2)*DB26*DE26*VLOOKUP('Données projet'!$B$13,Paramètres!$A$1:$I$89,3,0)*0.475*44/12</f>
        <v>0.39029695353645211</v>
      </c>
      <c r="DI26" s="22">
        <f t="shared" si="15"/>
        <v>0.90005544638953294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7.7715686274509812</v>
      </c>
      <c r="DO26" s="12">
        <f>IF('Données projet'!$A$166&gt;35,DO25+DN26-DW25,IF(A26&lt;'Données projet'!$A$166,$DL$205^A26,IF(A26='Données projet'!$A$166,'Données projet'!$B$166,DO25+DN26-DW25)))</f>
        <v>178.74607843137258</v>
      </c>
      <c r="DP26" s="17">
        <f>DO26*VLOOKUP('Données projet'!$B$14,Paramètres!$A$1:$I$89,3,0)*VLOOKUP('Données projet'!$B$14,Paramètres!$A$1:$I$89,5,0)</f>
        <v>83.653164705882375</v>
      </c>
      <c r="DQ26" s="13">
        <f t="shared" si="43"/>
        <v>23.028067398749322</v>
      </c>
      <c r="DR26" s="20">
        <f t="shared" si="16"/>
        <v>185.80314591556689</v>
      </c>
      <c r="DS26" s="59">
        <f t="shared" si="17"/>
        <v>460.16118491174529</v>
      </c>
      <c r="DT26" s="59">
        <f ca="1">AVERAGE(OFFSET($DS$3,0,0,'Données projet'!$E$14+1,1))-AVERAGE(OFFSET($H$3,0,0,'Données projet'!$E$14+1,1))</f>
        <v>343.44193069803498</v>
      </c>
      <c r="DU26" s="59">
        <f t="shared" si="44"/>
        <v>280.67367019483481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4.2307692307692308</v>
      </c>
      <c r="EJ26" s="12">
        <f>IF('Données projet'!$A$192&gt;35,EJ25+EI26-ER25,IF(A26&lt;'Données projet'!$A$192,$EG$205^A26,IF(A26='Données projet'!$A$192,'Données projet'!$B$192,EJ25+EI26-ER25)))</f>
        <v>42.179487179487182</v>
      </c>
      <c r="EK26" s="17">
        <f>EJ26*VLOOKUP('Données projet'!$B$15,Paramètres!$A$1:$I$89,3,0)*VLOOKUP('Données projet'!$B$15,Paramètres!$A$1:$I$89,5,0)</f>
        <v>42.77</v>
      </c>
      <c r="EL26" s="13">
        <f t="shared" si="45"/>
        <v>12.729950250250321</v>
      </c>
      <c r="EM26" s="20">
        <f t="shared" si="19"/>
        <v>96.662413352519309</v>
      </c>
      <c r="EN26" s="59">
        <f t="shared" si="20"/>
        <v>371.02045234869775</v>
      </c>
      <c r="EO26" s="59">
        <f ca="1">AVERAGE(OFFSET($EN$3,0,0,'Données projet'!$E$15+1,1))-AVERAGE(OFFSET($H$3,0,0,'Données projet'!$E$15+1,1))</f>
        <v>270.0029254736703</v>
      </c>
      <c r="EP26" s="59">
        <f t="shared" si="46"/>
        <v>183.80022202211441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2.4921526317261726</v>
      </c>
      <c r="EX26" s="21">
        <f>EXP(-LN(2)/2)*EX25+(1-EXP(-LN(2)/2))/(LN(2)/2)*ER26*EU26*VLOOKUP('Données projet'!$B$15,Paramètres!$A$1:$I$89,3,0)*0.475*44/12</f>
        <v>0.47702960987788595</v>
      </c>
      <c r="EY26" s="22">
        <f t="shared" si="21"/>
        <v>2.9691822416040585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89.799999999999983</v>
      </c>
      <c r="FF26" s="17">
        <f>FE26*VLOOKUP('Données projet'!$B$16,Paramètres!$A$1:$I$89,3,0)*VLOOKUP('Données projet'!$B$16,Paramètres!$A$1:$I$89,5,0)</f>
        <v>78.449280000000002</v>
      </c>
      <c r="FG26" s="13">
        <f t="shared" si="47"/>
        <v>21.757594161482565</v>
      </c>
      <c r="FH26" s="20">
        <f t="shared" si="22"/>
        <v>174.52697249791549</v>
      </c>
      <c r="FI26" s="59">
        <f t="shared" si="23"/>
        <v>448.88501149409393</v>
      </c>
      <c r="FJ26" s="59">
        <f ca="1">AVERAGE(OFFSET($FI$3,0,0,'Données projet'!$E$16+1,1))-AVERAGE(OFFSET($H$3,0,0,'Données projet'!$E$16+1,1))</f>
        <v>328.93328163316073</v>
      </c>
      <c r="FK26" s="59">
        <f t="shared" si="48"/>
        <v>320.27831321887072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4.8154755324647889</v>
      </c>
      <c r="FS26" s="21">
        <f>EXP(-LN(2)/2)*FS25+(1-EXP(-LN(2)/2))/(LN(2)/2)*FM26*FP26*VLOOKUP('Données projet'!$B$16,Paramètres!$A$1:$I$89,3,0)*0.475*44/12</f>
        <v>2.2331392129159759</v>
      </c>
      <c r="FT26" s="22">
        <f t="shared" si="24"/>
        <v>7.0486147453807648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4.2307692307692308</v>
      </c>
      <c r="FZ26" s="12">
        <f>IF('Données projet'!$A$244&gt;35,FZ25+FY26-GH25,IF(A26&lt;'Données projet'!$A$244,$FW$205^A26,IF(A26='Données projet'!$A$244,'Données projet'!$B$244,FZ25+FY26-GH25)))</f>
        <v>42.179487179487182</v>
      </c>
      <c r="GA26" s="17">
        <f>FZ26*VLOOKUP('Données projet'!$B$17,Paramètres!$A$1:$I$89,3,0)*VLOOKUP('Données projet'!$B$17,Paramètres!$A$1:$I$89,5,0)</f>
        <v>28.294</v>
      </c>
      <c r="GB26" s="13">
        <f t="shared" si="49"/>
        <v>8.8362743574592386</v>
      </c>
      <c r="GC26" s="20">
        <f t="shared" si="25"/>
        <v>64.66856117257484</v>
      </c>
      <c r="GD26" s="59">
        <f t="shared" si="26"/>
        <v>339.02660016875325</v>
      </c>
      <c r="GE26" s="59">
        <f ca="1">AVERAGE(OFFSET($GD$3,0,0,'Données projet'!$E$17+1,1))-AVERAGE(OFFSET($H$3,0,0,'Données projet'!$E$17+1,1))</f>
        <v>192.88444860121191</v>
      </c>
      <c r="GF26" s="59">
        <f t="shared" si="50"/>
        <v>136.13737493732751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2.0320629150998024</v>
      </c>
      <c r="GN26" s="21">
        <f>EXP(-LN(2)/2)*GN25+(1-EXP(-LN(2)/2))/(LN(2)/2)*GH26*GK26*VLOOKUP('Données projet'!$B$17,Paramètres!$A$1:$I$89,3,0)*0.475*44/12</f>
        <v>0.31557343422690909</v>
      </c>
      <c r="GO26" s="21">
        <f t="shared" si="27"/>
        <v>2.3476363493267116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67.158253059563819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0.85000000000000009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3.1166666666666671</v>
      </c>
      <c r="H27" s="67">
        <f t="shared" si="1"/>
        <v>244.19999999999996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472.93504018524732</v>
      </c>
      <c r="S27" s="59">
        <f ca="1">AVERAGE(OFFSET($R$3,0,0,'Données projet'!$E$9+1,1))-AVERAGE(OFFSET($H$3,0,0,'Données projet'!$E$9+1,1))</f>
        <v>643.492472896403</v>
      </c>
      <c r="T27" s="59">
        <f t="shared" si="34"/>
        <v>285.0259479655341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3.56</v>
      </c>
      <c r="AI27" s="13">
        <f>IF('Données projet'!$A$62&gt;35,AI26+AH27-AQ26,IF(A27&lt;'Données projet'!$A$62,$AF$205^A27,IF(A27='Données projet'!$A$62,'Données projet'!$B$62,AI26+AH27-AQ26)))</f>
        <v>74.372846955020648</v>
      </c>
      <c r="AJ27" s="13">
        <f>AI27*VLOOKUP('Données projet'!$B$10,Paramètres!$A$1:$I$89,3,0)*VLOOKUP('Données projet'!$B$10,Paramètres!$A$1:$I$89,5,0)</f>
        <v>58.010820624916107</v>
      </c>
      <c r="AK27" s="13">
        <f t="shared" si="35"/>
        <v>16.664359469831368</v>
      </c>
      <c r="AL27" s="20">
        <f t="shared" si="4"/>
        <v>130.05927199835185</v>
      </c>
      <c r="AM27" s="59">
        <f t="shared" si="5"/>
        <v>405.82029238956721</v>
      </c>
      <c r="AN27" s="59">
        <f ca="1">AVERAGE(OFFSET($AM$3,0,0,'Données projet'!$E$10+1,1))-AVERAGE(OFFSET($H$3,0,0,'Données projet'!$E$10+1,1))</f>
        <v>289.89907502443873</v>
      </c>
      <c r="AO27" s="59">
        <f t="shared" si="36"/>
        <v>267.42183550360301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1.153846153846154</v>
      </c>
      <c r="BD27" s="12">
        <f>IF('Données projet'!$A$88&gt;35,BD26+BC27-BL26,IF(A27&lt;'Données projet'!$A$88,$BA$205^A27,IF(A27='Données projet'!$A$88,'Données projet'!$B$88,BD26+BC27-BL26)))</f>
        <v>25.216476286652476</v>
      </c>
      <c r="BE27" s="13">
        <f>BD27*VLOOKUP('Données projet'!$B$11,Paramètres!$A$1:$I$89,3,0)*VLOOKUP('Données projet'!$B$11,Paramètres!$A$1:$I$89,5,0)</f>
        <v>24.389375864450276</v>
      </c>
      <c r="BF27" s="13">
        <f t="shared" si="37"/>
        <v>7.7496589727120329</v>
      </c>
      <c r="BG27" s="20">
        <f t="shared" si="7"/>
        <v>55.975485674724347</v>
      </c>
      <c r="BH27" s="59">
        <f t="shared" si="8"/>
        <v>331.73650606593969</v>
      </c>
      <c r="BI27" s="59">
        <f ca="1">AVERAGE(OFFSET($BH$3,0,0,'Données projet'!$E$11+1,1))-AVERAGE(OFFSET($H$3,0,0,'Données projet'!$E$11+1,1))</f>
        <v>177.54241137663234</v>
      </c>
      <c r="BJ27" s="59">
        <f t="shared" si="38"/>
        <v>114.71095021456071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1.153846153846154</v>
      </c>
      <c r="BY27" s="12">
        <f>IF('Données projet'!$A$114&gt;35,BY26+BX27-CG26,IF(A27&lt;'Données projet'!$A$114,$BV$205^A27,IF(A27='Données projet'!$A$114,'Données projet'!$B$114,BY26+BX27-CG26)))</f>
        <v>25.216476286652476</v>
      </c>
      <c r="BZ27" s="13">
        <f>BY27*VLOOKUP('Données projet'!$B$12,Paramètres!$A$1:$I$89,3,0)*VLOOKUP('Données projet'!$B$12,Paramètres!$A$1:$I$89,5,0)</f>
        <v>27.143015074952725</v>
      </c>
      <c r="CA27" s="13">
        <f t="shared" si="39"/>
        <v>8.5178963554065685</v>
      </c>
      <c r="CB27" s="20">
        <f t="shared" si="10"/>
        <v>62.1094207412091</v>
      </c>
      <c r="CC27" s="59">
        <f t="shared" si="11"/>
        <v>337.87044113242445</v>
      </c>
      <c r="CD27" s="59">
        <f ca="1">AVERAGE(OFFSET($CC$3,0,0,'Données projet'!$E$12+1,1))-AVERAGE(OFFSET($H$3,0,0,'Données projet'!$E$12+1,1))</f>
        <v>192.88977161349993</v>
      </c>
      <c r="CE27" s="59">
        <f t="shared" si="40"/>
        <v>122.91376861456772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2.9487179487179498</v>
      </c>
      <c r="CT27" s="12">
        <f>IF('Données projet'!$A$140&gt;35,CT26+CS27-DB26,IF(A27&lt;'Données projet'!$A$140,$CQ$205^A27,IF(A27='Données projet'!$A$140,'Données projet'!$B$140,CT26+CS27-DB26)))</f>
        <v>40.641025641025642</v>
      </c>
      <c r="CU27" s="17">
        <f>CT27*VLOOKUP('Données projet'!$B$13,Paramètres!$A$1:$I$89,3,0)*VLOOKUP('Données projet'!$B$13,Paramètres!$A$1:$I$89,5,0)</f>
        <v>32.968000000000004</v>
      </c>
      <c r="CV27" s="13">
        <f t="shared" si="41"/>
        <v>10.114366524983168</v>
      </c>
      <c r="CW27" s="20">
        <f t="shared" si="13"/>
        <v>75.035121697679017</v>
      </c>
      <c r="CX27" s="59">
        <f t="shared" si="14"/>
        <v>350.79614208889438</v>
      </c>
      <c r="CY27" s="59">
        <f ca="1">AVERAGE(OFFSET($CX$3,0,0,'Données projet'!$E$13+1,1))-AVERAGE(OFFSET($H$3,0,0,'Données projet'!$E$13+1,1))</f>
        <v>163.16040389635825</v>
      </c>
      <c r="CZ27" s="59">
        <f t="shared" si="42"/>
        <v>138.57856782158811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0.49581912005897927</v>
      </c>
      <c r="DH27" s="21">
        <f>EXP(-LN(2)/2)*DH26+(1-EXP(-LN(2)/2))/(LN(2)/2)*DB27*DE27*VLOOKUP('Données projet'!$B$13,Paramètres!$A$1:$I$89,3,0)*0.475*44/12</f>
        <v>0.27598162252207614</v>
      </c>
      <c r="DI27" s="22">
        <f t="shared" si="15"/>
        <v>0.77180074258105535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7.7715686274509812</v>
      </c>
      <c r="DO27" s="12">
        <f>IF('Données projet'!$A$166&gt;35,DO26+DN27-DW26,IF(A27&lt;'Données projet'!$A$166,$DL$205^A27,IF(A27='Données projet'!$A$166,'Données projet'!$B$166,DO26+DN27-DW26)))</f>
        <v>186.51764705882357</v>
      </c>
      <c r="DP27" s="17">
        <f>DO27*VLOOKUP('Données projet'!$B$14,Paramètres!$A$1:$I$89,3,0)*VLOOKUP('Données projet'!$B$14,Paramètres!$A$1:$I$89,5,0)</f>
        <v>87.290258823529442</v>
      </c>
      <c r="DQ27" s="13">
        <f t="shared" si="43"/>
        <v>23.910542463246056</v>
      </c>
      <c r="DR27" s="20">
        <f t="shared" si="16"/>
        <v>193.67472890780064</v>
      </c>
      <c r="DS27" s="59">
        <f t="shared" si="17"/>
        <v>469.43574929901604</v>
      </c>
      <c r="DT27" s="59">
        <f ca="1">AVERAGE(OFFSET($DS$3,0,0,'Données projet'!$E$14+1,1))-AVERAGE(OFFSET($H$3,0,0,'Données projet'!$E$14+1,1))</f>
        <v>343.44193069803498</v>
      </c>
      <c r="DU27" s="59">
        <f t="shared" si="44"/>
        <v>280.67367019483481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4.2307692307692308</v>
      </c>
      <c r="EJ27" s="12">
        <f>IF('Données projet'!$A$192&gt;35,EJ26+EI27-ER26,IF(A27&lt;'Données projet'!$A$192,$EG$205^A27,IF(A27='Données projet'!$A$192,'Données projet'!$B$192,EJ26+EI27-ER26)))</f>
        <v>46.410256410256416</v>
      </c>
      <c r="EK27" s="17">
        <f>EJ27*VLOOKUP('Données projet'!$B$15,Paramètres!$A$1:$I$89,3,0)*VLOOKUP('Données projet'!$B$15,Paramètres!$A$1:$I$89,5,0)</f>
        <v>47.060000000000009</v>
      </c>
      <c r="EL27" s="13">
        <f t="shared" si="45"/>
        <v>13.851834815095527</v>
      </c>
      <c r="EM27" s="20">
        <f t="shared" si="19"/>
        <v>106.08811230295805</v>
      </c>
      <c r="EN27" s="59">
        <f t="shared" si="20"/>
        <v>381.84913269417342</v>
      </c>
      <c r="EO27" s="59">
        <f ca="1">AVERAGE(OFFSET($EN$3,0,0,'Données projet'!$E$15+1,1))-AVERAGE(OFFSET($H$3,0,0,'Données projet'!$E$15+1,1))</f>
        <v>270.0029254736703</v>
      </c>
      <c r="EP27" s="59">
        <f t="shared" si="46"/>
        <v>183.80022202211441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2.4240045869550095</v>
      </c>
      <c r="EX27" s="21">
        <f>EXP(-LN(2)/2)*EX26+(1-EXP(-LN(2)/2))/(LN(2)/2)*ER27*EU27*VLOOKUP('Données projet'!$B$15,Paramètres!$A$1:$I$89,3,0)*0.475*44/12</f>
        <v>0.33731087197142645</v>
      </c>
      <c r="EY27" s="22">
        <f t="shared" si="21"/>
        <v>2.7613154589264362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102.39999999999998</v>
      </c>
      <c r="FF27" s="17">
        <f>FE27*VLOOKUP('Données projet'!$B$16,Paramètres!$A$1:$I$89,3,0)*VLOOKUP('Données projet'!$B$16,Paramètres!$A$1:$I$89,5,0)</f>
        <v>89.456639999999993</v>
      </c>
      <c r="FG27" s="13">
        <f t="shared" si="47"/>
        <v>24.434133496437113</v>
      </c>
      <c r="FH27" s="20">
        <f t="shared" si="22"/>
        <v>198.35976383962796</v>
      </c>
      <c r="FI27" s="59">
        <f t="shared" si="23"/>
        <v>474.12078423084336</v>
      </c>
      <c r="FJ27" s="59">
        <f ca="1">AVERAGE(OFFSET($FI$3,0,0,'Données projet'!$E$16+1,1))-AVERAGE(OFFSET($H$3,0,0,'Données projet'!$E$16+1,1))</f>
        <v>328.93328163316073</v>
      </c>
      <c r="FK27" s="59">
        <f t="shared" si="48"/>
        <v>320.27831321887072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4.6837961007946873</v>
      </c>
      <c r="FS27" s="21">
        <f>EXP(-LN(2)/2)*FS26+(1-EXP(-LN(2)/2))/(LN(2)/2)*FM27*FP27*VLOOKUP('Données projet'!$B$16,Paramètres!$A$1:$I$89,3,0)*0.475*44/12</f>
        <v>1.579067880786476</v>
      </c>
      <c r="FT27" s="22">
        <f t="shared" si="24"/>
        <v>6.2628639815811633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4.2307692307692308</v>
      </c>
      <c r="FZ27" s="12">
        <f>IF('Données projet'!$A$244&gt;35,FZ26+FY27-GH26,IF(A27&lt;'Données projet'!$A$244,$FW$205^A27,IF(A27='Données projet'!$A$244,'Données projet'!$B$244,FZ26+FY27-GH26)))</f>
        <v>46.410256410256416</v>
      </c>
      <c r="GA27" s="17">
        <f>FZ27*VLOOKUP('Données projet'!$B$17,Paramètres!$A$1:$I$89,3,0)*VLOOKUP('Données projet'!$B$17,Paramètres!$A$1:$I$89,5,0)</f>
        <v>31.132000000000005</v>
      </c>
      <c r="GB27" s="13">
        <f t="shared" si="49"/>
        <v>9.6150110860003526</v>
      </c>
      <c r="GC27" s="20">
        <f t="shared" si="25"/>
        <v>70.967710974783941</v>
      </c>
      <c r="GD27" s="59">
        <f t="shared" si="26"/>
        <v>346.72873136599929</v>
      </c>
      <c r="GE27" s="59">
        <f ca="1">AVERAGE(OFFSET($GD$3,0,0,'Données projet'!$E$17+1,1))-AVERAGE(OFFSET($H$3,0,0,'Données projet'!$E$17+1,1))</f>
        <v>192.88444860121191</v>
      </c>
      <c r="GF27" s="59">
        <f t="shared" si="50"/>
        <v>136.13737493732751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1.9764960478248539</v>
      </c>
      <c r="GN27" s="21">
        <f>EXP(-LN(2)/2)*GN26+(1-EXP(-LN(2)/2))/(LN(2)/2)*GH27*GK27*VLOOKUP('Données projet'!$B$17,Paramètres!$A$1:$I$89,3,0)*0.475*44/12</f>
        <v>0.22314411530417436</v>
      </c>
      <c r="GO27" s="21">
        <f t="shared" si="27"/>
        <v>2.1996401631290281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67.207551015786009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0.85000000000000009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3.1166666666666671</v>
      </c>
      <c r="H28" s="67">
        <f t="shared" si="1"/>
        <v>244.19999999999996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482.34146972360134</v>
      </c>
      <c r="S28" s="59">
        <f ca="1">AVERAGE(OFFSET($R$3,0,0,'Données projet'!$E$9+1,1))-AVERAGE(OFFSET($H$3,0,0,'Données projet'!$E$9+1,1))</f>
        <v>643.492472896403</v>
      </c>
      <c r="T28" s="59">
        <f t="shared" si="34"/>
        <v>285.0259479655341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89</v>
      </c>
      <c r="AG28" s="12">
        <f>VLOOKUP(A28,'Données projet'!$A$61:$I$81,9,0)</f>
        <v>3.56</v>
      </c>
      <c r="AH28" s="12">
        <f t="array" ref="AH28">INDEX(AG:AG,MIN(IF(ISNUMBER(AG28:AG224),ROW(AG28:AG224),"")))</f>
        <v>3.56</v>
      </c>
      <c r="AI28" s="13">
        <f>IF('Données projet'!$A$62&gt;35,AI27+AH28-AQ27,IF(A28&lt;'Données projet'!$A$62,$AF$205^A28,IF(A28='Données projet'!$A$62,'Données projet'!$B$62,AI27+AH28-AQ27)))</f>
        <v>89</v>
      </c>
      <c r="AJ28" s="13">
        <f>AI28*VLOOKUP('Données projet'!$B$10,Paramètres!$A$1:$I$89,3,0)*VLOOKUP('Données projet'!$B$10,Paramètres!$A$1:$I$89,5,0)</f>
        <v>69.42</v>
      </c>
      <c r="AK28" s="13">
        <f t="shared" si="35"/>
        <v>19.529353456978352</v>
      </c>
      <c r="AL28" s="20">
        <f t="shared" si="4"/>
        <v>154.92012393757065</v>
      </c>
      <c r="AM28" s="59">
        <f t="shared" si="5"/>
        <v>432.08098995629155</v>
      </c>
      <c r="AN28" s="59">
        <f ca="1">AVERAGE(OFFSET($AM$3,0,0,'Données projet'!$E$10+1,1))-AVERAGE(OFFSET($H$3,0,0,'Données projet'!$E$10+1,1))</f>
        <v>289.89907502443873</v>
      </c>
      <c r="AO28" s="59">
        <f t="shared" si="36"/>
        <v>267.42183550360301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0.1075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2.5852041863768558</v>
      </c>
      <c r="AW28" s="21">
        <f>EXP(-LN(2)/2)*AW27+(1-EXP(-LN(2)/2))/(LN(2)/2)*AQ28*AT28*VLOOKUP('Données projet'!$B$10,Paramètres!$A$1:$I$89,3,0)*0.475*44/12</f>
        <v>5.1516569537454204</v>
      </c>
      <c r="AX28" s="21">
        <f t="shared" si="6"/>
        <v>7.7368611401222758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28.846153846153847</v>
      </c>
      <c r="BB28" s="12">
        <f>VLOOKUP(A28,'Données projet'!$A$87:$I$107,9,0)</f>
        <v>1.153846153846154</v>
      </c>
      <c r="BC28" s="12">
        <f t="array" ref="BC28">INDEX(BB:BB,MIN(IF(ISNUMBER(BB28:BB224),ROW(BB28:BB224),"")))</f>
        <v>1.153846153846154</v>
      </c>
      <c r="BD28" s="12">
        <f>IF('Données projet'!$A$88&gt;35,BD27+BC28-BL27,IF(A28&lt;'Données projet'!$A$88,$BA$205^A28,IF(A28='Données projet'!$A$88,'Données projet'!$B$88,BD27+BC28-BL27)))</f>
        <v>28.846153846153847</v>
      </c>
      <c r="BE28" s="13">
        <f>BD28*VLOOKUP('Données projet'!$B$11,Paramètres!$A$1:$I$89,3,0)*VLOOKUP('Données projet'!$B$11,Paramètres!$A$1:$I$89,5,0)</f>
        <v>27.9</v>
      </c>
      <c r="BF28" s="13">
        <f t="shared" si="37"/>
        <v>8.7274614441787239</v>
      </c>
      <c r="BG28" s="20">
        <f t="shared" si="7"/>
        <v>63.792828681944599</v>
      </c>
      <c r="BH28" s="59">
        <f t="shared" si="8"/>
        <v>340.95369470066544</v>
      </c>
      <c r="BI28" s="59">
        <f ca="1">AVERAGE(OFFSET($BH$3,0,0,'Données projet'!$E$11+1,1))-AVERAGE(OFFSET($H$3,0,0,'Données projet'!$E$11+1,1))</f>
        <v>177.54241137663234</v>
      </c>
      <c r="BJ28" s="59">
        <f t="shared" si="38"/>
        <v>114.71095021456071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5.7692307692307692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0.34400000000000003</v>
      </c>
      <c r="BO28" s="16">
        <f>IF(ISNA(VLOOKUP(A28,'Données projet'!$A$87:$I$107,7,0)),0%,VLOOKUP(A28,'Données projet'!$A$87:$I$107,7,0))</f>
        <v>0.2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2.1136174886421766</v>
      </c>
      <c r="BR28" s="21">
        <f>EXP(-LN(2)/2)*BR27+(1-EXP(-LN(2)/2))/(LN(2)/2)*BL28*BO28*VLOOKUP('Données projet'!$B$11,Paramètres!$A$1:$I$89,3,0)*0.475*44/12</f>
        <v>1.0529760366996133</v>
      </c>
      <c r="BS28" s="22">
        <f t="shared" si="9"/>
        <v>3.1665935253417898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28.846153846153847</v>
      </c>
      <c r="BW28" s="12">
        <f>VLOOKUP(A28,'Données projet'!$A$113:$I$133,9,0)</f>
        <v>1.153846153846154</v>
      </c>
      <c r="BX28" s="12">
        <f t="array" ref="BX28">INDEX(BW:BW,MIN(IF(ISNUMBER(BW28:BW224),ROW(BW28:BW224),"")))</f>
        <v>1.153846153846154</v>
      </c>
      <c r="BY28" s="12">
        <f>IF('Données projet'!$A$114&gt;35,BY27+BX28-CG27,IF(A28&lt;'Données projet'!$A$114,$BV$205^A28,IF(A28='Données projet'!$A$114,'Données projet'!$B$114,BY27+BX28-CG27)))</f>
        <v>28.846153846153847</v>
      </c>
      <c r="BZ28" s="13">
        <f>BY28*VLOOKUP('Données projet'!$B$12,Paramètres!$A$1:$I$89,3,0)*VLOOKUP('Données projet'!$B$12,Paramètres!$A$1:$I$89,5,0)</f>
        <v>31.05</v>
      </c>
      <c r="CA28" s="13">
        <f t="shared" si="39"/>
        <v>9.5926301130262264</v>
      </c>
      <c r="CB28" s="20">
        <f t="shared" si="10"/>
        <v>70.785914113520676</v>
      </c>
      <c r="CC28" s="59">
        <f t="shared" si="11"/>
        <v>347.94678013224154</v>
      </c>
      <c r="CD28" s="59">
        <f ca="1">AVERAGE(OFFSET($CC$3,0,0,'Données projet'!$E$12+1,1))-AVERAGE(OFFSET($H$3,0,0,'Données projet'!$E$12+1,1))</f>
        <v>192.88977161349993</v>
      </c>
      <c r="CE28" s="59">
        <f t="shared" si="40"/>
        <v>122.91376861456772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5.7692307692307692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0.34400000000000003</v>
      </c>
      <c r="CJ28" s="16">
        <f>IF(ISNA(VLOOKUP(A28,'Données projet'!$A$113:$I$133,7,0)),0%,VLOOKUP(A28,'Données projet'!$A$113:$I$133,7,0))</f>
        <v>0.2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2.3522517212308096</v>
      </c>
      <c r="CM28" s="21">
        <f>EXP(-LN(2)/2)*CM27+(1-EXP(-LN(2)/2))/(LN(2)/2)*CG28*CJ28*VLOOKUP('Données projet'!$B$12,Paramètres!$A$1:$I$89,3,0)*0.475*44/12</f>
        <v>1.1718604279398923</v>
      </c>
      <c r="CN28" s="22">
        <f t="shared" si="12"/>
        <v>3.5241121491707021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43.589743589743591</v>
      </c>
      <c r="CR28" s="12">
        <f>VLOOKUP(A28,'Données projet'!$A$139:$I$159,9,0)</f>
        <v>2.9487179487179498</v>
      </c>
      <c r="CS28" s="12">
        <f t="array" ref="CS28">INDEX(CR:CR,MIN(IF(ISNUMBER(CR28:CR224),ROW(CR28:CR224),"")))</f>
        <v>2.9487179487179498</v>
      </c>
      <c r="CT28" s="12">
        <f>IF('Données projet'!$A$140&gt;35,CT27+CS28-DB27,IF(A28&lt;'Données projet'!$A$140,$CQ$205^A28,IF(A28='Données projet'!$A$140,'Données projet'!$B$140,CT27+CS28-DB27)))</f>
        <v>43.589743589743591</v>
      </c>
      <c r="CU28" s="17">
        <f>CT28*VLOOKUP('Données projet'!$B$13,Paramètres!$A$1:$I$89,3,0)*VLOOKUP('Données projet'!$B$13,Paramètres!$A$1:$I$89,5,0)</f>
        <v>35.360000000000007</v>
      </c>
      <c r="CV28" s="13">
        <f t="shared" si="41"/>
        <v>10.760129410861797</v>
      </c>
      <c r="CW28" s="20">
        <f t="shared" si="13"/>
        <v>80.325892057250982</v>
      </c>
      <c r="CX28" s="59">
        <f t="shared" si="14"/>
        <v>357.48675807597186</v>
      </c>
      <c r="CY28" s="59">
        <f ca="1">AVERAGE(OFFSET($CX$3,0,0,'Données projet'!$E$13+1,1))-AVERAGE(OFFSET($H$3,0,0,'Données projet'!$E$13+1,1))</f>
        <v>163.16040389635825</v>
      </c>
      <c r="CZ28" s="59">
        <f t="shared" si="42"/>
        <v>138.57856782158811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5.1282051282051277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0.1075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0.97468076517113511</v>
      </c>
      <c r="DH28" s="21">
        <f>EXP(-LN(2)/2)*DH27+(1-EXP(-LN(2)/2))/(LN(2)/2)*DB28*DE28*VLOOKUP('Données projet'!$B$13,Paramètres!$A$1:$I$89,3,0)*0.475*44/12</f>
        <v>1.1764164679578297</v>
      </c>
      <c r="DI28" s="22">
        <f t="shared" si="15"/>
        <v>2.1510972331289651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7.7715686274509812</v>
      </c>
      <c r="DO28" s="12">
        <f>IF('Données projet'!$A$166&gt;35,DO27+DN28-DW27,IF(A28&lt;'Données projet'!$A$166,$DL$205^A28,IF(A28='Données projet'!$A$166,'Données projet'!$B$166,DO27+DN28-DW27)))</f>
        <v>194.28921568627456</v>
      </c>
      <c r="DP28" s="17">
        <f>DO28*VLOOKUP('Données projet'!$B$14,Paramètres!$A$1:$I$89,3,0)*VLOOKUP('Données projet'!$B$14,Paramètres!$A$1:$I$89,5,0)</f>
        <v>90.92735294117648</v>
      </c>
      <c r="DQ28" s="13">
        <f t="shared" si="43"/>
        <v>24.788746580819698</v>
      </c>
      <c r="DR28" s="20">
        <f t="shared" si="16"/>
        <v>201.53887333414332</v>
      </c>
      <c r="DS28" s="59">
        <f t="shared" si="17"/>
        <v>478.69973935286419</v>
      </c>
      <c r="DT28" s="59">
        <f ca="1">AVERAGE(OFFSET($DS$3,0,0,'Données projet'!$E$14+1,1))-AVERAGE(OFFSET($H$3,0,0,'Données projet'!$E$14+1,1))</f>
        <v>343.44193069803498</v>
      </c>
      <c r="DU28" s="59">
        <f t="shared" si="44"/>
        <v>280.67367019483481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50.641025641025635</v>
      </c>
      <c r="EH28" s="12">
        <f>VLOOKUP(A28,'Données projet'!$A$191:$I$211,9,0)</f>
        <v>4.2307692307692308</v>
      </c>
      <c r="EI28" s="12">
        <f t="array" ref="EI28">INDEX(EH:EH,MIN(IF(ISNUMBER(EH28:EH224),ROW(EH28:EH224),"")))</f>
        <v>4.2307692307692308</v>
      </c>
      <c r="EJ28" s="12">
        <f>IF('Données projet'!$A$192&gt;35,EJ27+EI28-ER27,IF(A28&lt;'Données projet'!$A$192,$EG$205^A28,IF(A28='Données projet'!$A$192,'Données projet'!$B$192,EJ27+EI28-ER27)))</f>
        <v>50.641025641025649</v>
      </c>
      <c r="EK28" s="17">
        <f>EJ28*VLOOKUP('Données projet'!$B$15,Paramètres!$A$1:$I$89,3,0)*VLOOKUP('Données projet'!$B$15,Paramètres!$A$1:$I$89,5,0)</f>
        <v>51.350000000000009</v>
      </c>
      <c r="EL28" s="13">
        <f t="shared" si="45"/>
        <v>14.961860619599978</v>
      </c>
      <c r="EM28" s="20">
        <f t="shared" si="19"/>
        <v>115.49315724580329</v>
      </c>
      <c r="EN28" s="59">
        <f t="shared" si="20"/>
        <v>392.65402326452414</v>
      </c>
      <c r="EO28" s="59">
        <f ca="1">AVERAGE(OFFSET($EN$3,0,0,'Données projet'!$E$15+1,1))-AVERAGE(OFFSET($H$3,0,0,'Données projet'!$E$15+1,1))</f>
        <v>270.0029254736703</v>
      </c>
      <c r="EP28" s="59">
        <f t="shared" si="46"/>
        <v>183.80022202211441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9.615384615384615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0.34400000000000003</v>
      </c>
      <c r="EU28" s="16">
        <f>IF(ISNA(VLOOKUP(A28,'Données projet'!$A$191:$I$211,7,0)),0%,VLOOKUP(A28,'Données projet'!$A$191:$I$211,7,0))</f>
        <v>0.2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6.0508688917330868</v>
      </c>
      <c r="EX28" s="21">
        <f>EXP(-LN(2)/2)*EX27+(1-EXP(-LN(2)/2))/(LN(2)/2)*ER28*EU28*VLOOKUP('Données projet'!$B$15,Paramètres!$A$1:$I$89,3,0)*0.475*44/12</f>
        <v>2.0783922884194506</v>
      </c>
      <c r="EY28" s="22">
        <f t="shared" si="21"/>
        <v>8.1292611801525378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115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114.99999999999997</v>
      </c>
      <c r="FF28" s="17">
        <f>FE28*VLOOKUP('Données projet'!$B$16,Paramètres!$A$1:$I$89,3,0)*VLOOKUP('Données projet'!$B$16,Paramètres!$A$1:$I$89,5,0)</f>
        <v>100.46399999999998</v>
      </c>
      <c r="FG28" s="13">
        <f t="shared" si="47"/>
        <v>27.072509349827456</v>
      </c>
      <c r="FH28" s="20">
        <f t="shared" si="22"/>
        <v>222.12608711761615</v>
      </c>
      <c r="FI28" s="59">
        <f t="shared" si="23"/>
        <v>499.28695313633705</v>
      </c>
      <c r="FJ28" s="59">
        <f ca="1">AVERAGE(OFFSET($FI$3,0,0,'Données projet'!$E$16+1,1))-AVERAGE(OFFSET($H$3,0,0,'Données projet'!$E$16+1,1))</f>
        <v>328.93328163316073</v>
      </c>
      <c r="FK28" s="59">
        <f t="shared" si="48"/>
        <v>320.27831321887072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0.13250000000000001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8.124501647860189</v>
      </c>
      <c r="FS28" s="21">
        <f>EXP(-LN(2)/2)*FS27+(1-EXP(-LN(2)/2))/(LN(2)/2)*FM28*FP28*VLOOKUP('Données projet'!$B$16,Paramètres!$A$1:$I$89,3,0)*0.475*44/12</f>
        <v>6.8864253946528589</v>
      </c>
      <c r="FT28" s="22">
        <f t="shared" si="24"/>
        <v>15.010927042513048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50.641025641025635</v>
      </c>
      <c r="FX28" s="12">
        <f>VLOOKUP(A28,'Données projet'!$A$243:$I$263,9,0)</f>
        <v>4.2307692307692308</v>
      </c>
      <c r="FY28" s="12">
        <f t="array" ref="FY28">INDEX(FX:FX,MIN(IF(ISNUMBER(FX28:FX224),ROW(FX28:FX224),"")))</f>
        <v>4.2307692307692308</v>
      </c>
      <c r="FZ28" s="12">
        <f>IF('Données projet'!$A$244&gt;35,FZ27+FY28-GH27,IF(A28&lt;'Données projet'!$A$244,$FW$205^A28,IF(A28='Données projet'!$A$244,'Données projet'!$B$244,FZ27+FY28-GH27)))</f>
        <v>50.641025641025649</v>
      </c>
      <c r="GA28" s="17">
        <f>FZ28*VLOOKUP('Données projet'!$B$17,Paramètres!$A$1:$I$89,3,0)*VLOOKUP('Données projet'!$B$17,Paramètres!$A$1:$I$89,5,0)</f>
        <v>33.970000000000006</v>
      </c>
      <c r="GB28" s="13">
        <f t="shared" si="49"/>
        <v>10.38551626156204</v>
      </c>
      <c r="GC28" s="20">
        <f t="shared" si="25"/>
        <v>77.252524155553886</v>
      </c>
      <c r="GD28" s="59">
        <f t="shared" si="26"/>
        <v>354.41339017427475</v>
      </c>
      <c r="GE28" s="59">
        <f ca="1">AVERAGE(OFFSET($GD$3,0,0,'Données projet'!$E$17+1,1))-AVERAGE(OFFSET($H$3,0,0,'Données projet'!$E$17+1,1))</f>
        <v>192.88444860121191</v>
      </c>
      <c r="GF28" s="59">
        <f t="shared" si="50"/>
        <v>136.13737493732751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9.615384615384615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0.42400000000000004</v>
      </c>
      <c r="GK28" s="16">
        <f>IF(ISNA(VLOOKUP(A28,'Données projet'!$A$243:$I$263,7,0)),0%,VLOOKUP(A28,'Données projet'!$A$243:$I$263,7,0))</f>
        <v>0.2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4.9337854040285158</v>
      </c>
      <c r="GN28" s="21">
        <f>EXP(-LN(2)/2)*GN27+(1-EXP(-LN(2)/2))/(LN(2)/2)*GH28*GK28*VLOOKUP('Données projet'!$B$17,Paramètres!$A$1:$I$89,3,0)*0.475*44/12</f>
        <v>1.3749364369544053</v>
      </c>
      <c r="GO28" s="21">
        <f t="shared" si="27"/>
        <v>6.3087218409829209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67.255993762681456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0.85000000000000009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3.1166666666666671</v>
      </c>
      <c r="H29" s="67">
        <f t="shared" si="1"/>
        <v>244.19999999999996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491.73759463815907</v>
      </c>
      <c r="S29" s="59">
        <f ca="1">AVERAGE(OFFSET($R$3,0,0,'Données projet'!$E$9+1,1))-AVERAGE(OFFSET($H$3,0,0,'Données projet'!$E$9+1,1))</f>
        <v>643.492472896403</v>
      </c>
      <c r="T29" s="59">
        <f t="shared" si="34"/>
        <v>285.0259479655341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75.2</v>
      </c>
      <c r="AJ29" s="13">
        <f>AI29*VLOOKUP('Données projet'!$B$10,Paramètres!$A$1:$I$89,3,0)*VLOOKUP('Données projet'!$B$10,Paramètres!$A$1:$I$89,5,0)</f>
        <v>58.656000000000006</v>
      </c>
      <c r="AK29" s="13">
        <f t="shared" si="35"/>
        <v>16.828016909929076</v>
      </c>
      <c r="AL29" s="20">
        <f t="shared" si="4"/>
        <v>131.46799611812648</v>
      </c>
      <c r="AM29" s="59">
        <f t="shared" si="5"/>
        <v>410.02562639537769</v>
      </c>
      <c r="AN29" s="59">
        <f ca="1">AVERAGE(OFFSET($AM$3,0,0,'Données projet'!$E$10+1,1))-AVERAGE(OFFSET($H$3,0,0,'Données projet'!$E$10+1,1))</f>
        <v>289.89907502443873</v>
      </c>
      <c r="AO29" s="59">
        <f t="shared" si="36"/>
        <v>267.42183550360301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2.514511641950401</v>
      </c>
      <c r="AW29" s="21">
        <f>EXP(-LN(2)/2)*AW28+(1-EXP(-LN(2)/2))/(LN(2)/2)*AQ29*AT29*VLOOKUP('Données projet'!$B$10,Paramètres!$A$1:$I$89,3,0)*0.475*44/12</f>
        <v>3.6427715663402194</v>
      </c>
      <c r="AX29" s="21">
        <f t="shared" si="6"/>
        <v>6.1572832082906199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2.1794871794871802</v>
      </c>
      <c r="BD29" s="12">
        <f>IF('Données projet'!$A$88&gt;35,BD28+BC29-BL28,IF(A29&lt;'Données projet'!$A$88,$BA$205^A29,IF(A29='Données projet'!$A$88,'Données projet'!$B$88,BD28+BC29-BL28)))</f>
        <v>25.256410256410255</v>
      </c>
      <c r="BE29" s="13">
        <f>BD29*VLOOKUP('Données projet'!$B$11,Paramètres!$A$1:$I$89,3,0)*VLOOKUP('Données projet'!$B$11,Paramètres!$A$1:$I$89,5,0)</f>
        <v>24.428000000000001</v>
      </c>
      <c r="BF29" s="13">
        <f t="shared" si="37"/>
        <v>7.7605021454974521</v>
      </c>
      <c r="BG29" s="20">
        <f t="shared" si="7"/>
        <v>56.061641236741394</v>
      </c>
      <c r="BH29" s="59">
        <f t="shared" si="8"/>
        <v>334.61927151399266</v>
      </c>
      <c r="BI29" s="59">
        <f ca="1">AVERAGE(OFFSET($BH$3,0,0,'Données projet'!$E$11+1,1))-AVERAGE(OFFSET($H$3,0,0,'Données projet'!$E$11+1,1))</f>
        <v>177.54241137663234</v>
      </c>
      <c r="BJ29" s="59">
        <f t="shared" si="38"/>
        <v>114.71095021456071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2.0558205072649431</v>
      </c>
      <c r="BR29" s="21">
        <f>EXP(-LN(2)/2)*BR28+(1-EXP(-LN(2)/2))/(LN(2)/2)*BL29*BO29*VLOOKUP('Données projet'!$B$11,Paramètres!$A$1:$I$89,3,0)*0.475*44/12</f>
        <v>0.74456649597723157</v>
      </c>
      <c r="BS29" s="22">
        <f t="shared" si="9"/>
        <v>2.8003870032421747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2.1794871794871802</v>
      </c>
      <c r="BY29" s="12">
        <f>IF('Données projet'!$A$114&gt;35,BY28+BX29-CG28,IF(A29&lt;'Données projet'!$A$114,$BV$205^A29,IF(A29='Données projet'!$A$114,'Données projet'!$B$114,BY28+BX29-CG28)))</f>
        <v>25.256410256410255</v>
      </c>
      <c r="BZ29" s="13">
        <f>BY29*VLOOKUP('Données projet'!$B$12,Paramètres!$A$1:$I$89,3,0)*VLOOKUP('Données projet'!$B$12,Paramètres!$A$1:$I$89,5,0)</f>
        <v>27.185999999999996</v>
      </c>
      <c r="CA29" s="13">
        <f t="shared" si="39"/>
        <v>8.5298144310632118</v>
      </c>
      <c r="CB29" s="20">
        <f t="shared" si="10"/>
        <v>62.205043467435083</v>
      </c>
      <c r="CC29" s="59">
        <f t="shared" si="11"/>
        <v>340.76267374468631</v>
      </c>
      <c r="CD29" s="59">
        <f ca="1">AVERAGE(OFFSET($CC$3,0,0,'Données projet'!$E$12+1,1))-AVERAGE(OFFSET($H$3,0,0,'Données projet'!$E$12+1,1))</f>
        <v>192.88977161349993</v>
      </c>
      <c r="CE29" s="59">
        <f t="shared" si="40"/>
        <v>122.91376861456772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2.2879292742142114</v>
      </c>
      <c r="CM29" s="21">
        <f>EXP(-LN(2)/2)*CM28+(1-EXP(-LN(2)/2))/(LN(2)/2)*CG29*CJ29*VLOOKUP('Données projet'!$B$12,Paramètres!$A$1:$I$89,3,0)*0.475*44/12</f>
        <v>0.82863045520046741</v>
      </c>
      <c r="CN29" s="22">
        <f t="shared" si="12"/>
        <v>3.116559729414679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3.0769230769230744</v>
      </c>
      <c r="CT29" s="12">
        <f>IF('Données projet'!$A$140&gt;35,CT28+CS29-DB28,IF(A29&lt;'Données projet'!$A$140,$CQ$205^A29,IF(A29='Données projet'!$A$140,'Données projet'!$B$140,CT28+CS29-DB28)))</f>
        <v>41.538461538461533</v>
      </c>
      <c r="CU29" s="17">
        <f>CT29*VLOOKUP('Données projet'!$B$13,Paramètres!$A$1:$I$89,3,0)*VLOOKUP('Données projet'!$B$13,Paramètres!$A$1:$I$89,5,0)</f>
        <v>33.695999999999998</v>
      </c>
      <c r="CV29" s="13">
        <f t="shared" si="41"/>
        <v>10.311463159807191</v>
      </c>
      <c r="CW29" s="20">
        <f t="shared" si="13"/>
        <v>76.646331669997508</v>
      </c>
      <c r="CX29" s="59">
        <f t="shared" si="14"/>
        <v>355.20396194724873</v>
      </c>
      <c r="CY29" s="59">
        <f ca="1">AVERAGE(OFFSET($CX$3,0,0,'Données projet'!$E$13+1,1))-AVERAGE(OFFSET($H$3,0,0,'Données projet'!$E$13+1,1))</f>
        <v>163.16040389635825</v>
      </c>
      <c r="CZ29" s="59">
        <f t="shared" si="42"/>
        <v>138.57856782158811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0.94802806839129661</v>
      </c>
      <c r="DH29" s="21">
        <f>EXP(-LN(2)/2)*DH28+(1-EXP(-LN(2)/2))/(LN(2)/2)*DB29*DE29*VLOOKUP('Données projet'!$B$13,Paramètres!$A$1:$I$89,3,0)*0.475*44/12</f>
        <v>0.83185206199250827</v>
      </c>
      <c r="DI29" s="22">
        <f t="shared" si="15"/>
        <v>1.779880130383805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7.7715686274509812</v>
      </c>
      <c r="DO29" s="12">
        <f>IF('Données projet'!$A$166&gt;35,DO28+DN29-DW28,IF(A29&lt;'Données projet'!$A$166,$DL$205^A29,IF(A29='Données projet'!$A$166,'Données projet'!$B$166,DO28+DN29-DW28)))</f>
        <v>202.06078431372555</v>
      </c>
      <c r="DP29" s="17">
        <f>DO29*VLOOKUP('Données projet'!$B$14,Paramètres!$A$1:$I$89,3,0)*VLOOKUP('Données projet'!$B$14,Paramètres!$A$1:$I$89,5,0)</f>
        <v>94.564447058823546</v>
      </c>
      <c r="DQ29" s="13">
        <f t="shared" si="43"/>
        <v>25.662870135019691</v>
      </c>
      <c r="DR29" s="20">
        <f t="shared" si="16"/>
        <v>209.39591077927696</v>
      </c>
      <c r="DS29" s="59">
        <f t="shared" si="17"/>
        <v>487.95354105652819</v>
      </c>
      <c r="DT29" s="59">
        <f ca="1">AVERAGE(OFFSET($DS$3,0,0,'Données projet'!$E$14+1,1))-AVERAGE(OFFSET($H$3,0,0,'Données projet'!$E$14+1,1))</f>
        <v>343.44193069803498</v>
      </c>
      <c r="DU29" s="59">
        <f t="shared" si="44"/>
        <v>280.67367019483481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4.4871794871794872</v>
      </c>
      <c r="EJ29" s="12">
        <f>IF('Données projet'!$A$192&gt;35,EJ28+EI29-ER28,IF(A29&lt;'Données projet'!$A$192,$EG$205^A29,IF(A29='Données projet'!$A$192,'Données projet'!$B$192,EJ28+EI29-ER28)))</f>
        <v>45.512820512820525</v>
      </c>
      <c r="EK29" s="17">
        <f>EJ29*VLOOKUP('Données projet'!$B$15,Paramètres!$A$1:$I$89,3,0)*VLOOKUP('Données projet'!$B$15,Paramètres!$A$1:$I$89,5,0)</f>
        <v>46.15000000000002</v>
      </c>
      <c r="EL29" s="13">
        <f t="shared" si="45"/>
        <v>13.614891469395305</v>
      </c>
      <c r="EM29" s="20">
        <f t="shared" si="19"/>
        <v>104.09051930919685</v>
      </c>
      <c r="EN29" s="59">
        <f t="shared" si="20"/>
        <v>382.64814958644808</v>
      </c>
      <c r="EO29" s="59">
        <f ca="1">AVERAGE(OFFSET($EN$3,0,0,'Données projet'!$E$15+1,1))-AVERAGE(OFFSET($H$3,0,0,'Données projet'!$E$15+1,1))</f>
        <v>270.0029254736703</v>
      </c>
      <c r="EP29" s="59">
        <f t="shared" si="46"/>
        <v>183.80022202211441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5.8854075636872798</v>
      </c>
      <c r="EX29" s="21">
        <f>EXP(-LN(2)/2)*EX28+(1-EXP(-LN(2)/2))/(LN(2)/2)*ER29*EU29*VLOOKUP('Données projet'!$B$15,Paramètres!$A$1:$I$89,3,0)*0.475*44/12</f>
        <v>1.4696452811072203</v>
      </c>
      <c r="EY29" s="22">
        <f t="shared" si="21"/>
        <v>7.3550528447944998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98.799999999999969</v>
      </c>
      <c r="FF29" s="17">
        <f>FE29*VLOOKUP('Données projet'!$B$16,Paramètres!$A$1:$I$89,3,0)*VLOOKUP('Données projet'!$B$16,Paramètres!$A$1:$I$89,5,0)</f>
        <v>86.311679999999981</v>
      </c>
      <c r="FG29" s="13">
        <f t="shared" si="47"/>
        <v>23.673536308765939</v>
      </c>
      <c r="FH29" s="20">
        <f t="shared" si="22"/>
        <v>191.55758507110065</v>
      </c>
      <c r="FI29" s="59">
        <f t="shared" si="23"/>
        <v>470.11521534835185</v>
      </c>
      <c r="FJ29" s="59">
        <f ca="1">AVERAGE(OFFSET($FI$3,0,0,'Données projet'!$E$16+1,1))-AVERAGE(OFFSET($H$3,0,0,'Données projet'!$E$16+1,1))</f>
        <v>328.93328163316073</v>
      </c>
      <c r="FK29" s="59">
        <f t="shared" si="48"/>
        <v>320.27831321887072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7.9023367230504791</v>
      </c>
      <c r="FS29" s="21">
        <f>EXP(-LN(2)/2)*FS28+(1-EXP(-LN(2)/2))/(LN(2)/2)*FM29*FP29*VLOOKUP('Données projet'!$B$16,Paramètres!$A$1:$I$89,3,0)*0.475*44/12</f>
        <v>4.8694380946942832</v>
      </c>
      <c r="FT29" s="22">
        <f t="shared" si="24"/>
        <v>12.771774817744763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4.4871794871794872</v>
      </c>
      <c r="FZ29" s="12">
        <f>IF('Données projet'!$A$244&gt;35,FZ28+FY29-GH28,IF(A29&lt;'Données projet'!$A$244,$FW$205^A29,IF(A29='Données projet'!$A$244,'Données projet'!$B$244,FZ28+FY29-GH28)))</f>
        <v>45.512820512820525</v>
      </c>
      <c r="GA29" s="17">
        <f>FZ29*VLOOKUP('Données projet'!$B$17,Paramètres!$A$1:$I$89,3,0)*VLOOKUP('Données projet'!$B$17,Paramètres!$A$1:$I$89,5,0)</f>
        <v>30.530000000000008</v>
      </c>
      <c r="GB29" s="13">
        <f t="shared" si="49"/>
        <v>9.4505409687867896</v>
      </c>
      <c r="GC29" s="20">
        <f t="shared" si="25"/>
        <v>69.632775520636997</v>
      </c>
      <c r="GD29" s="59">
        <f t="shared" si="26"/>
        <v>348.19040579788822</v>
      </c>
      <c r="GE29" s="59">
        <f ca="1">AVERAGE(OFFSET($GD$3,0,0,'Données projet'!$E$17+1,1))-AVERAGE(OFFSET($H$3,0,0,'Données projet'!$E$17+1,1))</f>
        <v>192.88444860121191</v>
      </c>
      <c r="GF29" s="59">
        <f t="shared" si="50"/>
        <v>136.13737493732751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4.7988707826988577</v>
      </c>
      <c r="GN29" s="21">
        <f>EXP(-LN(2)/2)*GN28+(1-EXP(-LN(2)/2))/(LN(2)/2)*GH29*GK29*VLOOKUP('Données projet'!$B$17,Paramètres!$A$1:$I$89,3,0)*0.475*44/12</f>
        <v>0.97222687827093002</v>
      </c>
      <c r="GO29" s="21">
        <f t="shared" si="27"/>
        <v>5.7710976609697875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67.303596136220023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0.85000000000000009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3.1166666666666671</v>
      </c>
      <c r="H30" s="67">
        <f t="shared" si="1"/>
        <v>244.19999999999996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501.12377800143798</v>
      </c>
      <c r="S30" s="59">
        <f ca="1">AVERAGE(OFFSET($R$3,0,0,'Données projet'!$E$9+1,1))-AVERAGE(OFFSET($H$3,0,0,'Données projet'!$E$9+1,1))</f>
        <v>643.492472896403</v>
      </c>
      <c r="T30" s="59">
        <f t="shared" si="34"/>
        <v>285.0259479655341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89.4</v>
      </c>
      <c r="AJ30" s="13">
        <f>AI30*VLOOKUP('Données projet'!$B$10,Paramètres!$A$1:$I$89,3,0)*VLOOKUP('Données projet'!$B$10,Paramètres!$A$1:$I$89,5,0)</f>
        <v>69.732000000000014</v>
      </c>
      <c r="AK30" s="13">
        <f t="shared" si="35"/>
        <v>19.606888874982506</v>
      </c>
      <c r="AL30" s="20">
        <f t="shared" si="4"/>
        <v>155.59856479059454</v>
      </c>
      <c r="AM30" s="59">
        <f t="shared" si="5"/>
        <v>435.54993141226367</v>
      </c>
      <c r="AN30" s="59">
        <f ca="1">AVERAGE(OFFSET($AM$3,0,0,'Données projet'!$E$10+1,1))-AVERAGE(OFFSET($H$3,0,0,'Données projet'!$E$10+1,1))</f>
        <v>289.89907502443873</v>
      </c>
      <c r="AO30" s="59">
        <f t="shared" si="36"/>
        <v>267.42183550360301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2.4457521888688469</v>
      </c>
      <c r="AW30" s="21">
        <f>EXP(-LN(2)/2)*AW29+(1-EXP(-LN(2)/2))/(LN(2)/2)*AQ30*AT30*VLOOKUP('Données projet'!$B$10,Paramètres!$A$1:$I$89,3,0)*0.475*44/12</f>
        <v>2.5758284768727107</v>
      </c>
      <c r="AX30" s="21">
        <f t="shared" si="6"/>
        <v>5.021580665741558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2.1794871794871802</v>
      </c>
      <c r="BD30" s="12">
        <f>IF('Données projet'!$A$88&gt;35,BD29+BC30-BL29,IF(A30&lt;'Données projet'!$A$88,$BA$205^A30,IF(A30='Données projet'!$A$88,'Données projet'!$B$88,BD29+BC30-BL29)))</f>
        <v>27.435897435897434</v>
      </c>
      <c r="BE30" s="13">
        <f>BD30*VLOOKUP('Données projet'!$B$11,Paramètres!$A$1:$I$89,3,0)*VLOOKUP('Données projet'!$B$11,Paramètres!$A$1:$I$89,5,0)</f>
        <v>26.536000000000001</v>
      </c>
      <c r="BF30" s="13">
        <f t="shared" si="37"/>
        <v>8.3493578668609789</v>
      </c>
      <c r="BG30" s="20">
        <f t="shared" si="7"/>
        <v>60.758664951449532</v>
      </c>
      <c r="BH30" s="59">
        <f t="shared" si="8"/>
        <v>340.71003157311867</v>
      </c>
      <c r="BI30" s="59">
        <f ca="1">AVERAGE(OFFSET($BH$3,0,0,'Données projet'!$E$11+1,1))-AVERAGE(OFFSET($H$3,0,0,'Données projet'!$E$11+1,1))</f>
        <v>177.54241137663234</v>
      </c>
      <c r="BJ30" s="59">
        <f t="shared" si="38"/>
        <v>114.71095021456071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1.9996039873828815</v>
      </c>
      <c r="BR30" s="21">
        <f>EXP(-LN(2)/2)*BR29+(1-EXP(-LN(2)/2))/(LN(2)/2)*BL30*BO30*VLOOKUP('Données projet'!$B$11,Paramètres!$A$1:$I$89,3,0)*0.475*44/12</f>
        <v>0.52648801834980674</v>
      </c>
      <c r="BS30" s="22">
        <f t="shared" si="9"/>
        <v>2.5260920057326883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2.1794871794871802</v>
      </c>
      <c r="BY30" s="12">
        <f>IF('Données projet'!$A$114&gt;35,BY29+BX30-CG29,IF(A30&lt;'Données projet'!$A$114,$BV$205^A30,IF(A30='Données projet'!$A$114,'Données projet'!$B$114,BY29+BX30-CG29)))</f>
        <v>27.435897435897434</v>
      </c>
      <c r="BZ30" s="13">
        <f>BY30*VLOOKUP('Données projet'!$B$12,Paramètres!$A$1:$I$89,3,0)*VLOOKUP('Données projet'!$B$12,Paramètres!$A$1:$I$89,5,0)</f>
        <v>29.532</v>
      </c>
      <c r="CA30" s="13">
        <f t="shared" si="39"/>
        <v>9.1770444602198857</v>
      </c>
      <c r="CB30" s="20">
        <f t="shared" si="10"/>
        <v>67.418252434882959</v>
      </c>
      <c r="CC30" s="59">
        <f t="shared" si="11"/>
        <v>347.3696190565521</v>
      </c>
      <c r="CD30" s="59">
        <f ca="1">AVERAGE(OFFSET($CC$3,0,0,'Données projet'!$E$12+1,1))-AVERAGE(OFFSET($H$3,0,0,'Données projet'!$E$12+1,1))</f>
        <v>192.88977161349993</v>
      </c>
      <c r="CE30" s="59">
        <f t="shared" si="40"/>
        <v>122.91376861456772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2.2253657278938523</v>
      </c>
      <c r="CM30" s="21">
        <f>EXP(-LN(2)/2)*CM29+(1-EXP(-LN(2)/2))/(LN(2)/2)*CG30*CJ30*VLOOKUP('Données projet'!$B$12,Paramètres!$A$1:$I$89,3,0)*0.475*44/12</f>
        <v>0.58593021396994627</v>
      </c>
      <c r="CN30" s="22">
        <f t="shared" si="12"/>
        <v>2.8112959418637988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3.0769230769230744</v>
      </c>
      <c r="CT30" s="12">
        <f>IF('Données projet'!$A$140&gt;35,CT29+CS30-DB29,IF(A30&lt;'Données projet'!$A$140,$CQ$205^A30,IF(A30='Données projet'!$A$140,'Données projet'!$B$140,CT29+CS30-DB29)))</f>
        <v>44.615384615384606</v>
      </c>
      <c r="CU30" s="17">
        <f>CT30*VLOOKUP('Données projet'!$B$13,Paramètres!$A$1:$I$89,3,0)*VLOOKUP('Données projet'!$B$13,Paramètres!$A$1:$I$89,5,0)</f>
        <v>36.191999999999993</v>
      </c>
      <c r="CV30" s="13">
        <f t="shared" si="41"/>
        <v>10.983535130004645</v>
      </c>
      <c r="CW30" s="20">
        <f t="shared" si="13"/>
        <v>82.164057018091412</v>
      </c>
      <c r="CX30" s="59">
        <f t="shared" si="14"/>
        <v>362.11542363976054</v>
      </c>
      <c r="CY30" s="59">
        <f ca="1">AVERAGE(OFFSET($CX$3,0,0,'Données projet'!$E$13+1,1))-AVERAGE(OFFSET($H$3,0,0,'Données projet'!$E$13+1,1))</f>
        <v>163.16040389635825</v>
      </c>
      <c r="CZ30" s="59">
        <f t="shared" si="42"/>
        <v>138.57856782158811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0.9221041910065072</v>
      </c>
      <c r="DH30" s="21">
        <f>EXP(-LN(2)/2)*DH29+(1-EXP(-LN(2)/2))/(LN(2)/2)*DB30*DE30*VLOOKUP('Données projet'!$B$13,Paramètres!$A$1:$I$89,3,0)*0.475*44/12</f>
        <v>0.58820823397891497</v>
      </c>
      <c r="DI30" s="22">
        <f t="shared" si="15"/>
        <v>1.5103124249854223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7.7715686274509812</v>
      </c>
      <c r="DO30" s="12">
        <f>IF('Données projet'!$A$166&gt;35,DO29+DN30-DW29,IF(A30&lt;'Données projet'!$A$166,$DL$205^A30,IF(A30='Données projet'!$A$166,'Données projet'!$B$166,DO29+DN30-DW29)))</f>
        <v>209.83235294117654</v>
      </c>
      <c r="DP30" s="17">
        <f>DO30*VLOOKUP('Données projet'!$B$14,Paramètres!$A$1:$I$89,3,0)*VLOOKUP('Données projet'!$B$14,Paramètres!$A$1:$I$89,5,0)</f>
        <v>98.201541176470613</v>
      </c>
      <c r="DQ30" s="13">
        <f t="shared" si="43"/>
        <v>26.533088035148577</v>
      </c>
      <c r="DR30" s="20">
        <f t="shared" si="16"/>
        <v>217.2461458769034</v>
      </c>
      <c r="DS30" s="59">
        <f t="shared" si="17"/>
        <v>497.19751249857256</v>
      </c>
      <c r="DT30" s="59">
        <f ca="1">AVERAGE(OFFSET($DS$3,0,0,'Données projet'!$E$14+1,1))-AVERAGE(OFFSET($H$3,0,0,'Données projet'!$E$14+1,1))</f>
        <v>343.44193069803498</v>
      </c>
      <c r="DU30" s="59">
        <f t="shared" si="44"/>
        <v>280.67367019483481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4.4871794871794872</v>
      </c>
      <c r="EJ30" s="12">
        <f>IF('Données projet'!$A$192&gt;35,EJ29+EI30-ER29,IF(A30&lt;'Données projet'!$A$192,$EG$205^A30,IF(A30='Données projet'!$A$192,'Données projet'!$B$192,EJ29+EI30-ER29)))</f>
        <v>50.000000000000014</v>
      </c>
      <c r="EK30" s="17">
        <f>EJ30*VLOOKUP('Données projet'!$B$15,Paramètres!$A$1:$I$89,3,0)*VLOOKUP('Données projet'!$B$15,Paramètres!$A$1:$I$89,5,0)</f>
        <v>50.70000000000001</v>
      </c>
      <c r="EL30" s="13">
        <f t="shared" si="45"/>
        <v>14.79439117980476</v>
      </c>
      <c r="EM30" s="20">
        <f t="shared" si="19"/>
        <v>114.06939797149329</v>
      </c>
      <c r="EN30" s="59">
        <f t="shared" si="20"/>
        <v>394.02076459316243</v>
      </c>
      <c r="EO30" s="59">
        <f ca="1">AVERAGE(OFFSET($EN$3,0,0,'Données projet'!$E$15+1,1))-AVERAGE(OFFSET($H$3,0,0,'Données projet'!$E$15+1,1))</f>
        <v>270.0029254736703</v>
      </c>
      <c r="EP30" s="59">
        <f t="shared" si="46"/>
        <v>183.80022202211441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5.7244707843581191</v>
      </c>
      <c r="EX30" s="21">
        <f>EXP(-LN(2)/2)*EX29+(1-EXP(-LN(2)/2))/(LN(2)/2)*ER30*EU30*VLOOKUP('Données projet'!$B$15,Paramètres!$A$1:$I$89,3,0)*0.475*44/12</f>
        <v>1.0391961442097255</v>
      </c>
      <c r="EY30" s="22">
        <f t="shared" si="21"/>
        <v>6.7636669285678446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110.59999999999997</v>
      </c>
      <c r="FF30" s="17">
        <f>FE30*VLOOKUP('Données projet'!$B$16,Paramètres!$A$1:$I$89,3,0)*VLOOKUP('Données projet'!$B$16,Paramètres!$A$1:$I$89,5,0)</f>
        <v>96.620159999999984</v>
      </c>
      <c r="FG30" s="13">
        <f t="shared" si="47"/>
        <v>26.155193107181663</v>
      </c>
      <c r="FH30" s="20">
        <f t="shared" si="22"/>
        <v>213.83373999500802</v>
      </c>
      <c r="FI30" s="59">
        <f t="shared" si="23"/>
        <v>493.78510661667713</v>
      </c>
      <c r="FJ30" s="59">
        <f ca="1">AVERAGE(OFFSET($FI$3,0,0,'Données projet'!$E$16+1,1))-AVERAGE(OFFSET($H$3,0,0,'Données projet'!$E$16+1,1))</f>
        <v>328.93328163316073</v>
      </c>
      <c r="FK30" s="59">
        <f t="shared" si="48"/>
        <v>320.27831321887072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7.6862469097928363</v>
      </c>
      <c r="FS30" s="21">
        <f>EXP(-LN(2)/2)*FS29+(1-EXP(-LN(2)/2))/(LN(2)/2)*FM30*FP30*VLOOKUP('Données projet'!$B$16,Paramètres!$A$1:$I$89,3,0)*0.475*44/12</f>
        <v>3.4432126973264299</v>
      </c>
      <c r="FT30" s="22">
        <f t="shared" si="24"/>
        <v>11.129459607119266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4.4871794871794872</v>
      </c>
      <c r="FZ30" s="12">
        <f>IF('Données projet'!$A$244&gt;35,FZ29+FY30-GH29,IF(A30&lt;'Données projet'!$A$244,$FW$205^A30,IF(A30='Données projet'!$A$244,'Données projet'!$B$244,FZ29+FY30-GH29)))</f>
        <v>50.000000000000014</v>
      </c>
      <c r="GA30" s="17">
        <f>FZ30*VLOOKUP('Données projet'!$B$17,Paramètres!$A$1:$I$89,3,0)*VLOOKUP('Données projet'!$B$17,Paramètres!$A$1:$I$89,5,0)</f>
        <v>33.540000000000013</v>
      </c>
      <c r="GB30" s="13">
        <f t="shared" si="49"/>
        <v>10.269270252156671</v>
      </c>
      <c r="GC30" s="20">
        <f t="shared" si="25"/>
        <v>76.301145689172898</v>
      </c>
      <c r="GD30" s="59">
        <f t="shared" si="26"/>
        <v>356.25251231084201</v>
      </c>
      <c r="GE30" s="59">
        <f ca="1">AVERAGE(OFFSET($GD$3,0,0,'Données projet'!$E$17+1,1))-AVERAGE(OFFSET($H$3,0,0,'Données projet'!$E$17+1,1))</f>
        <v>192.88444860121191</v>
      </c>
      <c r="GF30" s="59">
        <f t="shared" si="50"/>
        <v>136.13737493732751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4.6676454087843107</v>
      </c>
      <c r="GN30" s="21">
        <f>EXP(-LN(2)/2)*GN29+(1-EXP(-LN(2)/2))/(LN(2)/2)*GH30*GK30*VLOOKUP('Données projet'!$B$17,Paramètres!$A$1:$I$89,3,0)*0.475*44/12</f>
        <v>0.68746821847720274</v>
      </c>
      <c r="GO30" s="21">
        <f t="shared" si="27"/>
        <v>5.3551136272615132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67.350372715000674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0.85000000000000009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3.1166666666666671</v>
      </c>
      <c r="H31" s="67">
        <f t="shared" si="1"/>
        <v>244.19999999999996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510.50035772452179</v>
      </c>
      <c r="S31" s="59">
        <f ca="1">AVERAGE(OFFSET($R$3,0,0,'Données projet'!$E$9+1,1))-AVERAGE(OFFSET($H$3,0,0,'Données projet'!$E$9+1,1))</f>
        <v>643.492472896403</v>
      </c>
      <c r="T31" s="59">
        <f t="shared" si="34"/>
        <v>285.0259479655341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103.60000000000001</v>
      </c>
      <c r="AJ31" s="13">
        <f>AI31*VLOOKUP('Données projet'!$B$10,Paramètres!$A$1:$I$89,3,0)*VLOOKUP('Données projet'!$B$10,Paramètres!$A$1:$I$89,5,0)</f>
        <v>80.808000000000007</v>
      </c>
      <c r="AK31" s="13">
        <f t="shared" si="35"/>
        <v>22.334628633536209</v>
      </c>
      <c r="AL31" s="20">
        <f t="shared" si="4"/>
        <v>179.64007820340893</v>
      </c>
      <c r="AM31" s="59">
        <f t="shared" si="5"/>
        <v>460.98220578292398</v>
      </c>
      <c r="AN31" s="59">
        <f ca="1">AVERAGE(OFFSET($AM$3,0,0,'Données projet'!$E$10+1,1))-AVERAGE(OFFSET($H$3,0,0,'Données projet'!$E$10+1,1))</f>
        <v>289.89907502443873</v>
      </c>
      <c r="AO31" s="59">
        <f t="shared" si="36"/>
        <v>267.42183550360301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2.3788729666477106</v>
      </c>
      <c r="AW31" s="21">
        <f>EXP(-LN(2)/2)*AW30+(1-EXP(-LN(2)/2))/(LN(2)/2)*AQ31*AT31*VLOOKUP('Données projet'!$B$10,Paramètres!$A$1:$I$89,3,0)*0.475*44/12</f>
        <v>1.8213857831701099</v>
      </c>
      <c r="AX31" s="21">
        <f t="shared" si="6"/>
        <v>4.2002587498178201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2.1794871794871802</v>
      </c>
      <c r="BD31" s="12">
        <f>IF('Données projet'!$A$88&gt;35,BD30+BC31-BL30,IF(A31&lt;'Données projet'!$A$88,$BA$205^A31,IF(A31='Données projet'!$A$88,'Données projet'!$B$88,BD30+BC31-BL30)))</f>
        <v>29.615384615384613</v>
      </c>
      <c r="BE31" s="13">
        <f>BD31*VLOOKUP('Données projet'!$B$11,Paramètres!$A$1:$I$89,3,0)*VLOOKUP('Données projet'!$B$11,Paramètres!$A$1:$I$89,5,0)</f>
        <v>28.643999999999995</v>
      </c>
      <c r="BF31" s="13">
        <f t="shared" si="37"/>
        <v>8.9327876754519622</v>
      </c>
      <c r="BG31" s="20">
        <f t="shared" si="7"/>
        <v>65.446238534745476</v>
      </c>
      <c r="BH31" s="59">
        <f t="shared" si="8"/>
        <v>346.7883661142605</v>
      </c>
      <c r="BI31" s="59">
        <f ca="1">AVERAGE(OFFSET($BH$3,0,0,'Données projet'!$E$11+1,1))-AVERAGE(OFFSET($H$3,0,0,'Données projet'!$E$11+1,1))</f>
        <v>177.54241137663234</v>
      </c>
      <c r="BJ31" s="59">
        <f t="shared" si="38"/>
        <v>114.71095021456071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1.944924711193293</v>
      </c>
      <c r="BR31" s="21">
        <f>EXP(-LN(2)/2)*BR30+(1-EXP(-LN(2)/2))/(LN(2)/2)*BL31*BO31*VLOOKUP('Données projet'!$B$11,Paramètres!$A$1:$I$89,3,0)*0.475*44/12</f>
        <v>0.37228324798861584</v>
      </c>
      <c r="BS31" s="22">
        <f t="shared" si="9"/>
        <v>2.3172079591819088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2.1794871794871802</v>
      </c>
      <c r="BY31" s="12">
        <f>IF('Données projet'!$A$114&gt;35,BY30+BX31-CG30,IF(A31&lt;'Données projet'!$A$114,$BV$205^A31,IF(A31='Données projet'!$A$114,'Données projet'!$B$114,BY30+BX31-CG30)))</f>
        <v>29.615384615384613</v>
      </c>
      <c r="BZ31" s="13">
        <f>BY31*VLOOKUP('Données projet'!$B$12,Paramètres!$A$1:$I$89,3,0)*VLOOKUP('Données projet'!$B$12,Paramètres!$A$1:$I$89,5,0)</f>
        <v>31.877999999999993</v>
      </c>
      <c r="CA31" s="13">
        <f t="shared" si="39"/>
        <v>9.8183106962867353</v>
      </c>
      <c r="CB31" s="20">
        <f t="shared" si="10"/>
        <v>72.621074462699383</v>
      </c>
      <c r="CC31" s="59">
        <f t="shared" si="11"/>
        <v>353.96320204221439</v>
      </c>
      <c r="CD31" s="59">
        <f ca="1">AVERAGE(OFFSET($CC$3,0,0,'Données projet'!$E$12+1,1))-AVERAGE(OFFSET($H$3,0,0,'Données projet'!$E$12+1,1))</f>
        <v>192.88977161349993</v>
      </c>
      <c r="CE31" s="59">
        <f t="shared" si="40"/>
        <v>122.91376861456772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2.1645129850376974</v>
      </c>
      <c r="CM31" s="21">
        <f>EXP(-LN(2)/2)*CM30+(1-EXP(-LN(2)/2))/(LN(2)/2)*CG31*CJ31*VLOOKUP('Données projet'!$B$12,Paramètres!$A$1:$I$89,3,0)*0.475*44/12</f>
        <v>0.41431522760023382</v>
      </c>
      <c r="CN31" s="22">
        <f t="shared" si="12"/>
        <v>2.5788282126379314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3.0769230769230744</v>
      </c>
      <c r="CT31" s="12">
        <f>IF('Données projet'!$A$140&gt;35,CT30+CS31-DB30,IF(A31&lt;'Données projet'!$A$140,$CQ$205^A31,IF(A31='Données projet'!$A$140,'Données projet'!$B$140,CT30+CS31-DB30)))</f>
        <v>47.692307692307679</v>
      </c>
      <c r="CU31" s="17">
        <f>CT31*VLOOKUP('Données projet'!$B$13,Paramètres!$A$1:$I$89,3,0)*VLOOKUP('Données projet'!$B$13,Paramètres!$A$1:$I$89,5,0)</f>
        <v>38.687999999999988</v>
      </c>
      <c r="CV31" s="13">
        <f t="shared" si="41"/>
        <v>11.650229083154349</v>
      </c>
      <c r="CW31" s="20">
        <f t="shared" si="13"/>
        <v>87.672415653160456</v>
      </c>
      <c r="CX31" s="59">
        <f t="shared" si="14"/>
        <v>369.01454323267546</v>
      </c>
      <c r="CY31" s="59">
        <f ca="1">AVERAGE(OFFSET($CX$3,0,0,'Données projet'!$E$13+1,1))-AVERAGE(OFFSET($H$3,0,0,'Données projet'!$E$13+1,1))</f>
        <v>163.16040389635825</v>
      </c>
      <c r="CZ31" s="59">
        <f t="shared" si="42"/>
        <v>138.57856782158811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0.89688920341208234</v>
      </c>
      <c r="DH31" s="21">
        <f>EXP(-LN(2)/2)*DH30+(1-EXP(-LN(2)/2))/(LN(2)/2)*DB31*DE31*VLOOKUP('Données projet'!$B$13,Paramètres!$A$1:$I$89,3,0)*0.475*44/12</f>
        <v>0.41592603099625419</v>
      </c>
      <c r="DI31" s="22">
        <f t="shared" si="15"/>
        <v>1.3128152344083366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7.7715686274509812</v>
      </c>
      <c r="DO31" s="12">
        <f>IF('Données projet'!$A$166&gt;35,DO30+DN31-DW30,IF(A31&lt;'Données projet'!$A$166,$DL$205^A31,IF(A31='Données projet'!$A$166,'Données projet'!$B$166,DO30+DN31-DW30)))</f>
        <v>217.60392156862753</v>
      </c>
      <c r="DP31" s="17">
        <f>DO31*VLOOKUP('Données projet'!$B$14,Paramètres!$A$1:$I$89,3,0)*VLOOKUP('Données projet'!$B$14,Paramètres!$A$1:$I$89,5,0)</f>
        <v>101.83863529411768</v>
      </c>
      <c r="DQ31" s="13">
        <f t="shared" si="43"/>
        <v>27.39956150016679</v>
      </c>
      <c r="DR31" s="20">
        <f t="shared" si="16"/>
        <v>225.08985941671213</v>
      </c>
      <c r="DS31" s="59">
        <f t="shared" si="17"/>
        <v>506.43198699622712</v>
      </c>
      <c r="DT31" s="59">
        <f ca="1">AVERAGE(OFFSET($DS$3,0,0,'Données projet'!$E$14+1,1))-AVERAGE(OFFSET($H$3,0,0,'Données projet'!$E$14+1,1))</f>
        <v>343.44193069803498</v>
      </c>
      <c r="DU31" s="59">
        <f t="shared" si="44"/>
        <v>280.67367019483481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4.4871794871794872</v>
      </c>
      <c r="EJ31" s="12">
        <f>IF('Données projet'!$A$192&gt;35,EJ30+EI31-ER30,IF(A31&lt;'Données projet'!$A$192,$EG$205^A31,IF(A31='Données projet'!$A$192,'Données projet'!$B$192,EJ30+EI31-ER30)))</f>
        <v>54.487179487179503</v>
      </c>
      <c r="EK31" s="17">
        <f>EJ31*VLOOKUP('Données projet'!$B$15,Paramètres!$A$1:$I$89,3,0)*VLOOKUP('Données projet'!$B$15,Paramètres!$A$1:$I$89,5,0)</f>
        <v>55.250000000000021</v>
      </c>
      <c r="EL31" s="13">
        <f t="shared" si="45"/>
        <v>15.961616407768362</v>
      </c>
      <c r="EM31" s="20">
        <f t="shared" si="19"/>
        <v>124.02689857686327</v>
      </c>
      <c r="EN31" s="59">
        <f t="shared" si="20"/>
        <v>405.36902615637831</v>
      </c>
      <c r="EO31" s="59">
        <f ca="1">AVERAGE(OFFSET($EN$3,0,0,'Données projet'!$E$15+1,1))-AVERAGE(OFFSET($H$3,0,0,'Données projet'!$E$15+1,1))</f>
        <v>270.0029254736703</v>
      </c>
      <c r="EP31" s="59">
        <f t="shared" si="46"/>
        <v>183.80022202211441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5.5679348297230113</v>
      </c>
      <c r="EX31" s="21">
        <f>EXP(-LN(2)/2)*EX30+(1-EXP(-LN(2)/2))/(LN(2)/2)*ER31*EU31*VLOOKUP('Données projet'!$B$15,Paramètres!$A$1:$I$89,3,0)*0.475*44/12</f>
        <v>0.73482264055361035</v>
      </c>
      <c r="EY31" s="22">
        <f t="shared" si="21"/>
        <v>6.3027574702766218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122.39999999999996</v>
      </c>
      <c r="FF31" s="17">
        <f>FE31*VLOOKUP('Données projet'!$B$16,Paramètres!$A$1:$I$89,3,0)*VLOOKUP('Données projet'!$B$16,Paramètres!$A$1:$I$89,5,0)</f>
        <v>106.92863999999997</v>
      </c>
      <c r="FG31" s="13">
        <f t="shared" si="47"/>
        <v>28.606159868782917</v>
      </c>
      <c r="FH31" s="20">
        <f t="shared" si="22"/>
        <v>236.05644310479684</v>
      </c>
      <c r="FI31" s="59">
        <f t="shared" si="23"/>
        <v>517.39857068431184</v>
      </c>
      <c r="FJ31" s="59">
        <f ca="1">AVERAGE(OFFSET($FI$3,0,0,'Données projet'!$E$16+1,1))-AVERAGE(OFFSET($H$3,0,0,'Données projet'!$E$16+1,1))</f>
        <v>328.93328163316073</v>
      </c>
      <c r="FK31" s="59">
        <f t="shared" si="48"/>
        <v>320.27831321887072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7.4760660838423938</v>
      </c>
      <c r="FS31" s="21">
        <f>EXP(-LN(2)/2)*FS30+(1-EXP(-LN(2)/2))/(LN(2)/2)*FM31*FP31*VLOOKUP('Données projet'!$B$16,Paramètres!$A$1:$I$89,3,0)*0.475*44/12</f>
        <v>2.4347190473471421</v>
      </c>
      <c r="FT31" s="22">
        <f t="shared" si="24"/>
        <v>9.9107851311895363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4.4871794871794872</v>
      </c>
      <c r="FZ31" s="12">
        <f>IF('Données projet'!$A$244&gt;35,FZ30+FY31-GH30,IF(A31&lt;'Données projet'!$A$244,$FW$205^A31,IF(A31='Données projet'!$A$244,'Données projet'!$B$244,FZ30+FY31-GH30)))</f>
        <v>54.487179487179503</v>
      </c>
      <c r="GA31" s="17">
        <f>FZ31*VLOOKUP('Données projet'!$B$17,Paramètres!$A$1:$I$89,3,0)*VLOOKUP('Données projet'!$B$17,Paramètres!$A$1:$I$89,5,0)</f>
        <v>36.550000000000011</v>
      </c>
      <c r="GB31" s="13">
        <f t="shared" si="49"/>
        <v>11.079479416252299</v>
      </c>
      <c r="GC31" s="20">
        <f t="shared" si="25"/>
        <v>82.954676649972768</v>
      </c>
      <c r="GD31" s="59">
        <f t="shared" si="26"/>
        <v>364.2968042294878</v>
      </c>
      <c r="GE31" s="59">
        <f ca="1">AVERAGE(OFFSET($GD$3,0,0,'Données projet'!$E$17+1,1))-AVERAGE(OFFSET($H$3,0,0,'Données projet'!$E$17+1,1))</f>
        <v>192.88444860121191</v>
      </c>
      <c r="GF31" s="59">
        <f t="shared" si="50"/>
        <v>136.13737493732751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4.5400083996202998</v>
      </c>
      <c r="GN31" s="21">
        <f>EXP(-LN(2)/2)*GN30+(1-EXP(-LN(2)/2))/(LN(2)/2)*GH31*GK31*VLOOKUP('Données projet'!$B$17,Paramètres!$A$1:$I$89,3,0)*0.475*44/12</f>
        <v>0.48611343913546506</v>
      </c>
      <c r="GO31" s="21">
        <f t="shared" si="27"/>
        <v>5.0261218387557651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67.396337824716227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0.85000000000000009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3.1166666666666671</v>
      </c>
      <c r="H32" s="67">
        <f t="shared" si="1"/>
        <v>244.19999999999996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519.86764926715546</v>
      </c>
      <c r="S32" s="59">
        <f ca="1">AVERAGE(OFFSET($R$3,0,0,'Données projet'!$E$9+1,1))-AVERAGE(OFFSET($H$3,0,0,'Données projet'!$E$9+1,1))</f>
        <v>643.492472896403</v>
      </c>
      <c r="T32" s="59">
        <f t="shared" si="34"/>
        <v>285.0259479655341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117.80000000000001</v>
      </c>
      <c r="AJ32" s="13">
        <f>AI32*VLOOKUP('Données projet'!$B$10,Paramètres!$A$1:$I$89,3,0)*VLOOKUP('Données projet'!$B$10,Paramètres!$A$1:$I$89,5,0)</f>
        <v>91.884000000000015</v>
      </c>
      <c r="AK32" s="13">
        <f t="shared" si="35"/>
        <v>25.019051117801563</v>
      </c>
      <c r="AL32" s="20">
        <f t="shared" si="4"/>
        <v>203.60614736350442</v>
      </c>
      <c r="AM32" s="59">
        <f t="shared" si="5"/>
        <v>486.33611213059851</v>
      </c>
      <c r="AN32" s="59">
        <f ca="1">AVERAGE(OFFSET($AM$3,0,0,'Données projet'!$E$10+1,1))-AVERAGE(OFFSET($H$3,0,0,'Données projet'!$E$10+1,1))</f>
        <v>289.89907502443873</v>
      </c>
      <c r="AO32" s="59">
        <f t="shared" si="36"/>
        <v>267.42183550360301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2.3138225602752365</v>
      </c>
      <c r="AW32" s="21">
        <f>EXP(-LN(2)/2)*AW31+(1-EXP(-LN(2)/2))/(LN(2)/2)*AQ32*AT32*VLOOKUP('Données projet'!$B$10,Paramètres!$A$1:$I$89,3,0)*0.475*44/12</f>
        <v>1.2879142384363556</v>
      </c>
      <c r="AX32" s="21">
        <f t="shared" si="6"/>
        <v>3.6017367987115918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2.1794871794871802</v>
      </c>
      <c r="BD32" s="12">
        <f>IF('Données projet'!$A$88&gt;35,BD31+BC32-BL31,IF(A32&lt;'Données projet'!$A$88,$BA$205^A32,IF(A32='Données projet'!$A$88,'Données projet'!$B$88,BD31+BC32-BL31)))</f>
        <v>31.794871794871792</v>
      </c>
      <c r="BE32" s="13">
        <f>BD32*VLOOKUP('Données projet'!$B$11,Paramètres!$A$1:$I$89,3,0)*VLOOKUP('Données projet'!$B$11,Paramètres!$A$1:$I$89,5,0)</f>
        <v>30.751999999999995</v>
      </c>
      <c r="BF32" s="13">
        <f t="shared" si="37"/>
        <v>9.5112362891889681</v>
      </c>
      <c r="BG32" s="20">
        <f t="shared" si="7"/>
        <v>70.12513653700411</v>
      </c>
      <c r="BH32" s="59">
        <f t="shared" si="8"/>
        <v>352.85510130409818</v>
      </c>
      <c r="BI32" s="59">
        <f ca="1">AVERAGE(OFFSET($BH$3,0,0,'Données projet'!$E$11+1,1))-AVERAGE(OFFSET($H$3,0,0,'Données projet'!$E$11+1,1))</f>
        <v>177.54241137663234</v>
      </c>
      <c r="BJ32" s="59">
        <f t="shared" si="38"/>
        <v>114.71095021456071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1.8917406426865671</v>
      </c>
      <c r="BR32" s="21">
        <f>EXP(-LN(2)/2)*BR31+(1-EXP(-LN(2)/2))/(LN(2)/2)*BL32*BO32*VLOOKUP('Données projet'!$B$11,Paramètres!$A$1:$I$89,3,0)*0.475*44/12</f>
        <v>0.26324400917490343</v>
      </c>
      <c r="BS32" s="22">
        <f t="shared" si="9"/>
        <v>2.1549846518614704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2.1794871794871802</v>
      </c>
      <c r="BY32" s="12">
        <f>IF('Données projet'!$A$114&gt;35,BY31+BX32-CG31,IF(A32&lt;'Données projet'!$A$114,$BV$205^A32,IF(A32='Données projet'!$A$114,'Données projet'!$B$114,BY31+BX32-CG31)))</f>
        <v>31.794871794871792</v>
      </c>
      <c r="BZ32" s="13">
        <f>BY32*VLOOKUP('Données projet'!$B$12,Paramètres!$A$1:$I$89,3,0)*VLOOKUP('Données projet'!$B$12,Paramètres!$A$1:$I$89,5,0)</f>
        <v>34.223999999999997</v>
      </c>
      <c r="CA32" s="13">
        <f t="shared" si="39"/>
        <v>10.454101942855115</v>
      </c>
      <c r="CB32" s="20">
        <f t="shared" si="10"/>
        <v>77.814360883805975</v>
      </c>
      <c r="CC32" s="59">
        <f t="shared" si="11"/>
        <v>360.54432565090008</v>
      </c>
      <c r="CD32" s="59">
        <f ca="1">AVERAGE(OFFSET($CC$3,0,0,'Données projet'!$E$12+1,1))-AVERAGE(OFFSET($H$3,0,0,'Données projet'!$E$12+1,1))</f>
        <v>192.88977161349993</v>
      </c>
      <c r="CE32" s="59">
        <f t="shared" si="40"/>
        <v>122.91376861456772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2.1053242636350507</v>
      </c>
      <c r="CM32" s="21">
        <f>EXP(-LN(2)/2)*CM31+(1-EXP(-LN(2)/2))/(LN(2)/2)*CG32*CJ32*VLOOKUP('Données projet'!$B$12,Paramètres!$A$1:$I$89,3,0)*0.475*44/12</f>
        <v>0.29296510698497319</v>
      </c>
      <c r="CN32" s="22">
        <f t="shared" si="12"/>
        <v>2.3982893706200237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3.0769230769230744</v>
      </c>
      <c r="CT32" s="12">
        <f>IF('Données projet'!$A$140&gt;35,CT31+CS32-DB31,IF(A32&lt;'Données projet'!$A$140,$CQ$205^A32,IF(A32='Données projet'!$A$140,'Données projet'!$B$140,CT31+CS32-DB31)))</f>
        <v>50.769230769230752</v>
      </c>
      <c r="CU32" s="17">
        <f>CT32*VLOOKUP('Données projet'!$B$13,Paramètres!$A$1:$I$89,3,0)*VLOOKUP('Données projet'!$B$13,Paramètres!$A$1:$I$89,5,0)</f>
        <v>41.18399999999999</v>
      </c>
      <c r="CV32" s="13">
        <f t="shared" si="41"/>
        <v>12.311931477761835</v>
      </c>
      <c r="CW32" s="20">
        <f t="shared" si="13"/>
        <v>93.172080657101844</v>
      </c>
      <c r="CX32" s="59">
        <f t="shared" si="14"/>
        <v>375.90204542419593</v>
      </c>
      <c r="CY32" s="59">
        <f ca="1">AVERAGE(OFFSET($CX$3,0,0,'Données projet'!$E$13+1,1))-AVERAGE(OFFSET($H$3,0,0,'Données projet'!$E$13+1,1))</f>
        <v>163.16040389635825</v>
      </c>
      <c r="CZ32" s="59">
        <f t="shared" si="42"/>
        <v>138.57856782158811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0.87236372097942561</v>
      </c>
      <c r="DH32" s="21">
        <f>EXP(-LN(2)/2)*DH31+(1-EXP(-LN(2)/2))/(LN(2)/2)*DB32*DE32*VLOOKUP('Données projet'!$B$13,Paramètres!$A$1:$I$89,3,0)*0.475*44/12</f>
        <v>0.29410411698945754</v>
      </c>
      <c r="DI32" s="22">
        <f t="shared" si="15"/>
        <v>1.1664678379688831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7.7715686274509812</v>
      </c>
      <c r="DO32" s="12">
        <f>IF('Données projet'!$A$166&gt;35,DO31+DN32-DW31,IF(A32&lt;'Données projet'!$A$166,$DL$205^A32,IF(A32='Données projet'!$A$166,'Données projet'!$B$166,DO31+DN32-DW31)))</f>
        <v>225.37549019607852</v>
      </c>
      <c r="DP32" s="17">
        <f>DO32*VLOOKUP('Données projet'!$B$14,Paramètres!$A$1:$I$89,3,0)*VLOOKUP('Données projet'!$B$14,Paramètres!$A$1:$I$89,5,0)</f>
        <v>105.47572941176475</v>
      </c>
      <c r="DQ32" s="13">
        <f t="shared" si="43"/>
        <v>28.262439580592901</v>
      </c>
      <c r="DR32" s="20">
        <f t="shared" si="16"/>
        <v>232.92731099502291</v>
      </c>
      <c r="DS32" s="59">
        <f t="shared" si="17"/>
        <v>515.65727576211702</v>
      </c>
      <c r="DT32" s="59">
        <f ca="1">AVERAGE(OFFSET($DS$3,0,0,'Données projet'!$E$14+1,1))-AVERAGE(OFFSET($H$3,0,0,'Données projet'!$E$14+1,1))</f>
        <v>343.44193069803498</v>
      </c>
      <c r="DU32" s="59">
        <f t="shared" si="44"/>
        <v>280.67367019483481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4.4871794871794872</v>
      </c>
      <c r="EJ32" s="12">
        <f>IF('Données projet'!$A$192&gt;35,EJ31+EI32-ER31,IF(A32&lt;'Données projet'!$A$192,$EG$205^A32,IF(A32='Données projet'!$A$192,'Données projet'!$B$192,EJ31+EI32-ER31)))</f>
        <v>58.974358974358992</v>
      </c>
      <c r="EK32" s="17">
        <f>EJ32*VLOOKUP('Données projet'!$B$15,Paramètres!$A$1:$I$89,3,0)*VLOOKUP('Données projet'!$B$15,Paramètres!$A$1:$I$89,5,0)</f>
        <v>59.800000000000018</v>
      </c>
      <c r="EL32" s="13">
        <f t="shared" si="45"/>
        <v>17.117692915451741</v>
      </c>
      <c r="EM32" s="20">
        <f t="shared" si="19"/>
        <v>133.96498182774516</v>
      </c>
      <c r="EN32" s="59">
        <f t="shared" si="20"/>
        <v>416.69494659483928</v>
      </c>
      <c r="EO32" s="59">
        <f ca="1">AVERAGE(OFFSET($EN$3,0,0,'Données projet'!$E$15+1,1))-AVERAGE(OFFSET($H$3,0,0,'Données projet'!$E$15+1,1))</f>
        <v>270.0029254736703</v>
      </c>
      <c r="EP32" s="59">
        <f t="shared" si="46"/>
        <v>183.80022202211441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5.4156793589992684</v>
      </c>
      <c r="EX32" s="21">
        <f>EXP(-LN(2)/2)*EX31+(1-EXP(-LN(2)/2))/(LN(2)/2)*ER32*EU32*VLOOKUP('Données projet'!$B$15,Paramètres!$A$1:$I$89,3,0)*0.475*44/12</f>
        <v>0.51959807210486286</v>
      </c>
      <c r="EY32" s="22">
        <f t="shared" si="21"/>
        <v>5.9352774311041312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134.19999999999996</v>
      </c>
      <c r="FF32" s="17">
        <f>FE32*VLOOKUP('Données projet'!$B$16,Paramètres!$A$1:$I$89,3,0)*VLOOKUP('Données projet'!$B$16,Paramètres!$A$1:$I$89,5,0)</f>
        <v>117.23711999999999</v>
      </c>
      <c r="FG32" s="13">
        <f t="shared" si="47"/>
        <v>31.029731926851227</v>
      </c>
      <c r="FH32" s="20">
        <f t="shared" si="22"/>
        <v>258.23143377259919</v>
      </c>
      <c r="FI32" s="59">
        <f t="shared" si="23"/>
        <v>540.96139853969328</v>
      </c>
      <c r="FJ32" s="59">
        <f ca="1">AVERAGE(OFFSET($FI$3,0,0,'Données projet'!$E$16+1,1))-AVERAGE(OFFSET($H$3,0,0,'Données projet'!$E$16+1,1))</f>
        <v>328.93328163316073</v>
      </c>
      <c r="FK32" s="59">
        <f t="shared" si="48"/>
        <v>320.27831321887072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7.2716326636304949</v>
      </c>
      <c r="FS32" s="21">
        <f>EXP(-LN(2)/2)*FS31+(1-EXP(-LN(2)/2))/(LN(2)/2)*FM32*FP32*VLOOKUP('Données projet'!$B$16,Paramètres!$A$1:$I$89,3,0)*0.475*44/12</f>
        <v>1.7216063486632152</v>
      </c>
      <c r="FT32" s="22">
        <f t="shared" si="24"/>
        <v>8.99323901229371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4.4871794871794872</v>
      </c>
      <c r="FZ32" s="12">
        <f>IF('Données projet'!$A$244&gt;35,FZ31+FY32-GH31,IF(A32&lt;'Données projet'!$A$244,$FW$205^A32,IF(A32='Données projet'!$A$244,'Données projet'!$B$244,FZ31+FY32-GH31)))</f>
        <v>58.974358974358992</v>
      </c>
      <c r="GA32" s="17">
        <f>FZ32*VLOOKUP('Données projet'!$B$17,Paramètres!$A$1:$I$89,3,0)*VLOOKUP('Données projet'!$B$17,Paramètres!$A$1:$I$89,5,0)</f>
        <v>39.560000000000009</v>
      </c>
      <c r="GB32" s="13">
        <f t="shared" si="49"/>
        <v>11.881949889371608</v>
      </c>
      <c r="GC32" s="20">
        <f t="shared" si="25"/>
        <v>89.594729390655559</v>
      </c>
      <c r="GD32" s="59">
        <f t="shared" si="26"/>
        <v>372.32469415774966</v>
      </c>
      <c r="GE32" s="59">
        <f ca="1">AVERAGE(OFFSET($GD$3,0,0,'Données projet'!$E$17+1,1))-AVERAGE(OFFSET($H$3,0,0,'Données projet'!$E$17+1,1))</f>
        <v>192.88444860121191</v>
      </c>
      <c r="GF32" s="59">
        <f t="shared" si="50"/>
        <v>136.13737493732751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4.4158616311840175</v>
      </c>
      <c r="GN32" s="21">
        <f>EXP(-LN(2)/2)*GN31+(1-EXP(-LN(2)/2))/(LN(2)/2)*GH32*GK32*VLOOKUP('Données projet'!$B$17,Paramètres!$A$1:$I$89,3,0)*0.475*44/12</f>
        <v>0.34373410923860143</v>
      </c>
      <c r="GO32" s="21">
        <f t="shared" si="27"/>
        <v>4.7595957404226192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67.44150554254081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0.85000000000000009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3.1166666666666671</v>
      </c>
      <c r="H33" s="67">
        <f t="shared" si="1"/>
        <v>244.19999999999996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529.22594796553403</v>
      </c>
      <c r="S33" s="59">
        <f ca="1">AVERAGE(OFFSET($R$3,0,0,'Données projet'!$E$9+1,1))-AVERAGE(OFFSET($H$3,0,0,'Données projet'!$E$9+1,1))</f>
        <v>643.492472896403</v>
      </c>
      <c r="T33" s="59">
        <f t="shared" si="34"/>
        <v>285.0259479655341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132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132</v>
      </c>
      <c r="AJ33" s="13">
        <f>AI33*VLOOKUP('Données projet'!$B$10,Paramètres!$A$1:$I$89,3,0)*VLOOKUP('Données projet'!$B$10,Paramètres!$A$1:$I$89,5,0)</f>
        <v>102.96000000000001</v>
      </c>
      <c r="AK33" s="13">
        <f t="shared" si="35"/>
        <v>27.665975080374633</v>
      </c>
      <c r="AL33" s="20">
        <f t="shared" si="4"/>
        <v>227.50690659831915</v>
      </c>
      <c r="AM33" s="59">
        <f t="shared" si="5"/>
        <v>511.62183550360294</v>
      </c>
      <c r="AN33" s="59">
        <f ca="1">AVERAGE(OFFSET($AM$3,0,0,'Données projet'!$E$10+1,1))-AVERAGE(OFFSET($H$3,0,0,'Données projet'!$E$10+1,1))</f>
        <v>289.89907502443873</v>
      </c>
      <c r="AO33" s="59">
        <f t="shared" si="36"/>
        <v>267.42183550360301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5.3897274727149087</v>
      </c>
      <c r="AW33" s="21">
        <f>EXP(-LN(2)/2)*AW32+(1-EXP(-LN(2)/2))/(LN(2)/2)*AQ33*AT33*VLOOKUP('Données projet'!$B$10,Paramètres!$A$1:$I$89,3,0)*0.475*44/12</f>
        <v>7.1662763354187788</v>
      </c>
      <c r="AX33" s="21">
        <f t="shared" si="6"/>
        <v>12.556003808133688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33.974358974358978</v>
      </c>
      <c r="BB33" s="12">
        <f>VLOOKUP(A33,'Données projet'!$A$87:$I$107,9,0)</f>
        <v>2.1794871794871802</v>
      </c>
      <c r="BC33" s="12">
        <f t="array" ref="BC33">INDEX(BB:BB,MIN(IF(ISNUMBER(BB33:BB229),ROW(BB33:BB229),"")))</f>
        <v>2.1794871794871802</v>
      </c>
      <c r="BD33" s="12">
        <f>IF('Données projet'!$A$88&gt;35,BD32+BC33-BL32,IF(A33&lt;'Données projet'!$A$88,$BA$205^A33,IF(A33='Données projet'!$A$88,'Données projet'!$B$88,BD32+BC33-BL32)))</f>
        <v>33.974358974358971</v>
      </c>
      <c r="BE33" s="13">
        <f>BD33*VLOOKUP('Données projet'!$B$11,Paramètres!$A$1:$I$89,3,0)*VLOOKUP('Données projet'!$B$11,Paramètres!$A$1:$I$89,5,0)</f>
        <v>32.86</v>
      </c>
      <c r="BF33" s="13">
        <f t="shared" si="37"/>
        <v>10.085084005326417</v>
      </c>
      <c r="BG33" s="20">
        <f t="shared" si="7"/>
        <v>74.796021309276838</v>
      </c>
      <c r="BH33" s="59">
        <f t="shared" si="8"/>
        <v>358.91095021456067</v>
      </c>
      <c r="BI33" s="59">
        <f ca="1">AVERAGE(OFFSET($BH$3,0,0,'Données projet'!$E$11+1,1))-AVERAGE(OFFSET($H$3,0,0,'Données projet'!$E$11+1,1))</f>
        <v>177.54241137663234</v>
      </c>
      <c r="BJ33" s="59">
        <f t="shared" si="38"/>
        <v>114.71095021456071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5.1282051282051277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0.34400000000000003</v>
      </c>
      <c r="BO33" s="16">
        <f>IF(ISNA(VLOOKUP(A33,'Données projet'!$A$87:$I$107,7,0)),0%,VLOOKUP(A33,'Données projet'!$A$87:$I$107,7,0))</f>
        <v>0.2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3.7187819963452542</v>
      </c>
      <c r="BR33" s="21">
        <f>EXP(-LN(2)/2)*BR32+(1-EXP(-LN(2)/2))/(LN(2)/2)*BL33*BO33*VLOOKUP('Données projet'!$B$11,Paramètres!$A$1:$I$89,3,0)*0.475*44/12</f>
        <v>1.1221203232828529</v>
      </c>
      <c r="BS33" s="22">
        <f t="shared" si="9"/>
        <v>4.8409023196281069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33.974358974358978</v>
      </c>
      <c r="BW33" s="12">
        <f>VLOOKUP(A33,'Données projet'!$A$113:$I$133,9,0)</f>
        <v>2.1794871794871802</v>
      </c>
      <c r="BX33" s="12">
        <f t="array" ref="BX33">INDEX(BW:BW,MIN(IF(ISNUMBER(BW33:BW229),ROW(BW33:BW229),"")))</f>
        <v>2.1794871794871802</v>
      </c>
      <c r="BY33" s="12">
        <f>IF('Données projet'!$A$114&gt;35,BY32+BX33-CG32,IF(A33&lt;'Données projet'!$A$114,$BV$205^A33,IF(A33='Données projet'!$A$114,'Données projet'!$B$114,BY32+BX33-CG32)))</f>
        <v>33.974358974358971</v>
      </c>
      <c r="BZ33" s="13">
        <f>BY33*VLOOKUP('Données projet'!$B$12,Paramètres!$A$1:$I$89,3,0)*VLOOKUP('Données projet'!$B$12,Paramètres!$A$1:$I$89,5,0)</f>
        <v>36.57</v>
      </c>
      <c r="CA33" s="13">
        <f t="shared" si="39"/>
        <v>11.084836196718024</v>
      </c>
      <c r="CB33" s="20">
        <f t="shared" si="10"/>
        <v>82.998839709283871</v>
      </c>
      <c r="CC33" s="59">
        <f t="shared" si="11"/>
        <v>367.11376861456768</v>
      </c>
      <c r="CD33" s="59">
        <f ca="1">AVERAGE(OFFSET($CC$3,0,0,'Données projet'!$E$12+1,1))-AVERAGE(OFFSET($H$3,0,0,'Données projet'!$E$12+1,1))</f>
        <v>192.88977161349993</v>
      </c>
      <c r="CE33" s="59">
        <f t="shared" si="40"/>
        <v>122.91376861456772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5.1282051282051277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0.34400000000000003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4.13864447980359</v>
      </c>
      <c r="CM33" s="21">
        <f>EXP(-LN(2)/2)*CM32+(1-EXP(-LN(2)/2))/(LN(2)/2)*CG33*CJ33*VLOOKUP('Données projet'!$B$12,Paramètres!$A$1:$I$89,3,0)*0.475*44/12</f>
        <v>1.2488113275244654</v>
      </c>
      <c r="CN33" s="22">
        <f t="shared" si="12"/>
        <v>5.3874558073280552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53.84615384615384</v>
      </c>
      <c r="CR33" s="12">
        <f>VLOOKUP(A33,'Données projet'!$A$139:$I$159,9,0)</f>
        <v>3.0769230769230744</v>
      </c>
      <c r="CS33" s="12">
        <f t="array" ref="CS33">INDEX(CR:CR,MIN(IF(ISNUMBER(CR33:CR229),ROW(CR33:CR229),"")))</f>
        <v>3.0769230769230744</v>
      </c>
      <c r="CT33" s="12">
        <f>IF('Données projet'!$A$140&gt;35,CT32+CS33-DB32,IF(A33&lt;'Données projet'!$A$140,$CQ$205^A33,IF(A33='Données projet'!$A$140,'Données projet'!$B$140,CT32+CS33-DB32)))</f>
        <v>53.846153846153825</v>
      </c>
      <c r="CU33" s="17">
        <f>CT33*VLOOKUP('Données projet'!$B$13,Paramètres!$A$1:$I$89,3,0)*VLOOKUP('Données projet'!$B$13,Paramètres!$A$1:$I$89,5,0)</f>
        <v>43.679999999999986</v>
      </c>
      <c r="CV33" s="13">
        <f t="shared" si="41"/>
        <v>12.968979282088572</v>
      </c>
      <c r="CW33" s="20">
        <f t="shared" si="13"/>
        <v>98.663638916304237</v>
      </c>
      <c r="CX33" s="59">
        <f t="shared" si="14"/>
        <v>382.77856782158807</v>
      </c>
      <c r="CY33" s="59">
        <f ca="1">AVERAGE(OFFSET($CX$3,0,0,'Données projet'!$E$13+1,1))-AVERAGE(OFFSET($H$3,0,0,'Données projet'!$E$13+1,1))</f>
        <v>163.16040389635825</v>
      </c>
      <c r="CZ33" s="59">
        <f t="shared" si="42"/>
        <v>138.57856782158811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5.7692307692307692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1.4024812148058126</v>
      </c>
      <c r="DH33" s="21">
        <f>EXP(-LN(2)/2)*DH32+(1-EXP(-LN(2)/2))/(LN(2)/2)*DB33*DE33*VLOOKUP('Données projet'!$B$13,Paramètres!$A$1:$I$89,3,0)*0.475*44/12</f>
        <v>1.3118895055864315</v>
      </c>
      <c r="DI33" s="22">
        <f t="shared" si="15"/>
        <v>2.7143707203922443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7.7715686274509812</v>
      </c>
      <c r="DO33" s="12">
        <f>IF('Données projet'!$A$166&gt;35,DO32+DN33-DW32,IF(A33&lt;'Données projet'!$A$166,$DL$205^A33,IF(A33='Données projet'!$A$166,'Données projet'!$B$166,DO32+DN33-DW32)))</f>
        <v>233.14705882352951</v>
      </c>
      <c r="DP33" s="17">
        <f>DO33*VLOOKUP('Données projet'!$B$14,Paramètres!$A$1:$I$89,3,0)*VLOOKUP('Données projet'!$B$14,Paramètres!$A$1:$I$89,5,0)</f>
        <v>109.11282352941181</v>
      </c>
      <c r="DQ33" s="13">
        <f t="shared" si="43"/>
        <v>29.121860464588686</v>
      </c>
      <c r="DR33" s="20">
        <f t="shared" si="16"/>
        <v>240.7587412895509</v>
      </c>
      <c r="DS33" s="59">
        <f t="shared" si="17"/>
        <v>524.87367019483474</v>
      </c>
      <c r="DT33" s="59">
        <f ca="1">AVERAGE(OFFSET($DS$3,0,0,'Données projet'!$E$14+1,1))-AVERAGE(OFFSET($H$3,0,0,'Données projet'!$E$14+1,1))</f>
        <v>343.44193069803498</v>
      </c>
      <c r="DU33" s="59">
        <f t="shared" si="44"/>
        <v>280.67367019483481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63.46153846153846</v>
      </c>
      <c r="EH33" s="12">
        <f>VLOOKUP(A33,'Données projet'!$A$191:$I$211,9,0)</f>
        <v>4.4871794871794872</v>
      </c>
      <c r="EI33" s="12">
        <f t="array" ref="EI33">INDEX(EH:EH,MIN(IF(ISNUMBER(EH33:EH229),ROW(EH33:EH229),"")))</f>
        <v>4.4871794871794872</v>
      </c>
      <c r="EJ33" s="12">
        <f>IF('Données projet'!$A$192&gt;35,EJ32+EI33-ER32,IF(A33&lt;'Données projet'!$A$192,$EG$205^A33,IF(A33='Données projet'!$A$192,'Données projet'!$B$192,EJ32+EI33-ER32)))</f>
        <v>63.461538461538481</v>
      </c>
      <c r="EK33" s="17">
        <f>EJ33*VLOOKUP('Données projet'!$B$15,Paramètres!$A$1:$I$89,3,0)*VLOOKUP('Données projet'!$B$15,Paramètres!$A$1:$I$89,5,0)</f>
        <v>64.350000000000023</v>
      </c>
      <c r="EL33" s="13">
        <f t="shared" si="45"/>
        <v>18.263565425931397</v>
      </c>
      <c r="EM33" s="20">
        <f t="shared" si="19"/>
        <v>143.88529311683055</v>
      </c>
      <c r="EN33" s="59">
        <f t="shared" si="20"/>
        <v>428.00022202211437</v>
      </c>
      <c r="EO33" s="59">
        <f ca="1">AVERAGE(OFFSET($EN$3,0,0,'Données projet'!$E$15+1,1))-AVERAGE(OFFSET($H$3,0,0,'Données projet'!$E$15+1,1))</f>
        <v>270.0029254736703</v>
      </c>
      <c r="EP33" s="59">
        <f t="shared" si="46"/>
        <v>183.80022202211441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10.897435897435898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0.34400000000000003</v>
      </c>
      <c r="EU33" s="16">
        <f>IF(ISNA(VLOOKUP(A33,'Données projet'!$A$191:$I$211,7,0)),0%,VLOOKUP(A33,'Données projet'!$A$191:$I$211,7,0))</f>
        <v>0.2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9.4531560048346197</v>
      </c>
      <c r="EX33" s="21">
        <f>EXP(-LN(2)/2)*EX32+(1-EXP(-LN(2)/2))/(LN(2)/2)*ER33*EU33*VLOOKUP('Données projet'!$B$15,Paramètres!$A$1:$I$89,3,0)*0.475*44/12</f>
        <v>2.4526058015547134</v>
      </c>
      <c r="EY33" s="22">
        <f t="shared" si="21"/>
        <v>11.905761806389332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145.99999999999997</v>
      </c>
      <c r="FF33" s="17">
        <f>FE33*VLOOKUP('Données projet'!$B$16,Paramètres!$A$1:$I$89,3,0)*VLOOKUP('Données projet'!$B$16,Paramètres!$A$1:$I$89,5,0)</f>
        <v>127.54559999999999</v>
      </c>
      <c r="FG33" s="13">
        <f t="shared" si="47"/>
        <v>33.428591950384806</v>
      </c>
      <c r="FH33" s="20">
        <f t="shared" si="22"/>
        <v>280.36338431358689</v>
      </c>
      <c r="FI33" s="59">
        <f t="shared" si="23"/>
        <v>564.47831321887065</v>
      </c>
      <c r="FJ33" s="59">
        <f ca="1">AVERAGE(OFFSET($FI$3,0,0,'Données projet'!$E$16+1,1))-AVERAGE(OFFSET($H$3,0,0,'Données projet'!$E$16+1,1))</f>
        <v>328.93328163316073</v>
      </c>
      <c r="FK33" s="59">
        <f t="shared" si="48"/>
        <v>320.27831321887072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0.13250000000000001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10.641573683796842</v>
      </c>
      <c r="FS33" s="21">
        <f>EXP(-LN(2)/2)*FS32+(1-EXP(-LN(2)/2))/(LN(2)/2)*FM33*FP33*VLOOKUP('Données projet'!$B$16,Paramètres!$A$1:$I$89,3,0)*0.475*44/12</f>
        <v>6.9872153118684421</v>
      </c>
      <c r="FT33" s="22">
        <f t="shared" si="24"/>
        <v>17.628788995665285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63.46153846153846</v>
      </c>
      <c r="FX33" s="12">
        <f>VLOOKUP(A33,'Données projet'!$A$243:$I$263,9,0)</f>
        <v>4.4871794871794872</v>
      </c>
      <c r="FY33" s="12">
        <f t="array" ref="FY33">INDEX(FX:FX,MIN(IF(ISNUMBER(FX33:FX229),ROW(FX33:FX229),"")))</f>
        <v>4.4871794871794872</v>
      </c>
      <c r="FZ33" s="12">
        <f>IF('Données projet'!$A$244&gt;35,FZ32+FY33-GH32,IF(A33&lt;'Données projet'!$A$244,$FW$205^A33,IF(A33='Données projet'!$A$244,'Données projet'!$B$244,FZ32+FY33-GH32)))</f>
        <v>63.461538461538481</v>
      </c>
      <c r="GA33" s="17">
        <f>FZ33*VLOOKUP('Données projet'!$B$17,Paramètres!$A$1:$I$89,3,0)*VLOOKUP('Données projet'!$B$17,Paramètres!$A$1:$I$89,5,0)</f>
        <v>42.570000000000014</v>
      </c>
      <c r="GB33" s="13">
        <f t="shared" si="49"/>
        <v>12.677337434666208</v>
      </c>
      <c r="GC33" s="20">
        <f t="shared" si="25"/>
        <v>96.222446032043663</v>
      </c>
      <c r="GD33" s="59">
        <f t="shared" si="26"/>
        <v>380.33737493732747</v>
      </c>
      <c r="GE33" s="59">
        <f ca="1">AVERAGE(OFFSET($GD$3,0,0,'Données projet'!$E$17+1,1))-AVERAGE(OFFSET($H$3,0,0,'Données projet'!$E$17+1,1))</f>
        <v>192.88444860121191</v>
      </c>
      <c r="GF33" s="59">
        <f t="shared" si="50"/>
        <v>136.13737493732751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10.897435897435898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0.42400000000000004</v>
      </c>
      <c r="GK33" s="16">
        <f>IF(ISNA(VLOOKUP(A33,'Données projet'!$A$243:$I$263,7,0)),0%,VLOOKUP(A33,'Données projet'!$A$243:$I$263,7,0))</f>
        <v>0.2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7.7079579731728423</v>
      </c>
      <c r="GN33" s="21">
        <f>EXP(-LN(2)/2)*GN32+(1-EXP(-LN(2)/2))/(LN(2)/2)*GH33*GK33*VLOOKUP('Données projet'!$B$17,Paramètres!$A$1:$I$89,3,0)*0.475*44/12</f>
        <v>1.6224930687208101</v>
      </c>
      <c r="GO33" s="21">
        <f t="shared" si="27"/>
        <v>9.330451041893653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67.485889701441039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0.85000000000000009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3.1166666666666671</v>
      </c>
      <c r="H34" s="67">
        <f t="shared" si="1"/>
        <v>244.19999999999996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537.35330882067205</v>
      </c>
      <c r="S34" s="59">
        <f ca="1">AVERAGE(OFFSET($R$3,0,0,'Données projet'!$E$9+1,1))-AVERAGE(OFFSET($H$3,0,0,'Données projet'!$E$9+1,1))</f>
        <v>643.492472896403</v>
      </c>
      <c r="T34" s="59">
        <f t="shared" si="34"/>
        <v>285.0259479655341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</v>
      </c>
      <c r="AI34" s="13">
        <f>IF('Données projet'!$A$62&gt;35,AI33+AH34-AQ33,IF(A34&lt;'Données projet'!$A$62,$AF$205^A34,IF(A34='Données projet'!$A$62,'Données projet'!$B$62,AI33+AH34-AQ33)))</f>
        <v>113</v>
      </c>
      <c r="AJ34" s="13">
        <f>AI34*VLOOKUP('Données projet'!$B$10,Paramètres!$A$1:$I$89,3,0)*VLOOKUP('Données projet'!$B$10,Paramètres!$A$1:$I$89,5,0)</f>
        <v>88.14</v>
      </c>
      <c r="AK34" s="13">
        <f t="shared" si="35"/>
        <v>24.116094026318823</v>
      </c>
      <c r="AL34" s="20">
        <f t="shared" si="4"/>
        <v>195.51269709583858</v>
      </c>
      <c r="AM34" s="59">
        <f t="shared" si="5"/>
        <v>479.78754470868421</v>
      </c>
      <c r="AN34" s="59">
        <f ca="1">AVERAGE(OFFSET($AM$3,0,0,'Données projet'!$E$10+1,1))-AVERAGE(OFFSET($H$3,0,0,'Données projet'!$E$10+1,1))</f>
        <v>289.89907502443873</v>
      </c>
      <c r="AO34" s="59">
        <f t="shared" si="36"/>
        <v>267.42183550360301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5.24234509154007</v>
      </c>
      <c r="AW34" s="21">
        <f>EXP(-LN(2)/2)*AW33+(1-EXP(-LN(2)/2))/(LN(2)/2)*AQ34*AT34*VLOOKUP('Données projet'!$B$10,Paramètres!$A$1:$I$89,3,0)*0.475*44/12</f>
        <v>5.0673225926313004</v>
      </c>
      <c r="AX34" s="21">
        <f t="shared" si="6"/>
        <v>10.309667684171369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2.4358974358974343</v>
      </c>
      <c r="BD34" s="12">
        <f>IF('Données projet'!$A$88&gt;35,BD33+BC34-BL33,IF(A34&lt;'Données projet'!$A$88,$BA$205^A34,IF(A34='Données projet'!$A$88,'Données projet'!$B$88,BD33+BC34-BL33)))</f>
        <v>31.282051282051281</v>
      </c>
      <c r="BE34" s="13">
        <f>BD34*VLOOKUP('Données projet'!$B$11,Paramètres!$A$1:$I$89,3,0)*VLOOKUP('Données projet'!$B$11,Paramètres!$A$1:$I$89,5,0)</f>
        <v>30.256</v>
      </c>
      <c r="BF34" s="13">
        <f t="shared" si="37"/>
        <v>9.3755578185251789</v>
      </c>
      <c r="BG34" s="20">
        <f t="shared" si="7"/>
        <v>69.024963200598023</v>
      </c>
      <c r="BH34" s="59">
        <f t="shared" si="8"/>
        <v>353.29981081344363</v>
      </c>
      <c r="BI34" s="59">
        <f ca="1">AVERAGE(OFFSET($BH$3,0,0,'Données projet'!$E$11+1,1))-AVERAGE(OFFSET($H$3,0,0,'Données projet'!$E$11+1,1))</f>
        <v>177.54241137663234</v>
      </c>
      <c r="BJ34" s="59">
        <f t="shared" si="38"/>
        <v>114.71095021456071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3.6170917070929476</v>
      </c>
      <c r="BR34" s="21">
        <f>EXP(-LN(2)/2)*BR33+(1-EXP(-LN(2)/2))/(LN(2)/2)*BL34*BO34*VLOOKUP('Données projet'!$B$11,Paramètres!$A$1:$I$89,3,0)*0.475*44/12</f>
        <v>0.79345888990054636</v>
      </c>
      <c r="BS34" s="22">
        <f t="shared" si="9"/>
        <v>4.4105505969934935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2.4358974358974343</v>
      </c>
      <c r="BY34" s="12">
        <f>IF('Données projet'!$A$114&gt;35,BY33+BX34-CG33,IF(A34&lt;'Données projet'!$A$114,$BV$205^A34,IF(A34='Données projet'!$A$114,'Données projet'!$B$114,BY33+BX34-CG33)))</f>
        <v>31.282051282051281</v>
      </c>
      <c r="BZ34" s="13">
        <f>BY34*VLOOKUP('Données projet'!$B$12,Paramètres!$A$1:$I$89,3,0)*VLOOKUP('Données projet'!$B$12,Paramètres!$A$1:$I$89,5,0)</f>
        <v>33.671999999999997</v>
      </c>
      <c r="CA34" s="13">
        <f t="shared" si="39"/>
        <v>10.304973425736666</v>
      </c>
      <c r="CB34" s="20">
        <f t="shared" si="10"/>
        <v>76.593228716491353</v>
      </c>
      <c r="CC34" s="59">
        <f t="shared" si="11"/>
        <v>360.86807632933699</v>
      </c>
      <c r="CD34" s="59">
        <f ca="1">AVERAGE(OFFSET($CC$3,0,0,'Données projet'!$E$12+1,1))-AVERAGE(OFFSET($H$3,0,0,'Données projet'!$E$12+1,1))</f>
        <v>192.88977161349993</v>
      </c>
      <c r="CE34" s="59">
        <f t="shared" si="40"/>
        <v>122.91376861456772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4.0254730288615068</v>
      </c>
      <c r="CM34" s="21">
        <f>EXP(-LN(2)/2)*CM33+(1-EXP(-LN(2)/2))/(LN(2)/2)*CG34*CJ34*VLOOKUP('Données projet'!$B$12,Paramètres!$A$1:$I$89,3,0)*0.475*44/12</f>
        <v>0.88304295811512423</v>
      </c>
      <c r="CN34" s="22">
        <f t="shared" si="12"/>
        <v>4.9085159869766315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3.0769230769230775</v>
      </c>
      <c r="CT34" s="12">
        <f>IF('Données projet'!$A$140&gt;35,CT33+CS34-DB33,IF(A34&lt;'Données projet'!$A$140,$CQ$205^A34,IF(A34='Données projet'!$A$140,'Données projet'!$B$140,CT33+CS34-DB33)))</f>
        <v>51.153846153846139</v>
      </c>
      <c r="CU34" s="17">
        <f>CT34*VLOOKUP('Données projet'!$B$13,Paramètres!$A$1:$I$89,3,0)*VLOOKUP('Données projet'!$B$13,Paramètres!$A$1:$I$89,5,0)</f>
        <v>41.495999999999995</v>
      </c>
      <c r="CV34" s="13">
        <f t="shared" si="41"/>
        <v>12.394310565265267</v>
      </c>
      <c r="CW34" s="20">
        <f t="shared" si="13"/>
        <v>93.858957567836981</v>
      </c>
      <c r="CX34" s="59">
        <f t="shared" si="14"/>
        <v>378.1338051806826</v>
      </c>
      <c r="CY34" s="59">
        <f ca="1">AVERAGE(OFFSET($CX$3,0,0,'Données projet'!$E$13+1,1))-AVERAGE(OFFSET($H$3,0,0,'Données projet'!$E$13+1,1))</f>
        <v>163.16040389635825</v>
      </c>
      <c r="CZ34" s="59">
        <f t="shared" si="42"/>
        <v>138.57856782158811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1.364130292233666</v>
      </c>
      <c r="DH34" s="21">
        <f>EXP(-LN(2)/2)*DH33+(1-EXP(-LN(2)/2))/(LN(2)/2)*DB34*DE34*VLOOKUP('Données projet'!$B$13,Paramètres!$A$1:$I$89,3,0)*0.475*44/12</f>
        <v>0.9276459655676329</v>
      </c>
      <c r="DI34" s="22">
        <f t="shared" si="15"/>
        <v>2.291776257801299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7.7715686274509812</v>
      </c>
      <c r="DO34" s="12">
        <f>IF('Données projet'!$A$166&gt;35,DO33+DN34-DW33,IF(A34&lt;'Données projet'!$A$166,$DL$205^A34,IF(A34='Données projet'!$A$166,'Données projet'!$B$166,DO33+DN34-DW33)))</f>
        <v>240.91862745098049</v>
      </c>
      <c r="DP34" s="17">
        <f>DO34*VLOOKUP('Données projet'!$B$14,Paramètres!$A$1:$I$89,3,0)*VLOOKUP('Données projet'!$B$14,Paramètres!$A$1:$I$89,5,0)</f>
        <v>112.74991764705888</v>
      </c>
      <c r="DQ34" s="13">
        <f t="shared" si="43"/>
        <v>29.977952605007669</v>
      </c>
      <c r="DR34" s="20">
        <f t="shared" si="16"/>
        <v>248.58437402234924</v>
      </c>
      <c r="DS34" s="59">
        <f t="shared" si="17"/>
        <v>532.8592216351949</v>
      </c>
      <c r="DT34" s="59">
        <f ca="1">AVERAGE(OFFSET($DS$3,0,0,'Données projet'!$E$14+1,1))-AVERAGE(OFFSET($H$3,0,0,'Données projet'!$E$14+1,1))</f>
        <v>343.44193069803498</v>
      </c>
      <c r="DU34" s="59">
        <f t="shared" si="44"/>
        <v>280.67367019483481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4.7435897435897445</v>
      </c>
      <c r="EJ34" s="12">
        <f>IF('Données projet'!$A$192&gt;35,EJ33+EI34-ER33,IF(A34&lt;'Données projet'!$A$192,$EG$205^A34,IF(A34='Données projet'!$A$192,'Données projet'!$B$192,EJ33+EI34-ER33)))</f>
        <v>57.307692307692335</v>
      </c>
      <c r="EK34" s="17">
        <f>EJ34*VLOOKUP('Données projet'!$B$15,Paramètres!$A$1:$I$89,3,0)*VLOOKUP('Données projet'!$B$15,Paramètres!$A$1:$I$89,5,0)</f>
        <v>58.110000000000035</v>
      </c>
      <c r="EL34" s="13">
        <f t="shared" si="45"/>
        <v>16.689531225219394</v>
      </c>
      <c r="EM34" s="20">
        <f t="shared" si="19"/>
        <v>130.27585021725716</v>
      </c>
      <c r="EN34" s="59">
        <f t="shared" si="20"/>
        <v>414.55069783010276</v>
      </c>
      <c r="EO34" s="59">
        <f ca="1">AVERAGE(OFFSET($EN$3,0,0,'Données projet'!$E$15+1,1))-AVERAGE(OFFSET($H$3,0,0,'Données projet'!$E$15+1,1))</f>
        <v>270.0029254736703</v>
      </c>
      <c r="EP34" s="59">
        <f t="shared" si="46"/>
        <v>183.80022202211441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9.1946589567625487</v>
      </c>
      <c r="EX34" s="21">
        <f>EXP(-LN(2)/2)*EX33+(1-EXP(-LN(2)/2))/(LN(2)/2)*ER34*EU34*VLOOKUP('Données projet'!$B$15,Paramètres!$A$1:$I$89,3,0)*0.475*44/12</f>
        <v>1.7342541938568059</v>
      </c>
      <c r="EY34" s="22">
        <f t="shared" si="21"/>
        <v>10.928913150619355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128.79999999999998</v>
      </c>
      <c r="FF34" s="17">
        <f>FE34*VLOOKUP('Données projet'!$B$16,Paramètres!$A$1:$I$89,3,0)*VLOOKUP('Données projet'!$B$16,Paramètres!$A$1:$I$89,5,0)</f>
        <v>112.51968000000001</v>
      </c>
      <c r="FG34" s="13">
        <f t="shared" si="47"/>
        <v>29.923856072189899</v>
      </c>
      <c r="FH34" s="20">
        <f t="shared" si="22"/>
        <v>248.08915865906408</v>
      </c>
      <c r="FI34" s="59">
        <f t="shared" si="23"/>
        <v>532.36400627190972</v>
      </c>
      <c r="FJ34" s="59">
        <f ca="1">AVERAGE(OFFSET($FI$3,0,0,'Données projet'!$E$16+1,1))-AVERAGE(OFFSET($H$3,0,0,'Données projet'!$E$16+1,1))</f>
        <v>328.93328163316073</v>
      </c>
      <c r="FK34" s="59">
        <f t="shared" si="48"/>
        <v>320.27831321887072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10.350579291797379</v>
      </c>
      <c r="FS34" s="21">
        <f>EXP(-LN(2)/2)*FS33+(1-EXP(-LN(2)/2))/(LN(2)/2)*FM34*FP34*VLOOKUP('Données projet'!$B$16,Paramètres!$A$1:$I$89,3,0)*0.475*44/12</f>
        <v>4.9407073286326533</v>
      </c>
      <c r="FT34" s="22">
        <f t="shared" si="24"/>
        <v>15.291286620430032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4.7435897435897445</v>
      </c>
      <c r="FZ34" s="12">
        <f>IF('Données projet'!$A$244&gt;35,FZ33+FY34-GH33,IF(A34&lt;'Données projet'!$A$244,$FW$205^A34,IF(A34='Données projet'!$A$244,'Données projet'!$B$244,FZ33+FY34-GH33)))</f>
        <v>57.307692307692335</v>
      </c>
      <c r="GA34" s="17">
        <f>FZ34*VLOOKUP('Données projet'!$B$17,Paramètres!$A$1:$I$89,3,0)*VLOOKUP('Données projet'!$B$17,Paramètres!$A$1:$I$89,5,0)</f>
        <v>38.442000000000021</v>
      </c>
      <c r="GB34" s="13">
        <f t="shared" si="49"/>
        <v>11.584748872095675</v>
      </c>
      <c r="GC34" s="20">
        <f t="shared" si="25"/>
        <v>87.12992095223332</v>
      </c>
      <c r="GD34" s="59">
        <f t="shared" si="26"/>
        <v>371.40476856507894</v>
      </c>
      <c r="GE34" s="59">
        <f ca="1">AVERAGE(OFFSET($GD$3,0,0,'Données projet'!$E$17+1,1))-AVERAGE(OFFSET($H$3,0,0,'Données projet'!$E$17+1,1))</f>
        <v>192.88444860121191</v>
      </c>
      <c r="GF34" s="59">
        <f t="shared" si="50"/>
        <v>136.13737493732751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7.4971834570525377</v>
      </c>
      <c r="GN34" s="21">
        <f>EXP(-LN(2)/2)*GN33+(1-EXP(-LN(2)/2))/(LN(2)/2)*GH34*GK34*VLOOKUP('Données projet'!$B$17,Paramètres!$A$1:$I$89,3,0)*0.475*44/12</f>
        <v>1.147275851320656</v>
      </c>
      <c r="GO34" s="21">
        <f t="shared" si="27"/>
        <v>8.6444593083731931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67.529503894412443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0.85000000000000009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3.1166666666666671</v>
      </c>
      <c r="H35" s="67">
        <f t="shared" si="1"/>
        <v>244.19999999999996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545.47221491073424</v>
      </c>
      <c r="S35" s="59">
        <f ca="1">AVERAGE(OFFSET($R$3,0,0,'Données projet'!$E$9+1,1))-AVERAGE(OFFSET($H$3,0,0,'Données projet'!$E$9+1,1))</f>
        <v>643.492472896403</v>
      </c>
      <c r="T35" s="59">
        <f t="shared" si="34"/>
        <v>285.0259479655341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</v>
      </c>
      <c r="AI35" s="13">
        <f>IF('Données projet'!$A$62&gt;35,AI34+AH35-AQ34,IF(A35&lt;'Données projet'!$A$62,$AF$205^A35,IF(A35='Données projet'!$A$62,'Données projet'!$B$62,AI34+AH35-AQ34)))</f>
        <v>128</v>
      </c>
      <c r="AJ35" s="13">
        <f>AI35*VLOOKUP('Données projet'!$B$10,Paramètres!$A$1:$I$89,3,0)*VLOOKUP('Données projet'!$B$10,Paramètres!$A$1:$I$89,5,0)</f>
        <v>99.84</v>
      </c>
      <c r="AK35" s="13">
        <f t="shared" si="35"/>
        <v>26.923876203052867</v>
      </c>
      <c r="AL35" s="20">
        <f t="shared" si="4"/>
        <v>220.7804177203171</v>
      </c>
      <c r="AM35" s="59">
        <f t="shared" si="5"/>
        <v>505.2124098086731</v>
      </c>
      <c r="AN35" s="59">
        <f ca="1">AVERAGE(OFFSET($AM$3,0,0,'Données projet'!$E$10+1,1))-AVERAGE(OFFSET($H$3,0,0,'Données projet'!$E$10+1,1))</f>
        <v>289.89907502443873</v>
      </c>
      <c r="AO35" s="59">
        <f t="shared" si="36"/>
        <v>267.42183550360301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5.0989928893289598</v>
      </c>
      <c r="AW35" s="21">
        <f>EXP(-LN(2)/2)*AW34+(1-EXP(-LN(2)/2))/(LN(2)/2)*AQ35*AT35*VLOOKUP('Données projet'!$B$10,Paramètres!$A$1:$I$89,3,0)*0.475*44/12</f>
        <v>3.5831381677093899</v>
      </c>
      <c r="AX35" s="21">
        <f t="shared" si="6"/>
        <v>8.6821310570383492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2.4358974358974343</v>
      </c>
      <c r="BD35" s="12">
        <f>IF('Données projet'!$A$88&gt;35,BD34+BC35-BL34,IF(A35&lt;'Données projet'!$A$88,$BA$205^A35,IF(A35='Données projet'!$A$88,'Données projet'!$B$88,BD34+BC35-BL34)))</f>
        <v>33.717948717948715</v>
      </c>
      <c r="BE35" s="13">
        <f>BD35*VLOOKUP('Données projet'!$B$11,Paramètres!$A$1:$I$89,3,0)*VLOOKUP('Données projet'!$B$11,Paramètres!$A$1:$I$89,5,0)</f>
        <v>32.612000000000002</v>
      </c>
      <c r="BF35" s="13">
        <f t="shared" si="37"/>
        <v>10.017800190546676</v>
      </c>
      <c r="BG35" s="20">
        <f t="shared" si="7"/>
        <v>74.246901998535463</v>
      </c>
      <c r="BH35" s="59">
        <f t="shared" si="8"/>
        <v>358.67889408689143</v>
      </c>
      <c r="BI35" s="59">
        <f ca="1">AVERAGE(OFFSET($BH$3,0,0,'Données projet'!$E$11+1,1))-AVERAGE(OFFSET($H$3,0,0,'Données projet'!$E$11+1,1))</f>
        <v>177.54241137663234</v>
      </c>
      <c r="BJ35" s="59">
        <f t="shared" si="38"/>
        <v>114.71095021456071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3.5181821441479051</v>
      </c>
      <c r="BR35" s="21">
        <f>EXP(-LN(2)/2)*BR34+(1-EXP(-LN(2)/2))/(LN(2)/2)*BL35*BO35*VLOOKUP('Données projet'!$B$11,Paramètres!$A$1:$I$89,3,0)*0.475*44/12</f>
        <v>0.56106016164142658</v>
      </c>
      <c r="BS35" s="22">
        <f t="shared" si="9"/>
        <v>4.0792423057893314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2.4358974358974343</v>
      </c>
      <c r="BY35" s="12">
        <f>IF('Données projet'!$A$114&gt;35,BY34+BX35-CG34,IF(A35&lt;'Données projet'!$A$114,$BV$205^A35,IF(A35='Données projet'!$A$114,'Données projet'!$B$114,BY34+BX35-CG34)))</f>
        <v>33.717948717948715</v>
      </c>
      <c r="BZ35" s="13">
        <f>BY35*VLOOKUP('Données projet'!$B$12,Paramètres!$A$1:$I$89,3,0)*VLOOKUP('Données projet'!$B$12,Paramètres!$A$1:$I$89,5,0)</f>
        <v>36.293999999999997</v>
      </c>
      <c r="CA35" s="13">
        <f t="shared" si="39"/>
        <v>11.010882418531365</v>
      </c>
      <c r="CB35" s="20">
        <f t="shared" si="10"/>
        <v>82.389336878942132</v>
      </c>
      <c r="CC35" s="59">
        <f t="shared" si="11"/>
        <v>366.82132896729809</v>
      </c>
      <c r="CD35" s="59">
        <f ca="1">AVERAGE(OFFSET($CC$3,0,0,'Données projet'!$E$12+1,1))-AVERAGE(OFFSET($H$3,0,0,'Données projet'!$E$12+1,1))</f>
        <v>192.88977161349993</v>
      </c>
      <c r="CE35" s="59">
        <f t="shared" si="40"/>
        <v>122.91376861456772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3.9153962571968628</v>
      </c>
      <c r="CM35" s="21">
        <f>EXP(-LN(2)/2)*CM34+(1-EXP(-LN(2)/2))/(LN(2)/2)*CG35*CJ35*VLOOKUP('Données projet'!$B$12,Paramètres!$A$1:$I$89,3,0)*0.475*44/12</f>
        <v>0.62440566376223283</v>
      </c>
      <c r="CN35" s="22">
        <f t="shared" si="12"/>
        <v>4.5398019209590954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3.0769230769230775</v>
      </c>
      <c r="CT35" s="12">
        <f>IF('Données projet'!$A$140&gt;35,CT34+CS35-DB34,IF(A35&lt;'Données projet'!$A$140,$CQ$205^A35,IF(A35='Données projet'!$A$140,'Données projet'!$B$140,CT34+CS35-DB34)))</f>
        <v>54.230769230769219</v>
      </c>
      <c r="CU35" s="17">
        <f>CT35*VLOOKUP('Données projet'!$B$13,Paramètres!$A$1:$I$89,3,0)*VLOOKUP('Données projet'!$B$13,Paramètres!$A$1:$I$89,5,0)</f>
        <v>43.991999999999997</v>
      </c>
      <c r="CV35" s="13">
        <f t="shared" si="41"/>
        <v>13.05079813120688</v>
      </c>
      <c r="CW35" s="20">
        <f t="shared" si="13"/>
        <v>99.349540078518643</v>
      </c>
      <c r="CX35" s="59">
        <f t="shared" si="14"/>
        <v>383.78153216687463</v>
      </c>
      <c r="CY35" s="59">
        <f ca="1">AVERAGE(OFFSET($CX$3,0,0,'Données projet'!$E$13+1,1))-AVERAGE(OFFSET($H$3,0,0,'Données projet'!$E$13+1,1))</f>
        <v>163.16040389635825</v>
      </c>
      <c r="CZ35" s="59">
        <f t="shared" si="42"/>
        <v>138.57856782158811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1.3268280776560422</v>
      </c>
      <c r="DH35" s="21">
        <f>EXP(-LN(2)/2)*DH34+(1-EXP(-LN(2)/2))/(LN(2)/2)*DB35*DE35*VLOOKUP('Données projet'!$B$13,Paramètres!$A$1:$I$89,3,0)*0.475*44/12</f>
        <v>0.65594475279321585</v>
      </c>
      <c r="DI35" s="22">
        <f t="shared" si="15"/>
        <v>1.982772830449258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7.7715686274509812</v>
      </c>
      <c r="DO35" s="12">
        <f>IF('Données projet'!$A$166&gt;35,DO34+DN35-DW34,IF(A35&lt;'Données projet'!$A$166,$DL$205^A35,IF(A35='Données projet'!$A$166,'Données projet'!$B$166,DO34+DN35-DW34)))</f>
        <v>248.69019607843148</v>
      </c>
      <c r="DP35" s="17">
        <f>DO35*VLOOKUP('Données projet'!$B$14,Paramètres!$A$1:$I$89,3,0)*VLOOKUP('Données projet'!$B$14,Paramètres!$A$1:$I$89,5,0)</f>
        <v>116.38701176470595</v>
      </c>
      <c r="DQ35" s="13">
        <f t="shared" si="43"/>
        <v>30.830835696933189</v>
      </c>
      <c r="DR35" s="20">
        <f t="shared" si="16"/>
        <v>256.40441766235483</v>
      </c>
      <c r="DS35" s="59">
        <f t="shared" si="17"/>
        <v>540.8364097507108</v>
      </c>
      <c r="DT35" s="59">
        <f ca="1">AVERAGE(OFFSET($DS$3,0,0,'Données projet'!$E$14+1,1))-AVERAGE(OFFSET($H$3,0,0,'Données projet'!$E$14+1,1))</f>
        <v>343.44193069803498</v>
      </c>
      <c r="DU35" s="59">
        <f t="shared" si="44"/>
        <v>280.67367019483481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4.7435897435897445</v>
      </c>
      <c r="EJ35" s="12">
        <f>IF('Données projet'!$A$192&gt;35,EJ34+EI35-ER34,IF(A35&lt;'Données projet'!$A$192,$EG$205^A35,IF(A35='Données projet'!$A$192,'Données projet'!$B$192,EJ34+EI35-ER34)))</f>
        <v>62.05128205128208</v>
      </c>
      <c r="EK35" s="17">
        <f>EJ35*VLOOKUP('Données projet'!$B$15,Paramètres!$A$1:$I$89,3,0)*VLOOKUP('Données projet'!$B$15,Paramètres!$A$1:$I$89,5,0)</f>
        <v>62.92000000000003</v>
      </c>
      <c r="EL35" s="13">
        <f t="shared" si="45"/>
        <v>17.904482482045971</v>
      </c>
      <c r="EM35" s="20">
        <f t="shared" si="19"/>
        <v>140.76930698956343</v>
      </c>
      <c r="EN35" s="59">
        <f t="shared" si="20"/>
        <v>425.20129907791943</v>
      </c>
      <c r="EO35" s="59">
        <f ca="1">AVERAGE(OFFSET($EN$3,0,0,'Données projet'!$E$15+1,1))-AVERAGE(OFFSET($H$3,0,0,'Données projet'!$E$15+1,1))</f>
        <v>270.0029254736703</v>
      </c>
      <c r="EP35" s="59">
        <f t="shared" si="46"/>
        <v>183.80022202211441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8.9432305240637771</v>
      </c>
      <c r="EX35" s="21">
        <f>EXP(-LN(2)/2)*EX34+(1-EXP(-LN(2)/2))/(LN(2)/2)*ER35*EU35*VLOOKUP('Données projet'!$B$15,Paramètres!$A$1:$I$89,3,0)*0.475*44/12</f>
        <v>1.2263029007773569</v>
      </c>
      <c r="EY35" s="22">
        <f t="shared" si="21"/>
        <v>10.169533424841134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139.6</v>
      </c>
      <c r="FF35" s="17">
        <f>FE35*VLOOKUP('Données projet'!$B$16,Paramètres!$A$1:$I$89,3,0)*VLOOKUP('Données projet'!$B$16,Paramètres!$A$1:$I$89,5,0)</f>
        <v>121.95456</v>
      </c>
      <c r="FG35" s="13">
        <f t="shared" si="47"/>
        <v>32.130438767300902</v>
      </c>
      <c r="FH35" s="20">
        <f t="shared" si="22"/>
        <v>268.36470618638242</v>
      </c>
      <c r="FI35" s="59">
        <f t="shared" si="23"/>
        <v>552.79669827473845</v>
      </c>
      <c r="FJ35" s="59">
        <f ca="1">AVERAGE(OFFSET($FI$3,0,0,'Données projet'!$E$16+1,1))-AVERAGE(OFFSET($H$3,0,0,'Données projet'!$E$16+1,1))</f>
        <v>328.93328163316073</v>
      </c>
      <c r="FK35" s="59">
        <f t="shared" si="48"/>
        <v>320.27831321887072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10.067542156749871</v>
      </c>
      <c r="FS35" s="21">
        <f>EXP(-LN(2)/2)*FS34+(1-EXP(-LN(2)/2))/(LN(2)/2)*FM35*FP35*VLOOKUP('Données projet'!$B$16,Paramètres!$A$1:$I$89,3,0)*0.475*44/12</f>
        <v>3.4936076559342215</v>
      </c>
      <c r="FT35" s="22">
        <f t="shared" si="24"/>
        <v>13.561149812684093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4.7435897435897445</v>
      </c>
      <c r="FZ35" s="12">
        <f>IF('Données projet'!$A$244&gt;35,FZ34+FY35-GH34,IF(A35&lt;'Données projet'!$A$244,$FW$205^A35,IF(A35='Données projet'!$A$244,'Données projet'!$B$244,FZ34+FY35-GH34)))</f>
        <v>62.05128205128208</v>
      </c>
      <c r="GA35" s="17">
        <f>FZ35*VLOOKUP('Données projet'!$B$17,Paramètres!$A$1:$I$89,3,0)*VLOOKUP('Données projet'!$B$17,Paramètres!$A$1:$I$89,5,0)</f>
        <v>41.624000000000017</v>
      </c>
      <c r="GB35" s="13">
        <f t="shared" si="49"/>
        <v>12.428086232039275</v>
      </c>
      <c r="GC35" s="20">
        <f t="shared" si="25"/>
        <v>94.140716854135107</v>
      </c>
      <c r="GD35" s="59">
        <f t="shared" si="26"/>
        <v>378.57270894249109</v>
      </c>
      <c r="GE35" s="59">
        <f ca="1">AVERAGE(OFFSET($GD$3,0,0,'Données projet'!$E$17+1,1))-AVERAGE(OFFSET($H$3,0,0,'Données projet'!$E$17+1,1))</f>
        <v>192.88444860121191</v>
      </c>
      <c r="GF35" s="59">
        <f t="shared" si="50"/>
        <v>136.13737493732751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7.2921725811596936</v>
      </c>
      <c r="GN35" s="21">
        <f>EXP(-LN(2)/2)*GN34+(1-EXP(-LN(2)/2))/(LN(2)/2)*GH35*GK35*VLOOKUP('Données projet'!$B$17,Paramètres!$A$1:$I$89,3,0)*0.475*44/12</f>
        <v>0.81124653436040517</v>
      </c>
      <c r="GO35" s="21">
        <f t="shared" si="27"/>
        <v>8.103419115520099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67.572361478642534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0.85000000000000009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3.1166666666666671</v>
      </c>
      <c r="H36" s="67">
        <f t="shared" si="1"/>
        <v>244.19999999999996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553.5829122473906</v>
      </c>
      <c r="S36" s="59">
        <f ca="1">AVERAGE(OFFSET($R$3,0,0,'Données projet'!$E$9+1,1))-AVERAGE(OFFSET($H$3,0,0,'Données projet'!$E$9+1,1))</f>
        <v>643.492472896403</v>
      </c>
      <c r="T36" s="59">
        <f t="shared" si="34"/>
        <v>285.0259479655341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</v>
      </c>
      <c r="AI36" s="13">
        <f>IF('Données projet'!$A$62&gt;35,AI35+AH36-AQ35,IF(A36&lt;'Données projet'!$A$62,$AF$205^A36,IF(A36='Données projet'!$A$62,'Données projet'!$B$62,AI35+AH36-AQ35)))</f>
        <v>143</v>
      </c>
      <c r="AJ36" s="13">
        <f>AI36*VLOOKUP('Données projet'!$B$10,Paramètres!$A$1:$I$89,3,0)*VLOOKUP('Données projet'!$B$10,Paramètres!$A$1:$I$89,5,0)</f>
        <v>111.54</v>
      </c>
      <c r="AK36" s="13">
        <f t="shared" si="35"/>
        <v>29.693526474261301</v>
      </c>
      <c r="AL36" s="20">
        <f t="shared" si="4"/>
        <v>245.98172527600511</v>
      </c>
      <c r="AM36" s="59">
        <f t="shared" si="5"/>
        <v>530.56813573454372</v>
      </c>
      <c r="AN36" s="59">
        <f ca="1">AVERAGE(OFFSET($AM$3,0,0,'Données projet'!$E$10+1,1))-AVERAGE(OFFSET($H$3,0,0,'Données projet'!$E$10+1,1))</f>
        <v>289.89907502443873</v>
      </c>
      <c r="AO36" s="59">
        <f t="shared" si="36"/>
        <v>267.42183550360301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4.9595606606258773</v>
      </c>
      <c r="AW36" s="21">
        <f>EXP(-LN(2)/2)*AW35+(1-EXP(-LN(2)/2))/(LN(2)/2)*AQ36*AT36*VLOOKUP('Données projet'!$B$10,Paramètres!$A$1:$I$89,3,0)*0.475*44/12</f>
        <v>2.5336612963156506</v>
      </c>
      <c r="AX36" s="21">
        <f t="shared" si="6"/>
        <v>7.4932219569415279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2.4358974358974343</v>
      </c>
      <c r="BD36" s="12">
        <f>IF('Données projet'!$A$88&gt;35,BD35+BC36-BL35,IF(A36&lt;'Données projet'!$A$88,$BA$205^A36,IF(A36='Données projet'!$A$88,'Données projet'!$B$88,BD35+BC36-BL35)))</f>
        <v>36.153846153846146</v>
      </c>
      <c r="BE36" s="13">
        <f>BD36*VLOOKUP('Données projet'!$B$11,Paramètres!$A$1:$I$89,3,0)*VLOOKUP('Données projet'!$B$11,Paramètres!$A$1:$I$89,5,0)</f>
        <v>34.967999999999996</v>
      </c>
      <c r="BF36" s="13">
        <f t="shared" si="37"/>
        <v>10.654659569561517</v>
      </c>
      <c r="BG36" s="20">
        <f t="shared" si="7"/>
        <v>79.459465416986305</v>
      </c>
      <c r="BH36" s="59">
        <f t="shared" si="8"/>
        <v>364.04587587552487</v>
      </c>
      <c r="BI36" s="59">
        <f ca="1">AVERAGE(OFFSET($BH$3,0,0,'Données projet'!$E$11+1,1))-AVERAGE(OFFSET($H$3,0,0,'Données projet'!$E$11+1,1))</f>
        <v>177.54241137663234</v>
      </c>
      <c r="BJ36" s="59">
        <f t="shared" si="38"/>
        <v>114.71095021456071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3.4219772684030225</v>
      </c>
      <c r="BR36" s="21">
        <f>EXP(-LN(2)/2)*BR35+(1-EXP(-LN(2)/2))/(LN(2)/2)*BL36*BO36*VLOOKUP('Données projet'!$B$11,Paramètres!$A$1:$I$89,3,0)*0.475*44/12</f>
        <v>0.39672944495027324</v>
      </c>
      <c r="BS36" s="22">
        <f t="shared" si="9"/>
        <v>3.8187067133532957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2.4358974358974343</v>
      </c>
      <c r="BY36" s="12">
        <f>IF('Données projet'!$A$114&gt;35,BY35+BX36-CG35,IF(A36&lt;'Données projet'!$A$114,$BV$205^A36,IF(A36='Données projet'!$A$114,'Données projet'!$B$114,BY35+BX36-CG35)))</f>
        <v>36.153846153846146</v>
      </c>
      <c r="BZ36" s="13">
        <f>BY36*VLOOKUP('Données projet'!$B$12,Paramètres!$A$1:$I$89,3,0)*VLOOKUP('Données projet'!$B$12,Paramètres!$A$1:$I$89,5,0)</f>
        <v>38.91599999999999</v>
      </c>
      <c r="CA36" s="13">
        <f t="shared" si="39"/>
        <v>11.710874792714328</v>
      </c>
      <c r="CB36" s="20">
        <f t="shared" si="10"/>
        <v>88.17514026397744</v>
      </c>
      <c r="CC36" s="59">
        <f t="shared" si="11"/>
        <v>372.76155072251601</v>
      </c>
      <c r="CD36" s="59">
        <f ca="1">AVERAGE(OFFSET($CC$3,0,0,'Données projet'!$E$12+1,1))-AVERAGE(OFFSET($H$3,0,0,'Données projet'!$E$12+1,1))</f>
        <v>192.88977161349993</v>
      </c>
      <c r="CE36" s="59">
        <f t="shared" si="40"/>
        <v>122.91376861456772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3.8083295406420743</v>
      </c>
      <c r="CM36" s="21">
        <f>EXP(-LN(2)/2)*CM35+(1-EXP(-LN(2)/2))/(LN(2)/2)*CG36*CJ36*VLOOKUP('Données projet'!$B$12,Paramètres!$A$1:$I$89,3,0)*0.475*44/12</f>
        <v>0.44152147905756217</v>
      </c>
      <c r="CN36" s="22">
        <f t="shared" si="12"/>
        <v>4.2498510196996362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3.0769230769230775</v>
      </c>
      <c r="CT36" s="12">
        <f>IF('Données projet'!$A$140&gt;35,CT35+CS36-DB35,IF(A36&lt;'Données projet'!$A$140,$CQ$205^A36,IF(A36='Données projet'!$A$140,'Données projet'!$B$140,CT35+CS36-DB35)))</f>
        <v>57.307692307692299</v>
      </c>
      <c r="CU36" s="17">
        <f>CT36*VLOOKUP('Données projet'!$B$13,Paramètres!$A$1:$I$89,3,0)*VLOOKUP('Données projet'!$B$13,Paramètres!$A$1:$I$89,5,0)</f>
        <v>46.488</v>
      </c>
      <c r="CV36" s="13">
        <f t="shared" si="41"/>
        <v>13.70296192228238</v>
      </c>
      <c r="CW36" s="20">
        <f t="shared" si="13"/>
        <v>104.83259201464182</v>
      </c>
      <c r="CX36" s="59">
        <f t="shared" si="14"/>
        <v>389.4190024731804</v>
      </c>
      <c r="CY36" s="59">
        <f ca="1">AVERAGE(OFFSET($CX$3,0,0,'Données projet'!$E$13+1,1))-AVERAGE(OFFSET($H$3,0,0,'Données projet'!$E$13+1,1))</f>
        <v>163.16040389635825</v>
      </c>
      <c r="CZ36" s="59">
        <f t="shared" si="42"/>
        <v>138.57856782158811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1.2905458940976815</v>
      </c>
      <c r="DH36" s="21">
        <f>EXP(-LN(2)/2)*DH35+(1-EXP(-LN(2)/2))/(LN(2)/2)*DB36*DE36*VLOOKUP('Données projet'!$B$13,Paramètres!$A$1:$I$89,3,0)*0.475*44/12</f>
        <v>0.46382298278381651</v>
      </c>
      <c r="DI36" s="22">
        <f t="shared" si="15"/>
        <v>1.754368876881498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7.7715686274509812</v>
      </c>
      <c r="DO36" s="12">
        <f>IF('Données projet'!$A$166&gt;35,DO35+DN36-DW35,IF(A36&lt;'Données projet'!$A$166,$DL$205^A36,IF(A36='Données projet'!$A$166,'Données projet'!$B$166,DO35+DN36-DW35)))</f>
        <v>256.46176470588244</v>
      </c>
      <c r="DP36" s="17">
        <f>DO36*VLOOKUP('Données projet'!$B$14,Paramètres!$A$1:$I$89,3,0)*VLOOKUP('Données projet'!$B$14,Paramètres!$A$1:$I$89,5,0)</f>
        <v>120.02410588235298</v>
      </c>
      <c r="DQ36" s="13">
        <f t="shared" si="43"/>
        <v>31.680621529590983</v>
      </c>
      <c r="DR36" s="20">
        <f t="shared" si="16"/>
        <v>264.21906690913573</v>
      </c>
      <c r="DS36" s="59">
        <f t="shared" si="17"/>
        <v>548.80547736767426</v>
      </c>
      <c r="DT36" s="59">
        <f ca="1">AVERAGE(OFFSET($DS$3,0,0,'Données projet'!$E$14+1,1))-AVERAGE(OFFSET($H$3,0,0,'Données projet'!$E$14+1,1))</f>
        <v>343.44193069803498</v>
      </c>
      <c r="DU36" s="59">
        <f t="shared" si="44"/>
        <v>280.67367019483481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4.7435897435897445</v>
      </c>
      <c r="EJ36" s="12">
        <f>IF('Données projet'!$A$192&gt;35,EJ35+EI36-ER35,IF(A36&lt;'Données projet'!$A$192,$EG$205^A36,IF(A36='Données projet'!$A$192,'Données projet'!$B$192,EJ35+EI36-ER35)))</f>
        <v>66.794871794871824</v>
      </c>
      <c r="EK36" s="17">
        <f>EJ36*VLOOKUP('Données projet'!$B$15,Paramètres!$A$1:$I$89,3,0)*VLOOKUP('Données projet'!$B$15,Paramètres!$A$1:$I$89,5,0)</f>
        <v>67.730000000000032</v>
      </c>
      <c r="EL36" s="13">
        <f t="shared" si="45"/>
        <v>19.108659567559794</v>
      </c>
      <c r="EM36" s="20">
        <f t="shared" si="19"/>
        <v>151.24399874683334</v>
      </c>
      <c r="EN36" s="59">
        <f t="shared" si="20"/>
        <v>435.83040920537189</v>
      </c>
      <c r="EO36" s="59">
        <f ca="1">AVERAGE(OFFSET($EN$3,0,0,'Données projet'!$E$15+1,1))-AVERAGE(OFFSET($H$3,0,0,'Données projet'!$E$15+1,1))</f>
        <v>270.0029254736703</v>
      </c>
      <c r="EP36" s="59">
        <f t="shared" si="46"/>
        <v>183.80022202211441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8.6986774150791994</v>
      </c>
      <c r="EX36" s="21">
        <f>EXP(-LN(2)/2)*EX35+(1-EXP(-LN(2)/2))/(LN(2)/2)*ER36*EU36*VLOOKUP('Données projet'!$B$15,Paramètres!$A$1:$I$89,3,0)*0.475*44/12</f>
        <v>0.86712709692840306</v>
      </c>
      <c r="EY36" s="22">
        <f t="shared" si="21"/>
        <v>9.5658045120076025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150.4</v>
      </c>
      <c r="FF36" s="17">
        <f>FE36*VLOOKUP('Données projet'!$B$16,Paramètres!$A$1:$I$89,3,0)*VLOOKUP('Données projet'!$B$16,Paramètres!$A$1:$I$89,5,0)</f>
        <v>131.38944000000004</v>
      </c>
      <c r="FG36" s="13">
        <f t="shared" si="47"/>
        <v>34.317219199328761</v>
      </c>
      <c r="FH36" s="20">
        <f t="shared" si="22"/>
        <v>288.60576477216426</v>
      </c>
      <c r="FI36" s="59">
        <f t="shared" si="23"/>
        <v>573.19217523070279</v>
      </c>
      <c r="FJ36" s="59">
        <f ca="1">AVERAGE(OFFSET($FI$3,0,0,'Données projet'!$E$16+1,1))-AVERAGE(OFFSET($H$3,0,0,'Données projet'!$E$16+1,1))</f>
        <v>328.93328163316073</v>
      </c>
      <c r="FK36" s="59">
        <f t="shared" si="48"/>
        <v>320.27831321887072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9.7922446870445139</v>
      </c>
      <c r="FS36" s="21">
        <f>EXP(-LN(2)/2)*FS35+(1-EXP(-LN(2)/2))/(LN(2)/2)*FM36*FP36*VLOOKUP('Données projet'!$B$16,Paramètres!$A$1:$I$89,3,0)*0.475*44/12</f>
        <v>2.4703536643163271</v>
      </c>
      <c r="FT36" s="22">
        <f t="shared" si="24"/>
        <v>12.262598351360841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4.7435897435897445</v>
      </c>
      <c r="FZ36" s="12">
        <f>IF('Données projet'!$A$244&gt;35,FZ35+FY36-GH35,IF(A36&lt;'Données projet'!$A$244,$FW$205^A36,IF(A36='Données projet'!$A$244,'Données projet'!$B$244,FZ35+FY36-GH35)))</f>
        <v>66.794871794871824</v>
      </c>
      <c r="GA36" s="17">
        <f>FZ36*VLOOKUP('Données projet'!$B$17,Paramètres!$A$1:$I$89,3,0)*VLOOKUP('Données projet'!$B$17,Paramètres!$A$1:$I$89,5,0)</f>
        <v>44.806000000000019</v>
      </c>
      <c r="GB36" s="13">
        <f t="shared" si="49"/>
        <v>13.263944887681435</v>
      </c>
      <c r="GC36" s="20">
        <f t="shared" si="25"/>
        <v>101.13848734604518</v>
      </c>
      <c r="GD36" s="59">
        <f t="shared" si="26"/>
        <v>385.72489780458375</v>
      </c>
      <c r="GE36" s="59">
        <f ca="1">AVERAGE(OFFSET($GD$3,0,0,'Données projet'!$E$17+1,1))-AVERAGE(OFFSET($H$3,0,0,'Données projet'!$E$17+1,1))</f>
        <v>192.88444860121191</v>
      </c>
      <c r="GF36" s="59">
        <f t="shared" si="50"/>
        <v>136.13737493732751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7.0927677384491918</v>
      </c>
      <c r="GN36" s="21">
        <f>EXP(-LN(2)/2)*GN35+(1-EXP(-LN(2)/2))/(LN(2)/2)*GH36*GK36*VLOOKUP('Données projet'!$B$17,Paramètres!$A$1:$I$89,3,0)*0.475*44/12</f>
        <v>0.57363792566032812</v>
      </c>
      <c r="GO36" s="21">
        <f t="shared" si="27"/>
        <v>7.6664056641095204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67.614475579601432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0.85000000000000009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3.1166666666666671</v>
      </c>
      <c r="H37" s="67">
        <f t="shared" si="1"/>
        <v>244.19999999999996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561.68563333287511</v>
      </c>
      <c r="S37" s="59">
        <f ca="1">AVERAGE(OFFSET($R$3,0,0,'Données projet'!$E$9+1,1))-AVERAGE(OFFSET($H$3,0,0,'Données projet'!$E$9+1,1))</f>
        <v>643.492472896403</v>
      </c>
      <c r="T37" s="59">
        <f t="shared" si="34"/>
        <v>285.0259479655341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</v>
      </c>
      <c r="AI37" s="13">
        <f>IF('Données projet'!$A$62&gt;35,AI36+AH37-AQ36,IF(A37&lt;'Données projet'!$A$62,$AF$205^A37,IF(A37='Données projet'!$A$62,'Données projet'!$B$62,AI36+AH37-AQ36)))</f>
        <v>158</v>
      </c>
      <c r="AJ37" s="13">
        <f>AI37*VLOOKUP('Données projet'!$B$10,Paramètres!$A$1:$I$89,3,0)*VLOOKUP('Données projet'!$B$10,Paramètres!$A$1:$I$89,5,0)</f>
        <v>123.24000000000001</v>
      </c>
      <c r="AK37" s="13">
        <f t="shared" si="35"/>
        <v>32.429500380369085</v>
      </c>
      <c r="AL37" s="20">
        <f t="shared" si="4"/>
        <v>271.12437982914287</v>
      </c>
      <c r="AM37" s="59">
        <f t="shared" si="5"/>
        <v>555.86252984436919</v>
      </c>
      <c r="AN37" s="59">
        <f ca="1">AVERAGE(OFFSET($AM$3,0,0,'Données projet'!$E$10+1,1))-AVERAGE(OFFSET($H$3,0,0,'Données projet'!$E$10+1,1))</f>
        <v>289.89907502443873</v>
      </c>
      <c r="AO37" s="59">
        <f t="shared" si="36"/>
        <v>267.42183550360301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4.8239412135491024</v>
      </c>
      <c r="AW37" s="21">
        <f>EXP(-LN(2)/2)*AW36+(1-EXP(-LN(2)/2))/(LN(2)/2)*AQ37*AT37*VLOOKUP('Données projet'!$B$10,Paramètres!$A$1:$I$89,3,0)*0.475*44/12</f>
        <v>1.7915690838546952</v>
      </c>
      <c r="AX37" s="21">
        <f t="shared" si="6"/>
        <v>6.615510297403798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2.4358974358974343</v>
      </c>
      <c r="BD37" s="12">
        <f>IF('Données projet'!$A$88&gt;35,BD36+BC37-BL36,IF(A37&lt;'Données projet'!$A$88,$BA$205^A37,IF(A37='Données projet'!$A$88,'Données projet'!$B$88,BD36+BC37-BL36)))</f>
        <v>38.589743589743577</v>
      </c>
      <c r="BE37" s="13">
        <f>BD37*VLOOKUP('Données projet'!$B$11,Paramètres!$A$1:$I$89,3,0)*VLOOKUP('Données projet'!$B$11,Paramètres!$A$1:$I$89,5,0)</f>
        <v>37.323999999999991</v>
      </c>
      <c r="BF37" s="13">
        <f t="shared" si="37"/>
        <v>11.286539904062446</v>
      </c>
      <c r="BG37" s="20">
        <f t="shared" si="7"/>
        <v>84.663356999575399</v>
      </c>
      <c r="BH37" s="59">
        <f t="shared" si="8"/>
        <v>369.40150701480167</v>
      </c>
      <c r="BI37" s="59">
        <f ca="1">AVERAGE(OFFSET($BH$3,0,0,'Données projet'!$E$11+1,1))-AVERAGE(OFFSET($H$3,0,0,'Données projet'!$E$11+1,1))</f>
        <v>177.54241137663234</v>
      </c>
      <c r="BJ37" s="59">
        <f t="shared" si="38"/>
        <v>114.71095021456071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3.3284031200445785</v>
      </c>
      <c r="BR37" s="21">
        <f>EXP(-LN(2)/2)*BR36+(1-EXP(-LN(2)/2))/(LN(2)/2)*BL37*BO37*VLOOKUP('Données projet'!$B$11,Paramètres!$A$1:$I$89,3,0)*0.475*44/12</f>
        <v>0.28053008082071335</v>
      </c>
      <c r="BS37" s="22">
        <f t="shared" si="9"/>
        <v>3.6089332008652919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2.4358974358974343</v>
      </c>
      <c r="BY37" s="12">
        <f>IF('Données projet'!$A$114&gt;35,BY36+BX37-CG36,IF(A37&lt;'Données projet'!$A$114,$BV$205^A37,IF(A37='Données projet'!$A$114,'Données projet'!$B$114,BY36+BX37-CG36)))</f>
        <v>38.589743589743577</v>
      </c>
      <c r="BZ37" s="13">
        <f>BY37*VLOOKUP('Données projet'!$B$12,Paramètres!$A$1:$I$89,3,0)*VLOOKUP('Données projet'!$B$12,Paramètres!$A$1:$I$89,5,0)</f>
        <v>41.537999999999982</v>
      </c>
      <c r="CA37" s="13">
        <f t="shared" si="39"/>
        <v>12.405394540905903</v>
      </c>
      <c r="CB37" s="20">
        <f t="shared" si="10"/>
        <v>93.951412158744404</v>
      </c>
      <c r="CC37" s="59">
        <f t="shared" si="11"/>
        <v>378.68956217397067</v>
      </c>
      <c r="CD37" s="59">
        <f ca="1">AVERAGE(OFFSET($CC$3,0,0,'Données projet'!$E$12+1,1))-AVERAGE(OFFSET($H$3,0,0,'Données projet'!$E$12+1,1))</f>
        <v>192.88977161349993</v>
      </c>
      <c r="CE37" s="59">
        <f t="shared" si="40"/>
        <v>122.91376861456772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3.7041905690818702</v>
      </c>
      <c r="CM37" s="21">
        <f>EXP(-LN(2)/2)*CM36+(1-EXP(-LN(2)/2))/(LN(2)/2)*CG37*CJ37*VLOOKUP('Données projet'!$B$12,Paramètres!$A$1:$I$89,3,0)*0.475*44/12</f>
        <v>0.31220283188111647</v>
      </c>
      <c r="CN37" s="22">
        <f t="shared" si="12"/>
        <v>4.0163934009629862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3.0769230769230775</v>
      </c>
      <c r="CT37" s="12">
        <f>IF('Données projet'!$A$140&gt;35,CT36+CS37-DB36,IF(A37&lt;'Données projet'!$A$140,$CQ$205^A37,IF(A37='Données projet'!$A$140,'Données projet'!$B$140,CT36+CS37-DB36)))</f>
        <v>60.38461538461538</v>
      </c>
      <c r="CU37" s="17">
        <f>CT37*VLOOKUP('Données projet'!$B$13,Paramètres!$A$1:$I$89,3,0)*VLOOKUP('Données projet'!$B$13,Paramètres!$A$1:$I$89,5,0)</f>
        <v>48.984000000000002</v>
      </c>
      <c r="CV37" s="13">
        <f t="shared" si="41"/>
        <v>14.351060556422677</v>
      </c>
      <c r="CW37" s="20">
        <f t="shared" si="13"/>
        <v>110.30856380243615</v>
      </c>
      <c r="CX37" s="59">
        <f t="shared" si="14"/>
        <v>395.04671381766241</v>
      </c>
      <c r="CY37" s="59">
        <f ca="1">AVERAGE(OFFSET($CX$3,0,0,'Données projet'!$E$13+1,1))-AVERAGE(OFFSET($H$3,0,0,'Données projet'!$E$13+1,1))</f>
        <v>163.16040389635825</v>
      </c>
      <c r="CZ37" s="59">
        <f t="shared" si="42"/>
        <v>138.57856782158811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1.2552558487567214</v>
      </c>
      <c r="DH37" s="21">
        <f>EXP(-LN(2)/2)*DH36+(1-EXP(-LN(2)/2))/(LN(2)/2)*DB37*DE37*VLOOKUP('Données projet'!$B$13,Paramètres!$A$1:$I$89,3,0)*0.475*44/12</f>
        <v>0.32797237639660798</v>
      </c>
      <c r="DI37" s="22">
        <f t="shared" si="15"/>
        <v>1.5832282251533294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7.7715686274509812</v>
      </c>
      <c r="DO37" s="12">
        <f>IF('Données projet'!$A$166&gt;35,DO36+DN37-DW36,IF(A37&lt;'Données projet'!$A$166,$DL$205^A37,IF(A37='Données projet'!$A$166,'Données projet'!$B$166,DO36+DN37-DW36)))</f>
        <v>264.23333333333341</v>
      </c>
      <c r="DP37" s="17">
        <f>DO37*VLOOKUP('Données projet'!$B$14,Paramètres!$A$1:$I$89,3,0)*VLOOKUP('Données projet'!$B$14,Paramètres!$A$1:$I$89,5,0)</f>
        <v>123.66120000000004</v>
      </c>
      <c r="DQ37" s="13">
        <f t="shared" si="43"/>
        <v>32.527414732098869</v>
      </c>
      <c r="DR37" s="20">
        <f t="shared" si="16"/>
        <v>272.02850399173889</v>
      </c>
      <c r="DS37" s="59">
        <f t="shared" si="17"/>
        <v>556.76665400696515</v>
      </c>
      <c r="DT37" s="59">
        <f ca="1">AVERAGE(OFFSET($DS$3,0,0,'Données projet'!$E$14+1,1))-AVERAGE(OFFSET($H$3,0,0,'Données projet'!$E$14+1,1))</f>
        <v>343.44193069803498</v>
      </c>
      <c r="DU37" s="59">
        <f t="shared" si="44"/>
        <v>280.67367019483481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4.7435897435897445</v>
      </c>
      <c r="EJ37" s="12">
        <f>IF('Données projet'!$A$192&gt;35,EJ36+EI37-ER36,IF(A37&lt;'Données projet'!$A$192,$EG$205^A37,IF(A37='Données projet'!$A$192,'Données projet'!$B$192,EJ36+EI37-ER36)))</f>
        <v>71.538461538461576</v>
      </c>
      <c r="EK37" s="17">
        <f>EJ37*VLOOKUP('Données projet'!$B$15,Paramètres!$A$1:$I$89,3,0)*VLOOKUP('Données projet'!$B$15,Paramètres!$A$1:$I$89,5,0)</f>
        <v>72.540000000000049</v>
      </c>
      <c r="EL37" s="13">
        <f t="shared" si="45"/>
        <v>20.302914660456807</v>
      </c>
      <c r="EM37" s="20">
        <f t="shared" si="19"/>
        <v>161.7014097002957</v>
      </c>
      <c r="EN37" s="59">
        <f t="shared" si="20"/>
        <v>446.43955971552197</v>
      </c>
      <c r="EO37" s="59">
        <f ca="1">AVERAGE(OFFSET($EN$3,0,0,'Données projet'!$E$15+1,1))-AVERAGE(OFFSET($H$3,0,0,'Données projet'!$E$15+1,1))</f>
        <v>270.0029254736703</v>
      </c>
      <c r="EP37" s="59">
        <f t="shared" si="46"/>
        <v>183.80022202211441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8.4608116237202946</v>
      </c>
      <c r="EX37" s="21">
        <f>EXP(-LN(2)/2)*EX36+(1-EXP(-LN(2)/2))/(LN(2)/2)*ER37*EU37*VLOOKUP('Données projet'!$B$15,Paramètres!$A$1:$I$89,3,0)*0.475*44/12</f>
        <v>0.61315145038867858</v>
      </c>
      <c r="EY37" s="22">
        <f t="shared" si="21"/>
        <v>9.0739630741089741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161.20000000000002</v>
      </c>
      <c r="FF37" s="17">
        <f>FE37*VLOOKUP('Données projet'!$B$16,Paramètres!$A$1:$I$89,3,0)*VLOOKUP('Données projet'!$B$16,Paramètres!$A$1:$I$89,5,0)</f>
        <v>140.82432000000003</v>
      </c>
      <c r="FG37" s="13">
        <f t="shared" si="47"/>
        <v>36.485781060837802</v>
      </c>
      <c r="FH37" s="20">
        <f t="shared" si="22"/>
        <v>308.81509268095925</v>
      </c>
      <c r="FI37" s="59">
        <f t="shared" si="23"/>
        <v>593.55324269618552</v>
      </c>
      <c r="FJ37" s="59">
        <f ca="1">AVERAGE(OFFSET($FI$3,0,0,'Données projet'!$E$16+1,1))-AVERAGE(OFFSET($H$3,0,0,'Données projet'!$E$16+1,1))</f>
        <v>328.93328163316073</v>
      </c>
      <c r="FK37" s="59">
        <f t="shared" si="48"/>
        <v>320.27831321887072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9.5244752411255149</v>
      </c>
      <c r="FS37" s="21">
        <f>EXP(-LN(2)/2)*FS36+(1-EXP(-LN(2)/2))/(LN(2)/2)*FM37*FP37*VLOOKUP('Données projet'!$B$16,Paramètres!$A$1:$I$89,3,0)*0.475*44/12</f>
        <v>1.746803827967111</v>
      </c>
      <c r="FT37" s="22">
        <f t="shared" si="24"/>
        <v>11.271279069092627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4.7435897435897445</v>
      </c>
      <c r="FZ37" s="12">
        <f>IF('Données projet'!$A$244&gt;35,FZ36+FY37-GH36,IF(A37&lt;'Données projet'!$A$244,$FW$205^A37,IF(A37='Données projet'!$A$244,'Données projet'!$B$244,FZ36+FY37-GH36)))</f>
        <v>71.538461538461576</v>
      </c>
      <c r="GA37" s="17">
        <f>FZ37*VLOOKUP('Données projet'!$B$17,Paramètres!$A$1:$I$89,3,0)*VLOOKUP('Données projet'!$B$17,Paramètres!$A$1:$I$89,5,0)</f>
        <v>47.988000000000028</v>
      </c>
      <c r="GB37" s="13">
        <f t="shared" si="49"/>
        <v>14.092916364095769</v>
      </c>
      <c r="GC37" s="20">
        <f t="shared" si="25"/>
        <v>108.12426266746684</v>
      </c>
      <c r="GD37" s="59">
        <f t="shared" si="26"/>
        <v>392.8624126826931</v>
      </c>
      <c r="GE37" s="59">
        <f ca="1">AVERAGE(OFFSET($GD$3,0,0,'Données projet'!$E$17+1,1))-AVERAGE(OFFSET($H$3,0,0,'Données projet'!$E$17+1,1))</f>
        <v>192.88444860121191</v>
      </c>
      <c r="GF37" s="59">
        <f t="shared" si="50"/>
        <v>136.13737493732751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6.898815631648854</v>
      </c>
      <c r="GN37" s="21">
        <f>EXP(-LN(2)/2)*GN36+(1-EXP(-LN(2)/2))/(LN(2)/2)*GH37*GK37*VLOOKUP('Données projet'!$B$17,Paramètres!$A$1:$I$89,3,0)*0.475*44/12</f>
        <v>0.4056232671802027</v>
      </c>
      <c r="GO37" s="21">
        <f t="shared" si="27"/>
        <v>7.3044388988290567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67.655859095061714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0.85000000000000009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3.1166666666666671</v>
      </c>
      <c r="H38" s="67">
        <f t="shared" si="1"/>
        <v>244.19999999999996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569.78059833489669</v>
      </c>
      <c r="S38" s="59">
        <f ca="1">AVERAGE(OFFSET($R$3,0,0,'Données projet'!$E$9+1,1))-AVERAGE(OFFSET($H$3,0,0,'Données projet'!$E$9+1,1))</f>
        <v>643.492472896403</v>
      </c>
      <c r="T38" s="59">
        <f t="shared" si="34"/>
        <v>285.0259479655341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173</v>
      </c>
      <c r="AG38" s="12">
        <f>VLOOKUP(A38,'Données projet'!$A$61:$I$81,9,0)</f>
        <v>15</v>
      </c>
      <c r="AH38" s="12">
        <f t="array" ref="AH38">INDEX(AG:AG,MIN(IF(ISNUMBER(AG38:AG234),ROW(AG38:AG234),"")))</f>
        <v>15</v>
      </c>
      <c r="AI38" s="13">
        <f>IF('Données projet'!$A$62&gt;35,AI37+AH38-AQ37,IF(A38&lt;'Données projet'!$A$62,$AF$205^A38,IF(A38='Données projet'!$A$62,'Données projet'!$B$62,AI37+AH38-AQ37)))</f>
        <v>173</v>
      </c>
      <c r="AJ38" s="13">
        <f>AI38*VLOOKUP('Données projet'!$B$10,Paramètres!$A$1:$I$89,3,0)*VLOOKUP('Données projet'!$B$10,Paramètres!$A$1:$I$89,5,0)</f>
        <v>134.94</v>
      </c>
      <c r="AK38" s="13">
        <f t="shared" si="35"/>
        <v>35.135358771568036</v>
      </c>
      <c r="AL38" s="20">
        <f t="shared" si="4"/>
        <v>296.21458319381429</v>
      </c>
      <c r="AM38" s="59">
        <f t="shared" si="5"/>
        <v>581.10184042365859</v>
      </c>
      <c r="AN38" s="59">
        <f ca="1">AVERAGE(OFFSET($AM$3,0,0,'Données projet'!$E$10+1,1))-AVERAGE(OFFSET($H$3,0,0,'Données projet'!$E$10+1,1))</f>
        <v>289.89907502443873</v>
      </c>
      <c r="AO38" s="59">
        <f t="shared" si="36"/>
        <v>267.42183550360301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27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0.1075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7.1849057528193843</v>
      </c>
      <c r="AW38" s="21">
        <f>EXP(-LN(2)/2)*AW37+(1-EXP(-LN(2)/2))/(LN(2)/2)*AQ38*AT38*VLOOKUP('Données projet'!$B$10,Paramètres!$A$1:$I$89,3,0)*0.475*44/12</f>
        <v>6.2344998535551959</v>
      </c>
      <c r="AX38" s="21">
        <f t="shared" si="6"/>
        <v>13.41940560637458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41.025641025641022</v>
      </c>
      <c r="BB38" s="12">
        <f>VLOOKUP(A38,'Données projet'!$A$87:$I$107,9,0)</f>
        <v>2.4358974358974343</v>
      </c>
      <c r="BC38" s="12">
        <f t="array" ref="BC38">INDEX(BB:BB,MIN(IF(ISNUMBER(BB38:BB234),ROW(BB38:BB234),"")))</f>
        <v>2.4358974358974343</v>
      </c>
      <c r="BD38" s="12">
        <f>IF('Données projet'!$A$88&gt;35,BD37+BC38-BL37,IF(A38&lt;'Données projet'!$A$88,$BA$205^A38,IF(A38='Données projet'!$A$88,'Données projet'!$B$88,BD37+BC38-BL37)))</f>
        <v>41.025641025641008</v>
      </c>
      <c r="BE38" s="13">
        <f>BD38*VLOOKUP('Données projet'!$B$11,Paramètres!$A$1:$I$89,3,0)*VLOOKUP('Données projet'!$B$11,Paramètres!$A$1:$I$89,5,0)</f>
        <v>39.679999999999986</v>
      </c>
      <c r="BF38" s="13">
        <f t="shared" si="37"/>
        <v>11.913791263030925</v>
      </c>
      <c r="BG38" s="20">
        <f t="shared" si="7"/>
        <v>89.859186449778818</v>
      </c>
      <c r="BH38" s="59">
        <f t="shared" si="8"/>
        <v>374.74644367962316</v>
      </c>
      <c r="BI38" s="59">
        <f ca="1">AVERAGE(OFFSET($BH$3,0,0,'Données projet'!$E$11+1,1))-AVERAGE(OFFSET($H$3,0,0,'Données projet'!$E$11+1,1))</f>
        <v>177.54241137663234</v>
      </c>
      <c r="BJ38" s="59">
        <f t="shared" si="38"/>
        <v>114.71095021456071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5.7692307692307692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0.34400000000000003</v>
      </c>
      <c r="BO38" s="16">
        <f>IF(ISNA(VLOOKUP(A38,'Données projet'!$A$87:$I$107,7,0)),0%,VLOOKUP(A38,'Données projet'!$A$87:$I$107,7,0))</f>
        <v>0.2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5.3510052503360228</v>
      </c>
      <c r="BR38" s="21">
        <f>EXP(-LN(2)/2)*BR37+(1-EXP(-LN(2)/2))/(LN(2)/2)*BL38*BO38*VLOOKUP('Données projet'!$B$11,Paramètres!$A$1:$I$89,3,0)*0.475*44/12</f>
        <v>1.2513407591747499</v>
      </c>
      <c r="BS38" s="22">
        <f t="shared" si="9"/>
        <v>6.6023460095107724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41.025641025641022</v>
      </c>
      <c r="BW38" s="12">
        <f>VLOOKUP(A38,'Données projet'!$A$113:$I$133,9,0)</f>
        <v>2.4358974358974343</v>
      </c>
      <c r="BX38" s="12">
        <f t="array" ref="BX38">INDEX(BW:BW,MIN(IF(ISNUMBER(BW38:BW234),ROW(BW38:BW234),"")))</f>
        <v>2.4358974358974343</v>
      </c>
      <c r="BY38" s="12">
        <f>IF('Données projet'!$A$114&gt;35,BY37+BX38-CG37,IF(A38&lt;'Données projet'!$A$114,$BV$205^A38,IF(A38='Données projet'!$A$114,'Données projet'!$B$114,BY37+BX38-CG37)))</f>
        <v>41.025641025641008</v>
      </c>
      <c r="BZ38" s="13">
        <f>BY38*VLOOKUP('Données projet'!$B$12,Paramètres!$A$1:$I$89,3,0)*VLOOKUP('Données projet'!$B$12,Paramètres!$A$1:$I$89,5,0)</f>
        <v>44.159999999999975</v>
      </c>
      <c r="CA38" s="13">
        <f t="shared" si="39"/>
        <v>13.094826435044038</v>
      </c>
      <c r="CB38" s="20">
        <f t="shared" si="10"/>
        <v>99.718822707701648</v>
      </c>
      <c r="CC38" s="59">
        <f t="shared" si="11"/>
        <v>384.60607993754599</v>
      </c>
      <c r="CD38" s="59">
        <f ca="1">AVERAGE(OFFSET($CC$3,0,0,'Données projet'!$E$12+1,1))-AVERAGE(OFFSET($H$3,0,0,'Données projet'!$E$12+1,1))</f>
        <v>192.88977161349993</v>
      </c>
      <c r="CE38" s="59">
        <f t="shared" si="40"/>
        <v>122.91376861456772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5.7692307692307692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0.34400000000000003</v>
      </c>
      <c r="CJ38" s="16">
        <f>IF(ISNA(VLOOKUP(A38,'Données projet'!$A$113:$I$133,7,0)),0%,VLOOKUP(A38,'Données projet'!$A$113:$I$133,7,0))</f>
        <v>0.2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5.9551510044062201</v>
      </c>
      <c r="CM38" s="21">
        <f>EXP(-LN(2)/2)*CM37+(1-EXP(-LN(2)/2))/(LN(2)/2)*CG38*CJ38*VLOOKUP('Données projet'!$B$12,Paramètres!$A$1:$I$89,3,0)*0.475*44/12</f>
        <v>1.3926211674686735</v>
      </c>
      <c r="CN38" s="22">
        <f t="shared" si="12"/>
        <v>7.3477721718748938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63.46153846153846</v>
      </c>
      <c r="CR38" s="12">
        <f>VLOOKUP(A38,'Données projet'!$A$139:$I$159,9,0)</f>
        <v>3.0769230769230775</v>
      </c>
      <c r="CS38" s="12">
        <f t="array" ref="CS38">INDEX(CR:CR,MIN(IF(ISNUMBER(CR38:CR234),ROW(CR38:CR234),"")))</f>
        <v>3.0769230769230775</v>
      </c>
      <c r="CT38" s="12">
        <f>IF('Données projet'!$A$140&gt;35,CT37+CS38-DB37,IF(A38&lt;'Données projet'!$A$140,$CQ$205^A38,IF(A38='Données projet'!$A$140,'Données projet'!$B$140,CT37+CS38-DB37)))</f>
        <v>63.46153846153846</v>
      </c>
      <c r="CU38" s="17">
        <f>CT38*VLOOKUP('Données projet'!$B$13,Paramètres!$A$1:$I$89,3,0)*VLOOKUP('Données projet'!$B$13,Paramètres!$A$1:$I$89,5,0)</f>
        <v>51.480000000000004</v>
      </c>
      <c r="CV38" s="13">
        <f t="shared" si="41"/>
        <v>14.995324806875232</v>
      </c>
      <c r="CW38" s="20">
        <f t="shared" si="13"/>
        <v>115.77785737197435</v>
      </c>
      <c r="CX38" s="59">
        <f t="shared" si="14"/>
        <v>400.66511460181869</v>
      </c>
      <c r="CY38" s="59">
        <f ca="1">AVERAGE(OFFSET($CX$3,0,0,'Données projet'!$E$13+1,1))-AVERAGE(OFFSET($H$3,0,0,'Données projet'!$E$13+1,1))</f>
        <v>163.16040389635825</v>
      </c>
      <c r="CZ38" s="59">
        <f t="shared" si="42"/>
        <v>138.57856782158811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6.4102564102564097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0.1075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1.8364556178416365</v>
      </c>
      <c r="DH38" s="21">
        <f>EXP(-LN(2)/2)*DH37+(1-EXP(-LN(2)/2))/(LN(2)/2)*DB38*DE38*VLOOKUP('Données projet'!$B$13,Paramètres!$A$1:$I$89,3,0)*0.475*44/12</f>
        <v>1.4584964803789129</v>
      </c>
      <c r="DI38" s="22">
        <f t="shared" si="15"/>
        <v>3.2949520982205494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7.7715686274509812</v>
      </c>
      <c r="DO38" s="12">
        <f>IF('Données projet'!$A$166&gt;35,DO37+DN38-DW37,IF(A38&lt;'Données projet'!$A$166,$DL$205^A38,IF(A38='Données projet'!$A$166,'Données projet'!$B$166,DO37+DN38-DW37)))</f>
        <v>272.00490196078437</v>
      </c>
      <c r="DP38" s="17">
        <f>DO38*VLOOKUP('Données projet'!$B$14,Paramètres!$A$1:$I$89,3,0)*VLOOKUP('Données projet'!$B$14,Paramètres!$A$1:$I$89,5,0)</f>
        <v>127.29829411764709</v>
      </c>
      <c r="DQ38" s="13">
        <f t="shared" si="43"/>
        <v>33.371313429015686</v>
      </c>
      <c r="DR38" s="20">
        <f t="shared" si="16"/>
        <v>279.83289981043765</v>
      </c>
      <c r="DS38" s="59">
        <f t="shared" si="17"/>
        <v>564.72015704028195</v>
      </c>
      <c r="DT38" s="59">
        <f ca="1">AVERAGE(OFFSET($DS$3,0,0,'Données projet'!$E$14+1,1))-AVERAGE(OFFSET($H$3,0,0,'Données projet'!$E$14+1,1))</f>
        <v>343.44193069803498</v>
      </c>
      <c r="DU38" s="59">
        <f t="shared" si="44"/>
        <v>280.67367019483481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76.282051282051285</v>
      </c>
      <c r="EH38" s="12">
        <f>VLOOKUP(A38,'Données projet'!$A$191:$I$211,9,0)</f>
        <v>4.7435897435897445</v>
      </c>
      <c r="EI38" s="12">
        <f t="array" ref="EI38">INDEX(EH:EH,MIN(IF(ISNUMBER(EH38:EH234),ROW(EH38:EH234),"")))</f>
        <v>4.7435897435897445</v>
      </c>
      <c r="EJ38" s="12">
        <f>IF('Données projet'!$A$192&gt;35,EJ37+EI38-ER37,IF(A38&lt;'Données projet'!$A$192,$EG$205^A38,IF(A38='Données projet'!$A$192,'Données projet'!$B$192,EJ37+EI38-ER37)))</f>
        <v>76.282051282051327</v>
      </c>
      <c r="EK38" s="17">
        <f>EJ38*VLOOKUP('Données projet'!$B$15,Paramètres!$A$1:$I$89,3,0)*VLOOKUP('Données projet'!$B$15,Paramètres!$A$1:$I$89,5,0)</f>
        <v>77.350000000000051</v>
      </c>
      <c r="EL38" s="13">
        <f t="shared" si="45"/>
        <v>21.487980533453168</v>
      </c>
      <c r="EM38" s="20">
        <f t="shared" si="19"/>
        <v>172.14281609576435</v>
      </c>
      <c r="EN38" s="59">
        <f t="shared" si="20"/>
        <v>457.03007332560867</v>
      </c>
      <c r="EO38" s="59">
        <f ca="1">AVERAGE(OFFSET($EN$3,0,0,'Données projet'!$E$15+1,1))-AVERAGE(OFFSET($H$3,0,0,'Données projet'!$E$15+1,1))</f>
        <v>270.0029254736703</v>
      </c>
      <c r="EP38" s="59">
        <f t="shared" si="46"/>
        <v>183.80022202211441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12.179487179487179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0.34400000000000003</v>
      </c>
      <c r="EU38" s="16">
        <f>IF(ISNA(VLOOKUP(A38,'Données projet'!$A$191:$I$211,7,0)),0%,VLOOKUP(A38,'Données projet'!$A$191:$I$211,7,0))</f>
        <v>0.2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12.907438812664466</v>
      </c>
      <c r="EX38" s="21">
        <f>EXP(-LN(2)/2)*EX37+(1-EXP(-LN(2)/2))/(LN(2)/2)*ER38*EU38*VLOOKUP('Données projet'!$B$15,Paramètres!$A$1:$I$89,3,0)*0.475*44/12</f>
        <v>2.7640750275395107</v>
      </c>
      <c r="EY38" s="22">
        <f t="shared" si="21"/>
        <v>15.671513840203977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172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172.00000000000003</v>
      </c>
      <c r="FF38" s="17">
        <f>FE38*VLOOKUP('Données projet'!$B$16,Paramètres!$A$1:$I$89,3,0)*VLOOKUP('Données projet'!$B$16,Paramètres!$A$1:$I$89,5,0)</f>
        <v>150.25920000000005</v>
      </c>
      <c r="FG38" s="13">
        <f t="shared" si="47"/>
        <v>38.637483830798729</v>
      </c>
      <c r="FH38" s="20">
        <f t="shared" si="22"/>
        <v>328.99505767197456</v>
      </c>
      <c r="FI38" s="59">
        <f t="shared" si="23"/>
        <v>613.88231490181897</v>
      </c>
      <c r="FJ38" s="59">
        <f ca="1">AVERAGE(OFFSET($FI$3,0,0,'Données projet'!$E$16+1,1))-AVERAGE(OFFSET($H$3,0,0,'Données projet'!$E$16+1,1))</f>
        <v>328.93328163316073</v>
      </c>
      <c r="FK38" s="59">
        <f t="shared" si="48"/>
        <v>320.27831321887072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0.13250000000000001</v>
      </c>
      <c r="FO38" s="16">
        <f>IF(ISNA(VLOOKUP(A38,'Données projet'!$A$217:$I$237,6,0)),0%,VLOOKUP(A38,'Données projet'!$A$217:$I$237,6,0)*VLOOKUP('Données projet'!$B$16,Paramètres!$A$1:$I$89,7,0))</f>
        <v>0.13250000000000001</v>
      </c>
      <c r="FP38" s="16">
        <f>IF(ISNA(VLOOKUP(A38,'Données projet'!$A$217:$I$237,7,0)),0%,VLOOKUP(A38,'Données projet'!$A$217:$I$237,7,0))</f>
        <v>0.25</v>
      </c>
      <c r="FQ38" s="21">
        <f>EXP(-LN(2)/35)*FQ37+(1-EXP(-LN(2)/35))/(LN(2)/35)*FM38*FN38*VLOOKUP('Données projet'!$B$16,Paramètres!$A$1:$I$89,3,0)*0.475*44/12</f>
        <v>3.5828914064075454</v>
      </c>
      <c r="FR38" s="21">
        <f>EXP(-LN(2)/25)*FR37+(1-EXP(-LN(2)/25))/(LN(2)/25)*Calculateur!FM38*Calculateur!FO38*VLOOKUP('Données projet'!$B$16,Paramètres!$A$1:$I$89,3,0)*0.475*44/12</f>
        <v>12.832812162538419</v>
      </c>
      <c r="FS38" s="21">
        <f>EXP(-LN(2)/2)*FS37+(1-EXP(-LN(2)/2))/(LN(2)/2)*FM38*FP38*VLOOKUP('Données projet'!$B$16,Paramètres!$A$1:$I$89,3,0)*0.475*44/12</f>
        <v>7.0050326203530346</v>
      </c>
      <c r="FT38" s="22">
        <f t="shared" si="24"/>
        <v>23.420736189298999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76.282051282051285</v>
      </c>
      <c r="FX38" s="12">
        <f>VLOOKUP(A38,'Données projet'!$A$243:$I$263,9,0)</f>
        <v>4.7435897435897445</v>
      </c>
      <c r="FY38" s="12">
        <f t="array" ref="FY38">INDEX(FX:FX,MIN(IF(ISNUMBER(FX38:FX234),ROW(FX38:FX234),"")))</f>
        <v>4.7435897435897445</v>
      </c>
      <c r="FZ38" s="12">
        <f>IF('Données projet'!$A$244&gt;35,FZ37+FY38-GH37,IF(A38&lt;'Données projet'!$A$244,$FW$205^A38,IF(A38='Données projet'!$A$244,'Données projet'!$B$244,FZ37+FY38-GH37)))</f>
        <v>76.282051282051327</v>
      </c>
      <c r="GA38" s="17">
        <f>FZ38*VLOOKUP('Données projet'!$B$17,Paramètres!$A$1:$I$89,3,0)*VLOOKUP('Données projet'!$B$17,Paramètres!$A$1:$I$89,5,0)</f>
        <v>51.170000000000037</v>
      </c>
      <c r="GB38" s="13">
        <f t="shared" si="49"/>
        <v>14.915509302764322</v>
      </c>
      <c r="GC38" s="20">
        <f t="shared" si="25"/>
        <v>115.09892870231459</v>
      </c>
      <c r="GD38" s="59">
        <f t="shared" si="26"/>
        <v>399.98618593215895</v>
      </c>
      <c r="GE38" s="59">
        <f ca="1">AVERAGE(OFFSET($GD$3,0,0,'Données projet'!$E$17+1,1))-AVERAGE(OFFSET($H$3,0,0,'Données projet'!$E$17+1,1))</f>
        <v>192.88444860121191</v>
      </c>
      <c r="GF38" s="59">
        <f t="shared" si="50"/>
        <v>136.13737493732751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12.179487179487179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0.42400000000000004</v>
      </c>
      <c r="GK38" s="16">
        <f>IF(ISNA(VLOOKUP(A38,'Données projet'!$A$243:$I$263,7,0)),0%,VLOOKUP(A38,'Données projet'!$A$243:$I$263,7,0))</f>
        <v>0.2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10.524527031864871</v>
      </c>
      <c r="GN38" s="21">
        <f>EXP(-LN(2)/2)*GN37+(1-EXP(-LN(2)/2))/(LN(2)/2)*GH38*GK38*VLOOKUP('Données projet'!$B$17,Paramètres!$A$1:$I$89,3,0)*0.475*44/12</f>
        <v>1.8285419412953687</v>
      </c>
      <c r="GO38" s="21">
        <f t="shared" si="27"/>
        <v>12.353068973160239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67.696524699048453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0.85000000000000009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3.1166666666666671</v>
      </c>
      <c r="H39" s="67">
        <f t="shared" si="1"/>
        <v>244.19999999999996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577.86801612494969</v>
      </c>
      <c r="S39" s="59">
        <f ca="1">AVERAGE(OFFSET($R$3,0,0,'Données projet'!$E$9+1,1))-AVERAGE(OFFSET($H$3,0,0,'Données projet'!$E$9+1,1))</f>
        <v>643.492472896403</v>
      </c>
      <c r="T39" s="59">
        <f t="shared" si="34"/>
        <v>285.0259479655341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12.4</v>
      </c>
      <c r="AI39" s="13">
        <f>IF('Données projet'!$A$62&gt;35,AI38+AH39-AQ38,IF(A39&lt;'Données projet'!$A$62,$AF$205^A39,IF(A39='Données projet'!$A$62,'Données projet'!$B$62,AI38+AH39-AQ38)))</f>
        <v>158.4</v>
      </c>
      <c r="AJ39" s="13">
        <f>AI39*VLOOKUP('Données projet'!$B$10,Paramètres!$A$1:$I$89,3,0)*VLOOKUP('Données projet'!$B$10,Paramètres!$A$1:$I$89,5,0)</f>
        <v>123.55200000000001</v>
      </c>
      <c r="AK39" s="13">
        <f t="shared" si="35"/>
        <v>32.502033262579566</v>
      </c>
      <c r="AL39" s="20">
        <f t="shared" si="4"/>
        <v>271.79410793232609</v>
      </c>
      <c r="AM39" s="59">
        <f t="shared" si="5"/>
        <v>556.82788569996865</v>
      </c>
      <c r="AN39" s="59">
        <f ca="1">AVERAGE(OFFSET($AM$3,0,0,'Données projet'!$E$10+1,1))-AVERAGE(OFFSET($H$3,0,0,'Données projet'!$E$10+1,1))</f>
        <v>289.89907502443873</v>
      </c>
      <c r="AO39" s="59">
        <f t="shared" si="36"/>
        <v>267.42183550360301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6.9884341271707662</v>
      </c>
      <c r="AW39" s="21">
        <f>EXP(-LN(2)/2)*AW38+(1-EXP(-LN(2)/2))/(LN(2)/2)*AQ39*AT39*VLOOKUP('Données projet'!$B$10,Paramètres!$A$1:$I$89,3,0)*0.475*44/12</f>
        <v>4.4084571237554169</v>
      </c>
      <c r="AX39" s="21">
        <f t="shared" si="6"/>
        <v>11.396891250926183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2.5641025641025634</v>
      </c>
      <c r="BD39" s="12">
        <f>IF('Données projet'!$A$88&gt;35,BD38+BC39-BL38,IF(A39&lt;'Données projet'!$A$88,$BA$205^A39,IF(A39='Données projet'!$A$88,'Données projet'!$B$88,BD38+BC39-BL38)))</f>
        <v>37.820512820512803</v>
      </c>
      <c r="BE39" s="13">
        <f>BD39*VLOOKUP('Données projet'!$B$11,Paramètres!$A$1:$I$89,3,0)*VLOOKUP('Données projet'!$B$11,Paramètres!$A$1:$I$89,5,0)</f>
        <v>36.579999999999984</v>
      </c>
      <c r="BF39" s="13">
        <f t="shared" si="37"/>
        <v>11.087514459064737</v>
      </c>
      <c r="BG39" s="20">
        <f t="shared" si="7"/>
        <v>83.020921016204383</v>
      </c>
      <c r="BH39" s="59">
        <f t="shared" si="8"/>
        <v>368.0546987838469</v>
      </c>
      <c r="BI39" s="59">
        <f ca="1">AVERAGE(OFFSET($BH$3,0,0,'Données projet'!$E$11+1,1))-AVERAGE(OFFSET($H$3,0,0,'Données projet'!$E$11+1,1))</f>
        <v>177.54241137663234</v>
      </c>
      <c r="BJ39" s="59">
        <f t="shared" si="38"/>
        <v>114.71095021456071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5.2046817303684483</v>
      </c>
      <c r="BR39" s="21">
        <f>EXP(-LN(2)/2)*BR38+(1-EXP(-LN(2)/2))/(LN(2)/2)*BL39*BO39*VLOOKUP('Données projet'!$B$11,Paramètres!$A$1:$I$89,3,0)*0.475*44/12</f>
        <v>0.88483153638758816</v>
      </c>
      <c r="BS39" s="22">
        <f t="shared" si="9"/>
        <v>6.0895132667560361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2.5641025641025634</v>
      </c>
      <c r="BY39" s="12">
        <f>IF('Données projet'!$A$114&gt;35,BY38+BX39-CG38,IF(A39&lt;'Données projet'!$A$114,$BV$205^A39,IF(A39='Données projet'!$A$114,'Données projet'!$B$114,BY38+BX39-CG38)))</f>
        <v>37.820512820512803</v>
      </c>
      <c r="BZ39" s="13">
        <f>BY39*VLOOKUP('Données projet'!$B$12,Paramètres!$A$1:$I$89,3,0)*VLOOKUP('Données projet'!$B$12,Paramètres!$A$1:$I$89,5,0)</f>
        <v>40.70999999999998</v>
      </c>
      <c r="CA39" s="13">
        <f t="shared" si="39"/>
        <v>12.186639351993911</v>
      </c>
      <c r="CB39" s="20">
        <f t="shared" si="10"/>
        <v>92.12831353805602</v>
      </c>
      <c r="CC39" s="59">
        <f t="shared" si="11"/>
        <v>377.16209130569854</v>
      </c>
      <c r="CD39" s="59">
        <f ca="1">AVERAGE(OFFSET($CC$3,0,0,'Données projet'!$E$12+1,1))-AVERAGE(OFFSET($H$3,0,0,'Données projet'!$E$12+1,1))</f>
        <v>192.88977161349993</v>
      </c>
      <c r="CE39" s="59">
        <f t="shared" si="40"/>
        <v>122.91376861456772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5.7923070870229516</v>
      </c>
      <c r="CM39" s="21">
        <f>EXP(-LN(2)/2)*CM38+(1-EXP(-LN(2)/2))/(LN(2)/2)*CG39*CJ39*VLOOKUP('Données projet'!$B$12,Paramètres!$A$1:$I$89,3,0)*0.475*44/12</f>
        <v>0.98473187114102567</v>
      </c>
      <c r="CN39" s="22">
        <f t="shared" si="12"/>
        <v>6.7770389581639776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3.0769230769230758</v>
      </c>
      <c r="CT39" s="12">
        <f>IF('Données projet'!$A$140&gt;35,CT38+CS39-DB38,IF(A39&lt;'Données projet'!$A$140,$CQ$205^A39,IF(A39='Données projet'!$A$140,'Données projet'!$B$140,CT38+CS39-DB38)))</f>
        <v>60.128205128205124</v>
      </c>
      <c r="CU39" s="17">
        <f>CT39*VLOOKUP('Données projet'!$B$13,Paramètres!$A$1:$I$89,3,0)*VLOOKUP('Données projet'!$B$13,Paramètres!$A$1:$I$89,5,0)</f>
        <v>48.776000000000003</v>
      </c>
      <c r="CV39" s="13">
        <f t="shared" si="41"/>
        <v>14.297201805363601</v>
      </c>
      <c r="CW39" s="20">
        <f t="shared" si="13"/>
        <v>109.85249314434161</v>
      </c>
      <c r="CX39" s="59">
        <f t="shared" si="14"/>
        <v>394.88627091198413</v>
      </c>
      <c r="CY39" s="59">
        <f ca="1">AVERAGE(OFFSET($CX$3,0,0,'Données projet'!$E$13+1,1))-AVERAGE(OFFSET($H$3,0,0,'Données projet'!$E$13+1,1))</f>
        <v>163.16040389635825</v>
      </c>
      <c r="CZ39" s="59">
        <f t="shared" si="42"/>
        <v>138.57856782158811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1.7862376423967532</v>
      </c>
      <c r="DH39" s="21">
        <f>EXP(-LN(2)/2)*DH38+(1-EXP(-LN(2)/2))/(LN(2)/2)*DB39*DE39*VLOOKUP('Données projet'!$B$13,Paramètres!$A$1:$I$89,3,0)*0.475*44/12</f>
        <v>1.0313127516126417</v>
      </c>
      <c r="DI39" s="22">
        <f t="shared" si="15"/>
        <v>2.8175503940093947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7.7715686274509812</v>
      </c>
      <c r="DO39" s="12">
        <f>IF('Données projet'!$A$166&gt;35,DO38+DN39-DW38,IF(A39&lt;'Données projet'!$A$166,$DL$205^A39,IF(A39='Données projet'!$A$166,'Données projet'!$B$166,DO38+DN39-DW38)))</f>
        <v>279.77647058823533</v>
      </c>
      <c r="DP39" s="17">
        <f>DO39*VLOOKUP('Données projet'!$B$14,Paramètres!$A$1:$I$89,3,0)*VLOOKUP('Données projet'!$B$14,Paramètres!$A$1:$I$89,5,0)</f>
        <v>130.93538823529414</v>
      </c>
      <c r="DQ39" s="13">
        <f t="shared" si="43"/>
        <v>34.212409818864202</v>
      </c>
      <c r="DR39" s="20">
        <f t="shared" si="16"/>
        <v>287.63241494432572</v>
      </c>
      <c r="DS39" s="59">
        <f t="shared" si="17"/>
        <v>572.66619271196828</v>
      </c>
      <c r="DT39" s="59">
        <f ca="1">AVERAGE(OFFSET($DS$3,0,0,'Données projet'!$E$14+1,1))-AVERAGE(OFFSET($H$3,0,0,'Données projet'!$E$14+1,1))</f>
        <v>343.44193069803498</v>
      </c>
      <c r="DU39" s="59">
        <f t="shared" si="44"/>
        <v>280.67367019483481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4.7435897435897427</v>
      </c>
      <c r="EJ39" s="12">
        <f>IF('Données projet'!$A$192&gt;35,EJ38+EI39-ER38,IF(A39&lt;'Données projet'!$A$192,$EG$205^A39,IF(A39='Données projet'!$A$192,'Données projet'!$B$192,EJ38+EI39-ER38)))</f>
        <v>68.846153846153882</v>
      </c>
      <c r="EK39" s="17">
        <f>EJ39*VLOOKUP('Données projet'!$B$15,Paramètres!$A$1:$I$89,3,0)*VLOOKUP('Données projet'!$B$15,Paramètres!$A$1:$I$89,5,0)</f>
        <v>69.810000000000045</v>
      </c>
      <c r="EL39" s="13">
        <f t="shared" si="45"/>
        <v>19.626266413721869</v>
      </c>
      <c r="EM39" s="20">
        <f t="shared" si="19"/>
        <v>155.76816400389899</v>
      </c>
      <c r="EN39" s="59">
        <f t="shared" si="20"/>
        <v>440.80194177154146</v>
      </c>
      <c r="EO39" s="59">
        <f ca="1">AVERAGE(OFFSET($EN$3,0,0,'Données projet'!$E$15+1,1))-AVERAGE(OFFSET($H$3,0,0,'Données projet'!$E$15+1,1))</f>
        <v>270.0029254736703</v>
      </c>
      <c r="EP39" s="59">
        <f t="shared" si="46"/>
        <v>183.80022202211441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12.55448421955945</v>
      </c>
      <c r="EX39" s="21">
        <f>EXP(-LN(2)/2)*EX38+(1-EXP(-LN(2)/2))/(LN(2)/2)*ER39*EU39*VLOOKUP('Données projet'!$B$15,Paramètres!$A$1:$I$89,3,0)*0.475*44/12</f>
        <v>1.9544961956815812</v>
      </c>
      <c r="EY39" s="22">
        <f t="shared" si="21"/>
        <v>14.508980415241032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153.60000000000002</v>
      </c>
      <c r="FF39" s="17">
        <f>FE39*VLOOKUP('Données projet'!$B$16,Paramètres!$A$1:$I$89,3,0)*VLOOKUP('Données projet'!$B$16,Paramètres!$A$1:$I$89,5,0)</f>
        <v>134.18496000000005</v>
      </c>
      <c r="FG39" s="13">
        <f t="shared" si="47"/>
        <v>34.961590270648216</v>
      </c>
      <c r="FH39" s="20">
        <f t="shared" si="22"/>
        <v>294.59690838804573</v>
      </c>
      <c r="FI39" s="59">
        <f t="shared" si="23"/>
        <v>579.63068615568818</v>
      </c>
      <c r="FJ39" s="59">
        <f ca="1">AVERAGE(OFFSET($FI$3,0,0,'Données projet'!$E$16+1,1))-AVERAGE(OFFSET($H$3,0,0,'Données projet'!$E$16+1,1))</f>
        <v>328.93328163316073</v>
      </c>
      <c r="FK39" s="59">
        <f t="shared" si="48"/>
        <v>320.27831321887072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3.5126330912758661</v>
      </c>
      <c r="FR39" s="21">
        <f>EXP(-LN(2)/25)*FR38+(1-EXP(-LN(2)/25))/(LN(2)/25)*Calculateur!FM39*Calculateur!FO39*VLOOKUP('Données projet'!$B$16,Paramètres!$A$1:$I$89,3,0)*0.475*44/12</f>
        <v>12.481898239105544</v>
      </c>
      <c r="FS39" s="21">
        <f>EXP(-LN(2)/2)*FS38+(1-EXP(-LN(2)/2))/(LN(2)/2)*FM39*FP39*VLOOKUP('Données projet'!$B$16,Paramètres!$A$1:$I$89,3,0)*0.475*44/12</f>
        <v>4.9533060682846015</v>
      </c>
      <c r="FT39" s="22">
        <f t="shared" si="24"/>
        <v>20.94783739866601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4.7435897435897427</v>
      </c>
      <c r="FZ39" s="12">
        <f>IF('Données projet'!$A$244&gt;35,FZ38+FY39-GH38,IF(A39&lt;'Données projet'!$A$244,$FW$205^A39,IF(A39='Données projet'!$A$244,'Données projet'!$B$244,FZ38+FY39-GH38)))</f>
        <v>68.846153846153882</v>
      </c>
      <c r="GA39" s="17">
        <f>FZ39*VLOOKUP('Données projet'!$B$17,Paramètres!$A$1:$I$89,3,0)*VLOOKUP('Données projet'!$B$17,Paramètres!$A$1:$I$89,5,0)</f>
        <v>46.182000000000031</v>
      </c>
      <c r="GB39" s="13">
        <f t="shared" si="49"/>
        <v>13.623232709870488</v>
      </c>
      <c r="GC39" s="20">
        <f t="shared" si="25"/>
        <v>104.16078030302447</v>
      </c>
      <c r="GD39" s="59">
        <f t="shared" si="26"/>
        <v>389.19455807066697</v>
      </c>
      <c r="GE39" s="59">
        <f ca="1">AVERAGE(OFFSET($GD$3,0,0,'Données projet'!$E$17+1,1))-AVERAGE(OFFSET($H$3,0,0,'Données projet'!$E$17+1,1))</f>
        <v>192.88444860121191</v>
      </c>
      <c r="GF39" s="59">
        <f t="shared" si="50"/>
        <v>136.13737493732751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10.236733286717703</v>
      </c>
      <c r="GN39" s="21">
        <f>EXP(-LN(2)/2)*GN38+(1-EXP(-LN(2)/2))/(LN(2)/2)*GH39*GK39*VLOOKUP('Données projet'!$B$17,Paramètres!$A$1:$I$89,3,0)*0.475*44/12</f>
        <v>1.2929744063739692</v>
      </c>
      <c r="GO39" s="21">
        <f t="shared" si="27"/>
        <v>11.529707693091673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67.736484845720682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0.85000000000000009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3.1166666666666671</v>
      </c>
      <c r="H40" s="67">
        <f t="shared" si="1"/>
        <v>244.19999999999996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585.94808519939386</v>
      </c>
      <c r="S40" s="59">
        <f ca="1">AVERAGE(OFFSET($R$3,0,0,'Données projet'!$E$9+1,1))-AVERAGE(OFFSET($H$3,0,0,'Données projet'!$E$9+1,1))</f>
        <v>643.492472896403</v>
      </c>
      <c r="T40" s="59">
        <f t="shared" si="34"/>
        <v>285.0259479655341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12.4</v>
      </c>
      <c r="AI40" s="13">
        <f>IF('Données projet'!$A$62&gt;35,AI39+AH40-AQ39,IF(A40&lt;'Données projet'!$A$62,$AF$205^A40,IF(A40='Données projet'!$A$62,'Données projet'!$B$62,AI39+AH40-AQ39)))</f>
        <v>170.8</v>
      </c>
      <c r="AJ40" s="13">
        <f>AI40*VLOOKUP('Données projet'!$B$10,Paramètres!$A$1:$I$89,3,0)*VLOOKUP('Données projet'!$B$10,Paramètres!$A$1:$I$89,5,0)</f>
        <v>133.22400000000002</v>
      </c>
      <c r="AK40" s="13">
        <f t="shared" si="35"/>
        <v>34.740265606230608</v>
      </c>
      <c r="AL40" s="20">
        <f t="shared" si="4"/>
        <v>292.53776259751834</v>
      </c>
      <c r="AM40" s="59">
        <f t="shared" si="5"/>
        <v>577.71551909919913</v>
      </c>
      <c r="AN40" s="59">
        <f ca="1">AVERAGE(OFFSET($AM$3,0,0,'Données projet'!$E$10+1,1))-AVERAGE(OFFSET($H$3,0,0,'Données projet'!$E$10+1,1))</f>
        <v>289.89907502443873</v>
      </c>
      <c r="AO40" s="59">
        <f t="shared" si="36"/>
        <v>267.42183550360301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6.7973350284575034</v>
      </c>
      <c r="AW40" s="21">
        <f>EXP(-LN(2)/2)*AW39+(1-EXP(-LN(2)/2))/(LN(2)/2)*AQ40*AT40*VLOOKUP('Données projet'!$B$10,Paramètres!$A$1:$I$89,3,0)*0.475*44/12</f>
        <v>3.1172499267775984</v>
      </c>
      <c r="AX40" s="21">
        <f t="shared" si="6"/>
        <v>9.9145849552351013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2.5641025641025634</v>
      </c>
      <c r="BD40" s="12">
        <f>IF('Données projet'!$A$88&gt;35,BD39+BC40-BL39,IF(A40&lt;'Données projet'!$A$88,$BA$205^A40,IF(A40='Données projet'!$A$88,'Données projet'!$B$88,BD39+BC40-BL39)))</f>
        <v>40.384615384615365</v>
      </c>
      <c r="BE40" s="13">
        <f>BD40*VLOOKUP('Données projet'!$B$11,Paramètres!$A$1:$I$89,3,0)*VLOOKUP('Données projet'!$B$11,Paramètres!$A$1:$I$89,5,0)</f>
        <v>39.059999999999981</v>
      </c>
      <c r="BF40" s="13">
        <f t="shared" si="37"/>
        <v>11.749156027061501</v>
      </c>
      <c r="BG40" s="20">
        <f t="shared" si="7"/>
        <v>88.492613413798736</v>
      </c>
      <c r="BH40" s="59">
        <f t="shared" si="8"/>
        <v>373.67036991547951</v>
      </c>
      <c r="BI40" s="59">
        <f ca="1">AVERAGE(OFFSET($BH$3,0,0,'Données projet'!$E$11+1,1))-AVERAGE(OFFSET($H$3,0,0,'Données projet'!$E$11+1,1))</f>
        <v>177.54241137663234</v>
      </c>
      <c r="BJ40" s="59">
        <f t="shared" si="38"/>
        <v>114.71095021456071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5.0623594347492062</v>
      </c>
      <c r="BR40" s="21">
        <f>EXP(-LN(2)/2)*BR39+(1-EXP(-LN(2)/2))/(LN(2)/2)*BL40*BO40*VLOOKUP('Données projet'!$B$11,Paramètres!$A$1:$I$89,3,0)*0.475*44/12</f>
        <v>0.62567037958737504</v>
      </c>
      <c r="BS40" s="22">
        <f t="shared" si="9"/>
        <v>5.6880298143365815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2.5641025641025634</v>
      </c>
      <c r="BY40" s="12">
        <f>IF('Données projet'!$A$114&gt;35,BY39+BX40-CG39,IF(A40&lt;'Données projet'!$A$114,$BV$205^A40,IF(A40='Données projet'!$A$114,'Données projet'!$B$114,BY39+BX40-CG39)))</f>
        <v>40.384615384615365</v>
      </c>
      <c r="BZ40" s="13">
        <f>BY40*VLOOKUP('Données projet'!$B$12,Paramètres!$A$1:$I$89,3,0)*VLOOKUP('Données projet'!$B$12,Paramètres!$A$1:$I$89,5,0)</f>
        <v>43.469999999999978</v>
      </c>
      <c r="CA40" s="13">
        <f t="shared" si="39"/>
        <v>12.913870617326976</v>
      </c>
      <c r="CB40" s="20">
        <f t="shared" si="10"/>
        <v>98.20190799184445</v>
      </c>
      <c r="CC40" s="59">
        <f t="shared" si="11"/>
        <v>383.37966449352524</v>
      </c>
      <c r="CD40" s="59">
        <f ca="1">AVERAGE(OFFSET($CC$3,0,0,'Données projet'!$E$12+1,1))-AVERAGE(OFFSET($H$3,0,0,'Données projet'!$E$12+1,1))</f>
        <v>192.88977161349993</v>
      </c>
      <c r="CE40" s="59">
        <f t="shared" si="40"/>
        <v>122.91376861456772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5.6339161451241182</v>
      </c>
      <c r="CM40" s="21">
        <f>EXP(-LN(2)/2)*CM39+(1-EXP(-LN(2)/2))/(LN(2)/2)*CG40*CJ40*VLOOKUP('Données projet'!$B$12,Paramètres!$A$1:$I$89,3,0)*0.475*44/12</f>
        <v>0.69631058373433685</v>
      </c>
      <c r="CN40" s="22">
        <f t="shared" si="12"/>
        <v>6.3302267288584551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3.0769230769230758</v>
      </c>
      <c r="CT40" s="12">
        <f>IF('Données projet'!$A$140&gt;35,CT39+CS40-DB39,IF(A40&lt;'Données projet'!$A$140,$CQ$205^A40,IF(A40='Données projet'!$A$140,'Données projet'!$B$140,CT39+CS40-DB39)))</f>
        <v>63.205128205128197</v>
      </c>
      <c r="CU40" s="17">
        <f>CT40*VLOOKUP('Données projet'!$B$13,Paramètres!$A$1:$I$89,3,0)*VLOOKUP('Données projet'!$B$13,Paramètres!$A$1:$I$89,5,0)</f>
        <v>51.272000000000006</v>
      </c>
      <c r="CV40" s="13">
        <f t="shared" si="41"/>
        <v>14.941777374871691</v>
      </c>
      <c r="CW40" s="20">
        <f t="shared" si="13"/>
        <v>115.32232892790154</v>
      </c>
      <c r="CX40" s="59">
        <f t="shared" si="14"/>
        <v>400.50008542958233</v>
      </c>
      <c r="CY40" s="59">
        <f ca="1">AVERAGE(OFFSET($CX$3,0,0,'Données projet'!$E$13+1,1))-AVERAGE(OFFSET($H$3,0,0,'Données projet'!$E$13+1,1))</f>
        <v>163.16040389635825</v>
      </c>
      <c r="CZ40" s="59">
        <f t="shared" si="42"/>
        <v>138.57856782158811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1.7373928801312588</v>
      </c>
      <c r="DH40" s="21">
        <f>EXP(-LN(2)/2)*DH39+(1-EXP(-LN(2)/2))/(LN(2)/2)*DB40*DE40*VLOOKUP('Données projet'!$B$13,Paramètres!$A$1:$I$89,3,0)*0.475*44/12</f>
        <v>0.72924824018945655</v>
      </c>
      <c r="DI40" s="22">
        <f t="shared" si="15"/>
        <v>2.4666411203207153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7.7715686274509812</v>
      </c>
      <c r="DO40" s="12">
        <f>IF('Données projet'!$A$166&gt;35,DO39+DN40-DW39,IF(A40&lt;'Données projet'!$A$166,$DL$205^A40,IF(A40='Données projet'!$A$166,'Données projet'!$B$166,DO39+DN40-DW39)))</f>
        <v>287.54803921568629</v>
      </c>
      <c r="DP40" s="17">
        <f>DO40*VLOOKUP('Données projet'!$B$14,Paramètres!$A$1:$I$89,3,0)*VLOOKUP('Données projet'!$B$14,Paramètres!$A$1:$I$89,5,0)</f>
        <v>134.57248235294117</v>
      </c>
      <c r="DQ40" s="13">
        <f t="shared" si="43"/>
        <v>35.050790686567069</v>
      </c>
      <c r="DR40" s="20">
        <f t="shared" si="16"/>
        <v>295.42720054381022</v>
      </c>
      <c r="DS40" s="59">
        <f t="shared" si="17"/>
        <v>580.60495704549101</v>
      </c>
      <c r="DT40" s="59">
        <f ca="1">AVERAGE(OFFSET($DS$3,0,0,'Données projet'!$E$14+1,1))-AVERAGE(OFFSET($H$3,0,0,'Données projet'!$E$14+1,1))</f>
        <v>343.44193069803498</v>
      </c>
      <c r="DU40" s="59">
        <f t="shared" si="44"/>
        <v>280.67367019483481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4.7435897435897427</v>
      </c>
      <c r="EJ40" s="12">
        <f>IF('Données projet'!$A$192&gt;35,EJ39+EI40-ER39,IF(A40&lt;'Données projet'!$A$192,$EG$205^A40,IF(A40='Données projet'!$A$192,'Données projet'!$B$192,EJ39+EI40-ER39)))</f>
        <v>73.58974358974362</v>
      </c>
      <c r="EK40" s="17">
        <f>EJ40*VLOOKUP('Données projet'!$B$15,Paramètres!$A$1:$I$89,3,0)*VLOOKUP('Données projet'!$B$15,Paramètres!$A$1:$I$89,5,0)</f>
        <v>74.620000000000033</v>
      </c>
      <c r="EL40" s="13">
        <f t="shared" si="45"/>
        <v>20.816463967410836</v>
      </c>
      <c r="EM40" s="20">
        <f t="shared" si="19"/>
        <v>166.21850807657395</v>
      </c>
      <c r="EN40" s="59">
        <f t="shared" si="20"/>
        <v>451.39626457825477</v>
      </c>
      <c r="EO40" s="59">
        <f ca="1">AVERAGE(OFFSET($EN$3,0,0,'Données projet'!$E$15+1,1))-AVERAGE(OFFSET($H$3,0,0,'Données projet'!$E$15+1,1))</f>
        <v>270.0029254736703</v>
      </c>
      <c r="EP40" s="59">
        <f t="shared" si="46"/>
        <v>183.80022202211441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12.211181188363966</v>
      </c>
      <c r="EX40" s="21">
        <f>EXP(-LN(2)/2)*EX39+(1-EXP(-LN(2)/2))/(LN(2)/2)*ER40*EU40*VLOOKUP('Données projet'!$B$15,Paramètres!$A$1:$I$89,3,0)*0.475*44/12</f>
        <v>1.3820375137697556</v>
      </c>
      <c r="EY40" s="22">
        <f t="shared" si="21"/>
        <v>13.593218702133722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163.20000000000002</v>
      </c>
      <c r="FF40" s="17">
        <f>FE40*VLOOKUP('Données projet'!$B$16,Paramètres!$A$1:$I$89,3,0)*VLOOKUP('Données projet'!$B$16,Paramètres!$A$1:$I$89,5,0)</f>
        <v>142.57152000000005</v>
      </c>
      <c r="FG40" s="13">
        <f t="shared" si="47"/>
        <v>36.885479122455578</v>
      </c>
      <c r="FH40" s="20">
        <f t="shared" si="22"/>
        <v>312.5542734716102</v>
      </c>
      <c r="FI40" s="59">
        <f t="shared" si="23"/>
        <v>597.73202997329099</v>
      </c>
      <c r="FJ40" s="59">
        <f ca="1">AVERAGE(OFFSET($FI$3,0,0,'Données projet'!$E$16+1,1))-AVERAGE(OFFSET($H$3,0,0,'Données projet'!$E$16+1,1))</f>
        <v>328.93328163316073</v>
      </c>
      <c r="FK40" s="59">
        <f t="shared" si="48"/>
        <v>320.27831321887072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3.4437524988505781</v>
      </c>
      <c r="FR40" s="21">
        <f>EXP(-LN(2)/25)*FR39+(1-EXP(-LN(2)/25))/(LN(2)/25)*Calculateur!FM40*Calculateur!FO40*VLOOKUP('Données projet'!$B$16,Paramètres!$A$1:$I$89,3,0)*0.475*44/12</f>
        <v>12.140580075362703</v>
      </c>
      <c r="FS40" s="21">
        <f>EXP(-LN(2)/2)*FS39+(1-EXP(-LN(2)/2))/(LN(2)/2)*FM40*FP40*VLOOKUP('Données projet'!$B$16,Paramètres!$A$1:$I$89,3,0)*0.475*44/12</f>
        <v>3.5025163101765182</v>
      </c>
      <c r="FT40" s="22">
        <f t="shared" si="24"/>
        <v>19.086848884389799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4.7435897435897427</v>
      </c>
      <c r="FZ40" s="12">
        <f>IF('Données projet'!$A$244&gt;35,FZ39+FY40-GH39,IF(A40&lt;'Données projet'!$A$244,$FW$205^A40,IF(A40='Données projet'!$A$244,'Données projet'!$B$244,FZ39+FY40-GH39)))</f>
        <v>73.58974358974362</v>
      </c>
      <c r="GA40" s="17">
        <f>FZ40*VLOOKUP('Données projet'!$B$17,Paramètres!$A$1:$I$89,3,0)*VLOOKUP('Données projet'!$B$17,Paramètres!$A$1:$I$89,5,0)</f>
        <v>49.364000000000026</v>
      </c>
      <c r="GB40" s="13">
        <f t="shared" si="49"/>
        <v>14.449387715760299</v>
      </c>
      <c r="GC40" s="20">
        <f t="shared" si="25"/>
        <v>111.1416502716159</v>
      </c>
      <c r="GD40" s="59">
        <f t="shared" si="26"/>
        <v>396.31940677329669</v>
      </c>
      <c r="GE40" s="59">
        <f ca="1">AVERAGE(OFFSET($GD$3,0,0,'Données projet'!$E$17+1,1))-AVERAGE(OFFSET($H$3,0,0,'Données projet'!$E$17+1,1))</f>
        <v>192.88444860121191</v>
      </c>
      <c r="GF40" s="59">
        <f t="shared" si="50"/>
        <v>136.13737493732751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9.9568092766660001</v>
      </c>
      <c r="GN40" s="21">
        <f>EXP(-LN(2)/2)*GN39+(1-EXP(-LN(2)/2))/(LN(2)/2)*GH40*GK40*VLOOKUP('Données projet'!$B$17,Paramètres!$A$1:$I$89,3,0)*0.475*44/12</f>
        <v>0.91427097064768448</v>
      </c>
      <c r="GO40" s="21">
        <f t="shared" si="27"/>
        <v>10.871080247313685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67.775751773185661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0.85000000000000009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3.1166666666666671</v>
      </c>
      <c r="H41" s="67">
        <f t="shared" si="1"/>
        <v>244.19999999999996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594.02099449946866</v>
      </c>
      <c r="S41" s="59">
        <f ca="1">AVERAGE(OFFSET($R$3,0,0,'Données projet'!$E$9+1,1))-AVERAGE(OFFSET($H$3,0,0,'Données projet'!$E$9+1,1))</f>
        <v>643.492472896403</v>
      </c>
      <c r="T41" s="59">
        <f t="shared" si="34"/>
        <v>285.0259479655341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12.4</v>
      </c>
      <c r="AI41" s="13">
        <f>IF('Données projet'!$A$62&gt;35,AI40+AH41-AQ40,IF(A41&lt;'Données projet'!$A$62,$AF$205^A41,IF(A41='Données projet'!$A$62,'Données projet'!$B$62,AI40+AH41-AQ40)))</f>
        <v>183.20000000000002</v>
      </c>
      <c r="AJ41" s="13">
        <f>AI41*VLOOKUP('Données projet'!$B$10,Paramètres!$A$1:$I$89,3,0)*VLOOKUP('Données projet'!$B$10,Paramètres!$A$1:$I$89,5,0)</f>
        <v>142.89600000000002</v>
      </c>
      <c r="AK41" s="13">
        <f t="shared" si="35"/>
        <v>36.959645797372403</v>
      </c>
      <c r="AL41" s="20">
        <f t="shared" si="4"/>
        <v>313.24858309709026</v>
      </c>
      <c r="AM41" s="59">
        <f t="shared" si="5"/>
        <v>598.56782062366187</v>
      </c>
      <c r="AN41" s="59">
        <f ca="1">AVERAGE(OFFSET($AM$3,0,0,'Données projet'!$E$10+1,1))-AVERAGE(OFFSET($H$3,0,0,'Données projet'!$E$10+1,1))</f>
        <v>289.89907502443873</v>
      </c>
      <c r="AO41" s="59">
        <f t="shared" si="36"/>
        <v>267.42183550360301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6.6114615446480194</v>
      </c>
      <c r="AW41" s="21">
        <f>EXP(-LN(2)/2)*AW40+(1-EXP(-LN(2)/2))/(LN(2)/2)*AQ41*AT41*VLOOKUP('Données projet'!$B$10,Paramètres!$A$1:$I$89,3,0)*0.475*44/12</f>
        <v>2.2042285618777089</v>
      </c>
      <c r="AX41" s="21">
        <f t="shared" si="6"/>
        <v>8.8156901065257287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2.5641025641025634</v>
      </c>
      <c r="BD41" s="12">
        <f>IF('Données projet'!$A$88&gt;35,BD40+BC41-BL40,IF(A41&lt;'Données projet'!$A$88,$BA$205^A41,IF(A41='Données projet'!$A$88,'Données projet'!$B$88,BD40+BC41-BL40)))</f>
        <v>42.948717948717928</v>
      </c>
      <c r="BE41" s="13">
        <f>BD41*VLOOKUP('Données projet'!$B$11,Paramètres!$A$1:$I$89,3,0)*VLOOKUP('Données projet'!$B$11,Paramètres!$A$1:$I$89,5,0)</f>
        <v>41.539999999999978</v>
      </c>
      <c r="BF41" s="13">
        <f t="shared" si="37"/>
        <v>12.405922316720835</v>
      </c>
      <c r="BG41" s="20">
        <f t="shared" si="7"/>
        <v>93.95581470162206</v>
      </c>
      <c r="BH41" s="59">
        <f t="shared" si="8"/>
        <v>379.27505222819366</v>
      </c>
      <c r="BI41" s="59">
        <f ca="1">AVERAGE(OFFSET($BH$3,0,0,'Données projet'!$E$11+1,1))-AVERAGE(OFFSET($H$3,0,0,'Données projet'!$E$11+1,1))</f>
        <v>177.54241137663234</v>
      </c>
      <c r="BJ41" s="59">
        <f t="shared" si="38"/>
        <v>114.71095021456071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4.9239289497880767</v>
      </c>
      <c r="BR41" s="21">
        <f>EXP(-LN(2)/2)*BR40+(1-EXP(-LN(2)/2))/(LN(2)/2)*BL41*BO41*VLOOKUP('Données projet'!$B$11,Paramètres!$A$1:$I$89,3,0)*0.475*44/12</f>
        <v>0.44241576819379413</v>
      </c>
      <c r="BS41" s="22">
        <f t="shared" si="9"/>
        <v>5.3663447179818711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2.5641025641025634</v>
      </c>
      <c r="BY41" s="12">
        <f>IF('Données projet'!$A$114&gt;35,BY40+BX41-CG40,IF(A41&lt;'Données projet'!$A$114,$BV$205^A41,IF(A41='Données projet'!$A$114,'Données projet'!$B$114,BY40+BX41-CG40)))</f>
        <v>42.948717948717928</v>
      </c>
      <c r="BZ41" s="13">
        <f>BY41*VLOOKUP('Données projet'!$B$12,Paramètres!$A$1:$I$89,3,0)*VLOOKUP('Données projet'!$B$12,Paramètres!$A$1:$I$89,5,0)</f>
        <v>46.229999999999976</v>
      </c>
      <c r="CA41" s="13">
        <f t="shared" si="39"/>
        <v>13.635743309369506</v>
      </c>
      <c r="CB41" s="20">
        <f t="shared" si="10"/>
        <v>104.26616959715183</v>
      </c>
      <c r="CC41" s="59">
        <f t="shared" si="11"/>
        <v>389.58540712372343</v>
      </c>
      <c r="CD41" s="59">
        <f ca="1">AVERAGE(OFFSET($CC$3,0,0,'Données projet'!$E$12+1,1))-AVERAGE(OFFSET($H$3,0,0,'Données projet'!$E$12+1,1))</f>
        <v>192.88977161349993</v>
      </c>
      <c r="CE41" s="59">
        <f t="shared" si="40"/>
        <v>122.91376861456772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5.4798564118609256</v>
      </c>
      <c r="CM41" s="21">
        <f>EXP(-LN(2)/2)*CM40+(1-EXP(-LN(2)/2))/(LN(2)/2)*CG41*CJ41*VLOOKUP('Données projet'!$B$12,Paramètres!$A$1:$I$89,3,0)*0.475*44/12</f>
        <v>0.49236593557051295</v>
      </c>
      <c r="CN41" s="22">
        <f t="shared" si="12"/>
        <v>5.9722223474314386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3.0769230769230758</v>
      </c>
      <c r="CT41" s="12">
        <f>IF('Données projet'!$A$140&gt;35,CT40+CS41-DB40,IF(A41&lt;'Données projet'!$A$140,$CQ$205^A41,IF(A41='Données projet'!$A$140,'Données projet'!$B$140,CT40+CS41-DB40)))</f>
        <v>66.28205128205127</v>
      </c>
      <c r="CU41" s="17">
        <f>CT41*VLOOKUP('Données projet'!$B$13,Paramètres!$A$1:$I$89,3,0)*VLOOKUP('Données projet'!$B$13,Paramètres!$A$1:$I$89,5,0)</f>
        <v>53.767999999999994</v>
      </c>
      <c r="CV41" s="13">
        <f t="shared" si="41"/>
        <v>15.582709246136304</v>
      </c>
      <c r="CW41" s="20">
        <f t="shared" si="13"/>
        <v>120.78581860368736</v>
      </c>
      <c r="CX41" s="59">
        <f t="shared" si="14"/>
        <v>406.10505613025896</v>
      </c>
      <c r="CY41" s="59">
        <f ca="1">AVERAGE(OFFSET($CX$3,0,0,'Données projet'!$E$13+1,1))-AVERAGE(OFFSET($H$3,0,0,'Données projet'!$E$13+1,1))</f>
        <v>163.16040389635825</v>
      </c>
      <c r="CZ41" s="59">
        <f t="shared" si="42"/>
        <v>138.57856782158811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1.6898837804585489</v>
      </c>
      <c r="DH41" s="21">
        <f>EXP(-LN(2)/2)*DH40+(1-EXP(-LN(2)/2))/(LN(2)/2)*DB41*DE41*VLOOKUP('Données projet'!$B$13,Paramètres!$A$1:$I$89,3,0)*0.475*44/12</f>
        <v>0.51565637580632095</v>
      </c>
      <c r="DI41" s="22">
        <f t="shared" si="15"/>
        <v>2.20554015626487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7.7715686274509812</v>
      </c>
      <c r="DO41" s="12">
        <f>IF('Données projet'!$A$166&gt;35,DO40+DN41-DW40,IF(A41&lt;'Données projet'!$A$166,$DL$205^A41,IF(A41='Données projet'!$A$166,'Données projet'!$B$166,DO40+DN41-DW40)))</f>
        <v>295.31960784313725</v>
      </c>
      <c r="DP41" s="17">
        <f>DO41*VLOOKUP('Données projet'!$B$14,Paramètres!$A$1:$I$89,3,0)*VLOOKUP('Données projet'!$B$14,Paramètres!$A$1:$I$89,5,0)</f>
        <v>138.20957647058825</v>
      </c>
      <c r="DQ41" s="13">
        <f t="shared" si="43"/>
        <v>35.886537858926076</v>
      </c>
      <c r="DR41" s="20">
        <f t="shared" si="16"/>
        <v>303.21739912390404</v>
      </c>
      <c r="DS41" s="59">
        <f t="shared" si="17"/>
        <v>588.53663665047566</v>
      </c>
      <c r="DT41" s="59">
        <f ca="1">AVERAGE(OFFSET($DS$3,0,0,'Données projet'!$E$14+1,1))-AVERAGE(OFFSET($H$3,0,0,'Données projet'!$E$14+1,1))</f>
        <v>343.44193069803498</v>
      </c>
      <c r="DU41" s="59">
        <f t="shared" si="44"/>
        <v>280.67367019483481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4.7435897435897427</v>
      </c>
      <c r="EJ41" s="12">
        <f>IF('Données projet'!$A$192&gt;35,EJ40+EI41-ER40,IF(A41&lt;'Données projet'!$A$192,$EG$205^A41,IF(A41='Données projet'!$A$192,'Données projet'!$B$192,EJ40+EI41-ER40)))</f>
        <v>78.333333333333357</v>
      </c>
      <c r="EK41" s="17">
        <f>EJ41*VLOOKUP('Données projet'!$B$15,Paramètres!$A$1:$I$89,3,0)*VLOOKUP('Données projet'!$B$15,Paramètres!$A$1:$I$89,5,0)</f>
        <v>79.430000000000035</v>
      </c>
      <c r="EL41" s="13">
        <f t="shared" si="45"/>
        <v>21.997758219177651</v>
      </c>
      <c r="EM41" s="20">
        <f t="shared" si="19"/>
        <v>176.65334556506778</v>
      </c>
      <c r="EN41" s="59">
        <f t="shared" si="20"/>
        <v>461.97258309163942</v>
      </c>
      <c r="EO41" s="59">
        <f ca="1">AVERAGE(OFFSET($EN$3,0,0,'Données projet'!$E$15+1,1))-AVERAGE(OFFSET($H$3,0,0,'Données projet'!$E$15+1,1))</f>
        <v>270.0029254736703</v>
      </c>
      <c r="EP41" s="59">
        <f t="shared" si="46"/>
        <v>183.80022202211441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11.877265796610043</v>
      </c>
      <c r="EX41" s="21">
        <f>EXP(-LN(2)/2)*EX40+(1-EXP(-LN(2)/2))/(LN(2)/2)*ER41*EU41*VLOOKUP('Données projet'!$B$15,Paramètres!$A$1:$I$89,3,0)*0.475*44/12</f>
        <v>0.97724809784079081</v>
      </c>
      <c r="EY41" s="22">
        <f t="shared" si="21"/>
        <v>12.854513894450834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172.8</v>
      </c>
      <c r="FF41" s="17">
        <f>FE41*VLOOKUP('Données projet'!$B$16,Paramètres!$A$1:$I$89,3,0)*VLOOKUP('Données projet'!$B$16,Paramètres!$A$1:$I$89,5,0)</f>
        <v>150.95808000000002</v>
      </c>
      <c r="FG41" s="13">
        <f t="shared" si="47"/>
        <v>38.796231993724774</v>
      </c>
      <c r="FH41" s="20">
        <f t="shared" si="22"/>
        <v>330.48876005573732</v>
      </c>
      <c r="FI41" s="59">
        <f t="shared" si="23"/>
        <v>615.80799758230887</v>
      </c>
      <c r="FJ41" s="59">
        <f ca="1">AVERAGE(OFFSET($FI$3,0,0,'Données projet'!$E$16+1,1))-AVERAGE(OFFSET($H$3,0,0,'Données projet'!$E$16+1,1))</f>
        <v>328.93328163316073</v>
      </c>
      <c r="FK41" s="59">
        <f t="shared" si="48"/>
        <v>320.27831321887072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3.376222612829737</v>
      </c>
      <c r="FR41" s="21">
        <f>EXP(-LN(2)/25)*FR40+(1-EXP(-LN(2)/25))/(LN(2)/25)*Calculateur!FM41*Calculateur!FO41*VLOOKUP('Données projet'!$B$16,Paramètres!$A$1:$I$89,3,0)*0.475*44/12</f>
        <v>11.80859527475655</v>
      </c>
      <c r="FS41" s="21">
        <f>EXP(-LN(2)/2)*FS40+(1-EXP(-LN(2)/2))/(LN(2)/2)*FM41*FP41*VLOOKUP('Données projet'!$B$16,Paramètres!$A$1:$I$89,3,0)*0.475*44/12</f>
        <v>2.4766530341423012</v>
      </c>
      <c r="FT41" s="22">
        <f t="shared" si="24"/>
        <v>17.66147092172859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4.7435897435897427</v>
      </c>
      <c r="FZ41" s="12">
        <f>IF('Données projet'!$A$244&gt;35,FZ40+FY41-GH40,IF(A41&lt;'Données projet'!$A$244,$FW$205^A41,IF(A41='Données projet'!$A$244,'Données projet'!$B$244,FZ40+FY41-GH40)))</f>
        <v>78.333333333333357</v>
      </c>
      <c r="GA41" s="17">
        <f>FZ41*VLOOKUP('Données projet'!$B$17,Paramètres!$A$1:$I$89,3,0)*VLOOKUP('Données projet'!$B$17,Paramètres!$A$1:$I$89,5,0)</f>
        <v>52.546000000000021</v>
      </c>
      <c r="GB41" s="13">
        <f t="shared" si="49"/>
        <v>15.269362648914164</v>
      </c>
      <c r="GC41" s="20">
        <f t="shared" si="25"/>
        <v>118.11175661352553</v>
      </c>
      <c r="GD41" s="59">
        <f t="shared" si="26"/>
        <v>403.43099414009714</v>
      </c>
      <c r="GE41" s="59">
        <f ca="1">AVERAGE(OFFSET($GD$3,0,0,'Données projet'!$E$17+1,1))-AVERAGE(OFFSET($H$3,0,0,'Données projet'!$E$17+1,1))</f>
        <v>192.88444860121191</v>
      </c>
      <c r="GF41" s="59">
        <f t="shared" si="50"/>
        <v>136.13737493732751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9.6845398033897254</v>
      </c>
      <c r="GN41" s="21">
        <f>EXP(-LN(2)/2)*GN40+(1-EXP(-LN(2)/2))/(LN(2)/2)*GH41*GK41*VLOOKUP('Données projet'!$B$17,Paramètres!$A$1:$I$89,3,0)*0.475*44/12</f>
        <v>0.64648720318698472</v>
      </c>
      <c r="GO41" s="21">
        <f t="shared" si="27"/>
        <v>10.33102700657671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67.814337507246805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0.85000000000000009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3.1166666666666671</v>
      </c>
      <c r="H42" s="67">
        <f t="shared" si="1"/>
        <v>244.19999999999996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602.08692414381164</v>
      </c>
      <c r="S42" s="59">
        <f ca="1">AVERAGE(OFFSET($R$3,0,0,'Données projet'!$E$9+1,1))-AVERAGE(OFFSET($H$3,0,0,'Données projet'!$E$9+1,1))</f>
        <v>643.492472896403</v>
      </c>
      <c r="T42" s="59">
        <f t="shared" si="34"/>
        <v>285.0259479655341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12.4</v>
      </c>
      <c r="AI42" s="13">
        <f>IF('Données projet'!$A$62&gt;35,AI41+AH42-AQ41,IF(A42&lt;'Données projet'!$A$62,$AF$205^A42,IF(A42='Données projet'!$A$62,'Données projet'!$B$62,AI41+AH42-AQ41)))</f>
        <v>195.60000000000002</v>
      </c>
      <c r="AJ42" s="13">
        <f>AI42*VLOOKUP('Données projet'!$B$10,Paramètres!$A$1:$I$89,3,0)*VLOOKUP('Données projet'!$B$10,Paramètres!$A$1:$I$89,5,0)</f>
        <v>152.56800000000001</v>
      </c>
      <c r="AK42" s="13">
        <f t="shared" si="35"/>
        <v>39.161595030150863</v>
      </c>
      <c r="AL42" s="20">
        <f t="shared" si="4"/>
        <v>333.92904467751276</v>
      </c>
      <c r="AM42" s="59">
        <f t="shared" si="5"/>
        <v>619.38730884949769</v>
      </c>
      <c r="AN42" s="59">
        <f ca="1">AVERAGE(OFFSET($AM$3,0,0,'Données projet'!$E$10+1,1))-AVERAGE(OFFSET($H$3,0,0,'Données projet'!$E$10+1,1))</f>
        <v>289.89907502443873</v>
      </c>
      <c r="AO42" s="59">
        <f t="shared" si="36"/>
        <v>267.42183550360301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6.4306707810279677</v>
      </c>
      <c r="AW42" s="21">
        <f>EXP(-LN(2)/2)*AW41+(1-EXP(-LN(2)/2))/(LN(2)/2)*AQ42*AT42*VLOOKUP('Données projet'!$B$10,Paramètres!$A$1:$I$89,3,0)*0.475*44/12</f>
        <v>1.5586249633887996</v>
      </c>
      <c r="AX42" s="21">
        <f t="shared" si="6"/>
        <v>7.9892957444167676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2.5641025641025634</v>
      </c>
      <c r="BD42" s="12">
        <f>IF('Données projet'!$A$88&gt;35,BD41+BC42-BL41,IF(A42&lt;'Données projet'!$A$88,$BA$205^A42,IF(A42='Données projet'!$A$88,'Données projet'!$B$88,BD41+BC42-BL41)))</f>
        <v>45.51282051282049</v>
      </c>
      <c r="BE42" s="13">
        <f>BD42*VLOOKUP('Données projet'!$B$11,Paramètres!$A$1:$I$89,3,0)*VLOOKUP('Données projet'!$B$11,Paramètres!$A$1:$I$89,5,0)</f>
        <v>44.019999999999982</v>
      </c>
      <c r="BF42" s="13">
        <f t="shared" si="37"/>
        <v>13.058137539019535</v>
      </c>
      <c r="BG42" s="20">
        <f t="shared" si="7"/>
        <v>99.411089547125641</v>
      </c>
      <c r="BH42" s="59">
        <f t="shared" si="8"/>
        <v>384.86935371911051</v>
      </c>
      <c r="BI42" s="59">
        <f ca="1">AVERAGE(OFFSET($BH$3,0,0,'Données projet'!$E$11+1,1))-AVERAGE(OFFSET($H$3,0,0,'Données projet'!$E$11+1,1))</f>
        <v>177.54241137663234</v>
      </c>
      <c r="BJ42" s="59">
        <f t="shared" si="38"/>
        <v>114.71095021456071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4.7892838537179525</v>
      </c>
      <c r="BR42" s="21">
        <f>EXP(-LN(2)/2)*BR41+(1-EXP(-LN(2)/2))/(LN(2)/2)*BL42*BO42*VLOOKUP('Données projet'!$B$11,Paramètres!$A$1:$I$89,3,0)*0.475*44/12</f>
        <v>0.31283518979368752</v>
      </c>
      <c r="BS42" s="22">
        <f t="shared" si="9"/>
        <v>5.1021190435116397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2.5641025641025634</v>
      </c>
      <c r="BY42" s="12">
        <f>IF('Données projet'!$A$114&gt;35,BY41+BX42-CG41,IF(A42&lt;'Données projet'!$A$114,$BV$205^A42,IF(A42='Données projet'!$A$114,'Données projet'!$B$114,BY41+BX42-CG41)))</f>
        <v>45.51282051282049</v>
      </c>
      <c r="BZ42" s="13">
        <f>BY42*VLOOKUP('Données projet'!$B$12,Paramètres!$A$1:$I$89,3,0)*VLOOKUP('Données projet'!$B$12,Paramètres!$A$1:$I$89,5,0)</f>
        <v>48.989999999999974</v>
      </c>
      <c r="CA42" s="13">
        <f t="shared" si="39"/>
        <v>14.352613778705082</v>
      </c>
      <c r="CB42" s="20">
        <f t="shared" si="10"/>
        <v>110.32171899791132</v>
      </c>
      <c r="CC42" s="59">
        <f t="shared" si="11"/>
        <v>395.77998316989618</v>
      </c>
      <c r="CD42" s="59">
        <f ca="1">AVERAGE(OFFSET($CC$3,0,0,'Données projet'!$E$12+1,1))-AVERAGE(OFFSET($H$3,0,0,'Données projet'!$E$12+1,1))</f>
        <v>192.88977161349993</v>
      </c>
      <c r="CE42" s="59">
        <f t="shared" si="40"/>
        <v>122.91376861456772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5.3300094501054645</v>
      </c>
      <c r="CM42" s="21">
        <f>EXP(-LN(2)/2)*CM41+(1-EXP(-LN(2)/2))/(LN(2)/2)*CG42*CJ42*VLOOKUP('Données projet'!$B$12,Paramètres!$A$1:$I$89,3,0)*0.475*44/12</f>
        <v>0.34815529186716848</v>
      </c>
      <c r="CN42" s="22">
        <f t="shared" si="12"/>
        <v>5.6781647419726333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3.0769230769230758</v>
      </c>
      <c r="CT42" s="12">
        <f>IF('Données projet'!$A$140&gt;35,CT41+CS42-DB41,IF(A42&lt;'Données projet'!$A$140,$CQ$205^A42,IF(A42='Données projet'!$A$140,'Données projet'!$B$140,CT41+CS42-DB41)))</f>
        <v>69.358974358974351</v>
      </c>
      <c r="CU42" s="17">
        <f>CT42*VLOOKUP('Données projet'!$B$13,Paramètres!$A$1:$I$89,3,0)*VLOOKUP('Données projet'!$B$13,Paramètres!$A$1:$I$89,5,0)</f>
        <v>56.263999999999996</v>
      </c>
      <c r="CV42" s="13">
        <f t="shared" si="41"/>
        <v>16.220185883468393</v>
      </c>
      <c r="CW42" s="20">
        <f t="shared" si="13"/>
        <v>126.24329041370743</v>
      </c>
      <c r="CX42" s="59">
        <f t="shared" si="14"/>
        <v>411.70155458569229</v>
      </c>
      <c r="CY42" s="59">
        <f ca="1">AVERAGE(OFFSET($CX$3,0,0,'Données projet'!$E$13+1,1))-AVERAGE(OFFSET($H$3,0,0,'Données projet'!$E$13+1,1))</f>
        <v>163.16040389635825</v>
      </c>
      <c r="CZ42" s="59">
        <f t="shared" si="42"/>
        <v>138.57856782158811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1.6436738196147842</v>
      </c>
      <c r="DH42" s="21">
        <f>EXP(-LN(2)/2)*DH41+(1-EXP(-LN(2)/2))/(LN(2)/2)*DB42*DE42*VLOOKUP('Données projet'!$B$13,Paramètres!$A$1:$I$89,3,0)*0.475*44/12</f>
        <v>0.36462412009472833</v>
      </c>
      <c r="DI42" s="22">
        <f t="shared" si="15"/>
        <v>2.0082979397095126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7.7715686274509812</v>
      </c>
      <c r="DO42" s="12">
        <f>IF('Données projet'!$A$166&gt;35,DO41+DN42-DW41,IF(A42&lt;'Données projet'!$A$166,$DL$205^A42,IF(A42='Données projet'!$A$166,'Données projet'!$B$166,DO41+DN42-DW41)))</f>
        <v>303.09117647058821</v>
      </c>
      <c r="DP42" s="17">
        <f>DO42*VLOOKUP('Données projet'!$B$14,Paramètres!$A$1:$I$89,3,0)*VLOOKUP('Données projet'!$B$14,Paramètres!$A$1:$I$89,5,0)</f>
        <v>141.8466705882353</v>
      </c>
      <c r="DQ42" s="13">
        <f t="shared" si="43"/>
        <v>36.719728610807536</v>
      </c>
      <c r="DR42" s="20">
        <f t="shared" si="16"/>
        <v>311.00314527166626</v>
      </c>
      <c r="DS42" s="59">
        <f t="shared" si="17"/>
        <v>596.46140944365106</v>
      </c>
      <c r="DT42" s="59">
        <f ca="1">AVERAGE(OFFSET($DS$3,0,0,'Données projet'!$E$14+1,1))-AVERAGE(OFFSET($H$3,0,0,'Données projet'!$E$14+1,1))</f>
        <v>343.44193069803498</v>
      </c>
      <c r="DU42" s="59">
        <f t="shared" si="44"/>
        <v>280.67367019483481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4.7435897435897427</v>
      </c>
      <c r="EJ42" s="12">
        <f>IF('Données projet'!$A$192&gt;35,EJ41+EI42-ER41,IF(A42&lt;'Données projet'!$A$192,$EG$205^A42,IF(A42='Données projet'!$A$192,'Données projet'!$B$192,EJ41+EI42-ER41)))</f>
        <v>83.076923076923094</v>
      </c>
      <c r="EK42" s="17">
        <f>EJ42*VLOOKUP('Données projet'!$B$15,Paramètres!$A$1:$I$89,3,0)*VLOOKUP('Données projet'!$B$15,Paramètres!$A$1:$I$89,5,0)</f>
        <v>84.240000000000023</v>
      </c>
      <c r="EL42" s="13">
        <f t="shared" si="45"/>
        <v>23.170749718409478</v>
      </c>
      <c r="EM42" s="20">
        <f t="shared" si="19"/>
        <v>187.07372242622989</v>
      </c>
      <c r="EN42" s="59">
        <f t="shared" si="20"/>
        <v>472.53198659821476</v>
      </c>
      <c r="EO42" s="59">
        <f ca="1">AVERAGE(OFFSET($EN$3,0,0,'Données projet'!$E$15+1,1))-AVERAGE(OFFSET($H$3,0,0,'Données projet'!$E$15+1,1))</f>
        <v>270.0029254736703</v>
      </c>
      <c r="EP42" s="59">
        <f t="shared" si="46"/>
        <v>183.80022202211441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11.55248133880348</v>
      </c>
      <c r="EX42" s="21">
        <f>EXP(-LN(2)/2)*EX41+(1-EXP(-LN(2)/2))/(LN(2)/2)*ER42*EU42*VLOOKUP('Données projet'!$B$15,Paramètres!$A$1:$I$89,3,0)*0.475*44/12</f>
        <v>0.6910187568848779</v>
      </c>
      <c r="EY42" s="22">
        <f t="shared" si="21"/>
        <v>12.243500095688358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182.4</v>
      </c>
      <c r="FF42" s="17">
        <f>FE42*VLOOKUP('Données projet'!$B$16,Paramètres!$A$1:$I$89,3,0)*VLOOKUP('Données projet'!$B$16,Paramètres!$A$1:$I$89,5,0)</f>
        <v>159.34464000000003</v>
      </c>
      <c r="FG42" s="13">
        <f t="shared" si="47"/>
        <v>40.694661837553809</v>
      </c>
      <c r="FH42" s="20">
        <f t="shared" si="22"/>
        <v>348.4017840337396</v>
      </c>
      <c r="FI42" s="59">
        <f t="shared" si="23"/>
        <v>633.86004820572452</v>
      </c>
      <c r="FJ42" s="59">
        <f ca="1">AVERAGE(OFFSET($FI$3,0,0,'Données projet'!$E$16+1,1))-AVERAGE(OFFSET($H$3,0,0,'Données projet'!$E$16+1,1))</f>
        <v>328.93328163316073</v>
      </c>
      <c r="FK42" s="59">
        <f t="shared" si="48"/>
        <v>320.27831321887072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3.3100169466846014</v>
      </c>
      <c r="FR42" s="21">
        <f>EXP(-LN(2)/25)*FR41+(1-EXP(-LN(2)/25))/(LN(2)/25)*Calculateur!FM42*Calculateur!FO42*VLOOKUP('Données projet'!$B$16,Paramètres!$A$1:$I$89,3,0)*0.475*44/12</f>
        <v>11.485688615981296</v>
      </c>
      <c r="FS42" s="21">
        <f>EXP(-LN(2)/2)*FS41+(1-EXP(-LN(2)/2))/(LN(2)/2)*FM42*FP42*VLOOKUP('Données projet'!$B$16,Paramètres!$A$1:$I$89,3,0)*0.475*44/12</f>
        <v>1.7512581550882593</v>
      </c>
      <c r="FT42" s="22">
        <f t="shared" si="24"/>
        <v>16.546963717754156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4.7435897435897427</v>
      </c>
      <c r="FZ42" s="12">
        <f>IF('Données projet'!$A$244&gt;35,FZ41+FY42-GH41,IF(A42&lt;'Données projet'!$A$244,$FW$205^A42,IF(A42='Données projet'!$A$244,'Données projet'!$B$244,FZ41+FY42-GH41)))</f>
        <v>83.076923076923094</v>
      </c>
      <c r="GA42" s="17">
        <f>FZ42*VLOOKUP('Données projet'!$B$17,Paramètres!$A$1:$I$89,3,0)*VLOOKUP('Données projet'!$B$17,Paramètres!$A$1:$I$89,5,0)</f>
        <v>55.728000000000016</v>
      </c>
      <c r="GB42" s="13">
        <f t="shared" si="49"/>
        <v>16.083574370281735</v>
      </c>
      <c r="GC42" s="20">
        <f t="shared" si="25"/>
        <v>125.07182536157403</v>
      </c>
      <c r="GD42" s="59">
        <f t="shared" si="26"/>
        <v>410.53008953355891</v>
      </c>
      <c r="GE42" s="59">
        <f ca="1">AVERAGE(OFFSET($GD$3,0,0,'Données projet'!$E$17+1,1))-AVERAGE(OFFSET($H$3,0,0,'Données projet'!$E$17+1,1))</f>
        <v>192.88444860121191</v>
      </c>
      <c r="GF42" s="59">
        <f t="shared" si="50"/>
        <v>136.13737493732751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9.4197155531782197</v>
      </c>
      <c r="GN42" s="21">
        <f>EXP(-LN(2)/2)*GN41+(1-EXP(-LN(2)/2))/(LN(2)/2)*GH42*GK42*VLOOKUP('Données projet'!$B$17,Paramètres!$A$1:$I$89,3,0)*0.475*44/12</f>
        <v>0.45713548532384229</v>
      </c>
      <c r="GO42" s="21">
        <f t="shared" si="27"/>
        <v>9.8768510385020623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67.85225386508678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0.85000000000000009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3.1166666666666671</v>
      </c>
      <c r="H43" s="67">
        <f t="shared" si="1"/>
        <v>244.19999999999996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610.14604608492095</v>
      </c>
      <c r="S43" s="59">
        <f ca="1">AVERAGE(OFFSET($R$3,0,0,'Données projet'!$E$9+1,1))-AVERAGE(OFFSET($H$3,0,0,'Données projet'!$E$9+1,1))</f>
        <v>643.492472896403</v>
      </c>
      <c r="T43" s="59">
        <f t="shared" si="34"/>
        <v>285.0259479655341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208</v>
      </c>
      <c r="AG43" s="12">
        <f>VLOOKUP(A43,'Données projet'!$A$61:$I$81,9,0)</f>
        <v>12.4</v>
      </c>
      <c r="AH43" s="12">
        <f t="array" ref="AH43">INDEX(AG:AG,MIN(IF(ISNUMBER(AG43:AG239),ROW(AG43:AG239),"")))</f>
        <v>12.4</v>
      </c>
      <c r="AI43" s="13">
        <f>IF('Données projet'!$A$62&gt;35,AI42+AH43-AQ42,IF(A43&lt;'Données projet'!$A$62,$AF$205^A43,IF(A43='Données projet'!$A$62,'Données projet'!$B$62,AI42+AH43-AQ42)))</f>
        <v>208.00000000000003</v>
      </c>
      <c r="AJ43" s="13">
        <f>AI43*VLOOKUP('Données projet'!$B$10,Paramètres!$A$1:$I$89,3,0)*VLOOKUP('Données projet'!$B$10,Paramètres!$A$1:$I$89,5,0)</f>
        <v>162.24000000000004</v>
      </c>
      <c r="AK43" s="13">
        <f t="shared" si="35"/>
        <v>41.347344120141088</v>
      </c>
      <c r="AL43" s="20">
        <f t="shared" si="4"/>
        <v>354.58129100924572</v>
      </c>
      <c r="AM43" s="59">
        <f t="shared" si="5"/>
        <v>640.17617002516295</v>
      </c>
      <c r="AN43" s="59">
        <f ca="1">AVERAGE(OFFSET($AM$3,0,0,'Données projet'!$E$10+1,1))-AVERAGE(OFFSET($H$3,0,0,'Données projet'!$E$10+1,1))</f>
        <v>289.89907502443873</v>
      </c>
      <c r="AO43" s="59">
        <f t="shared" si="36"/>
        <v>267.42183550360301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32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0.1075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9.2093428204914574</v>
      </c>
      <c r="AW43" s="21">
        <f>EXP(-LN(2)/2)*AW42+(1-EXP(-LN(2)/2))/(LN(2)/2)*AQ43*AT43*VLOOKUP('Données projet'!$B$10,Paramètres!$A$1:$I$89,3,0)*0.475*44/12</f>
        <v>6.9897222280764764</v>
      </c>
      <c r="AX43" s="21">
        <f t="shared" si="6"/>
        <v>16.199065048567935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48.076923076923073</v>
      </c>
      <c r="BB43" s="12">
        <f>VLOOKUP(A43,'Données projet'!$A$87:$I$107,9,0)</f>
        <v>2.5641025641025634</v>
      </c>
      <c r="BC43" s="12">
        <f t="array" ref="BC43">INDEX(BB:BB,MIN(IF(ISNUMBER(BB43:BB239),ROW(BB43:BB239),"")))</f>
        <v>2.5641025641025634</v>
      </c>
      <c r="BD43" s="12">
        <f>IF('Données projet'!$A$88&gt;35,BD42+BC43-BL42,IF(A43&lt;'Données projet'!$A$88,$BA$205^A43,IF(A43='Données projet'!$A$88,'Données projet'!$B$88,BD42+BC43-BL42)))</f>
        <v>48.076923076923052</v>
      </c>
      <c r="BE43" s="13">
        <f>BD43*VLOOKUP('Données projet'!$B$11,Paramètres!$A$1:$I$89,3,0)*VLOOKUP('Données projet'!$B$11,Paramètres!$A$1:$I$89,5,0)</f>
        <v>46.499999999999979</v>
      </c>
      <c r="BF43" s="13">
        <f t="shared" si="37"/>
        <v>13.706087310839848</v>
      </c>
      <c r="BG43" s="20">
        <f t="shared" si="7"/>
        <v>104.85893539971271</v>
      </c>
      <c r="BH43" s="59">
        <f t="shared" si="8"/>
        <v>390.45381441562989</v>
      </c>
      <c r="BI43" s="59">
        <f ca="1">AVERAGE(OFFSET($BH$3,0,0,'Données projet'!$E$11+1,1))-AVERAGE(OFFSET($H$3,0,0,'Données projet'!$E$11+1,1))</f>
        <v>177.54241137663234</v>
      </c>
      <c r="BJ43" s="59">
        <f t="shared" si="38"/>
        <v>114.71095021456071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5.7692307692307692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0.34400000000000003</v>
      </c>
      <c r="BO43" s="16">
        <f>IF(ISNA(VLOOKUP(A43,'Données projet'!$A$87:$I$107,7,0)),0%,VLOOKUP(A43,'Données projet'!$A$87:$I$107,7,0))</f>
        <v>0.2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6.7719381235227196</v>
      </c>
      <c r="BR43" s="21">
        <f>EXP(-LN(2)/2)*BR42+(1-EXP(-LN(2)/2))/(LN(2)/2)*BL43*BO43*VLOOKUP('Données projet'!$B$11,Paramètres!$A$1:$I$89,3,0)*0.475*44/12</f>
        <v>1.2741839207965104</v>
      </c>
      <c r="BS43" s="22">
        <f t="shared" si="9"/>
        <v>8.0461220443192296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48.076923076923073</v>
      </c>
      <c r="BW43" s="12">
        <f>VLOOKUP(A43,'Données projet'!$A$113:$I$133,9,0)</f>
        <v>2.5641025641025634</v>
      </c>
      <c r="BX43" s="12">
        <f t="array" ref="BX43">INDEX(BW:BW,MIN(IF(ISNUMBER(BW43:BW239),ROW(BW43:BW239),"")))</f>
        <v>2.5641025641025634</v>
      </c>
      <c r="BY43" s="12">
        <f>IF('Données projet'!$A$114&gt;35,BY42+BX43-CG42,IF(A43&lt;'Données projet'!$A$114,$BV$205^A43,IF(A43='Données projet'!$A$114,'Données projet'!$B$114,BY42+BX43-CG42)))</f>
        <v>48.076923076923052</v>
      </c>
      <c r="BZ43" s="13">
        <f>BY43*VLOOKUP('Données projet'!$B$12,Paramètres!$A$1:$I$89,3,0)*VLOOKUP('Données projet'!$B$12,Paramètres!$A$1:$I$89,5,0)</f>
        <v>51.749999999999972</v>
      </c>
      <c r="CA43" s="13">
        <f t="shared" si="39"/>
        <v>15.064795955922019</v>
      </c>
      <c r="CB43" s="20">
        <f t="shared" si="10"/>
        <v>116.36910295656413</v>
      </c>
      <c r="CC43" s="59">
        <f t="shared" si="11"/>
        <v>401.96398197248129</v>
      </c>
      <c r="CD43" s="59">
        <f ca="1">AVERAGE(OFFSET($CC$3,0,0,'Données projet'!$E$12+1,1))-AVERAGE(OFFSET($H$3,0,0,'Données projet'!$E$12+1,1))</f>
        <v>192.88977161349993</v>
      </c>
      <c r="CE43" s="59">
        <f t="shared" si="40"/>
        <v>122.91376861456772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5.7692307692307692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0.34400000000000003</v>
      </c>
      <c r="CJ43" s="16">
        <f>IF(ISNA(VLOOKUP(A43,'Données projet'!$A$113:$I$133,7,0)),0%,VLOOKUP(A43,'Données projet'!$A$113:$I$133,7,0))</f>
        <v>0.2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7.5365117826301251</v>
      </c>
      <c r="CM43" s="21">
        <f>EXP(-LN(2)/2)*CM42+(1-EXP(-LN(2)/2))/(LN(2)/2)*CG43*CJ43*VLOOKUP('Données projet'!$B$12,Paramètres!$A$1:$I$89,3,0)*0.475*44/12</f>
        <v>1.4180433957251488</v>
      </c>
      <c r="CN43" s="22">
        <f t="shared" si="12"/>
        <v>8.9545551783552746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72.435897435897431</v>
      </c>
      <c r="CR43" s="12">
        <f>VLOOKUP(A43,'Données projet'!$A$139:$I$159,9,0)</f>
        <v>3.0769230769230758</v>
      </c>
      <c r="CS43" s="12">
        <f t="array" ref="CS43">INDEX(CR:CR,MIN(IF(ISNUMBER(CR43:CR239),ROW(CR43:CR239),"")))</f>
        <v>3.0769230769230758</v>
      </c>
      <c r="CT43" s="12">
        <f>IF('Données projet'!$A$140&gt;35,CT42+CS43-DB42,IF(A43&lt;'Données projet'!$A$140,$CQ$205^A43,IF(A43='Données projet'!$A$140,'Données projet'!$B$140,CT42+CS43-DB42)))</f>
        <v>72.435897435897431</v>
      </c>
      <c r="CU43" s="17">
        <f>CT43*VLOOKUP('Données projet'!$B$13,Paramètres!$A$1:$I$89,3,0)*VLOOKUP('Données projet'!$B$13,Paramètres!$A$1:$I$89,5,0)</f>
        <v>58.76</v>
      </c>
      <c r="CV43" s="13">
        <f t="shared" si="41"/>
        <v>16.854378084351904</v>
      </c>
      <c r="CW43" s="20">
        <f t="shared" si="13"/>
        <v>131.69504183024623</v>
      </c>
      <c r="CX43" s="59">
        <f t="shared" si="14"/>
        <v>417.2899208461634</v>
      </c>
      <c r="CY43" s="59">
        <f ca="1">AVERAGE(OFFSET($CX$3,0,0,'Données projet'!$E$13+1,1))-AVERAGE(OFFSET($H$3,0,0,'Données projet'!$E$13+1,1))</f>
        <v>163.16040389635825</v>
      </c>
      <c r="CZ43" s="59">
        <f t="shared" si="42"/>
        <v>138.57856782158811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6.4102564102564097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0.1075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2.2142522788605721</v>
      </c>
      <c r="DH43" s="21">
        <f>EXP(-LN(2)/2)*DH42+(1-EXP(-LN(2)/2))/(LN(2)/2)*DB43*DE43*VLOOKUP('Données projet'!$B$13,Paramètres!$A$1:$I$89,3,0)*0.475*44/12</f>
        <v>1.4844131768901652</v>
      </c>
      <c r="DI43" s="22">
        <f t="shared" si="15"/>
        <v>3.6986654557507372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7.7715686274509812</v>
      </c>
      <c r="DO43" s="12">
        <f>IF('Données projet'!$A$166&gt;35,DO42+DN43-DW42,IF(A43&lt;'Données projet'!$A$166,$DL$205^A43,IF(A43='Données projet'!$A$166,'Données projet'!$B$166,DO42+DN43-DW42)))</f>
        <v>310.86274509803917</v>
      </c>
      <c r="DP43" s="17">
        <f>DO43*VLOOKUP('Données projet'!$B$14,Paramètres!$A$1:$I$89,3,0)*VLOOKUP('Données projet'!$B$14,Paramètres!$A$1:$I$89,5,0)</f>
        <v>145.48376470588232</v>
      </c>
      <c r="DQ43" s="13">
        <f t="shared" si="43"/>
        <v>37.550436028495511</v>
      </c>
      <c r="DR43" s="20">
        <f t="shared" si="16"/>
        <v>318.78456627904137</v>
      </c>
      <c r="DS43" s="59">
        <f t="shared" si="17"/>
        <v>604.37944529495849</v>
      </c>
      <c r="DT43" s="59">
        <f ca="1">AVERAGE(OFFSET($DS$3,0,0,'Données projet'!$E$14+1,1))-AVERAGE(OFFSET($H$3,0,0,'Données projet'!$E$14+1,1))</f>
        <v>343.44193069803498</v>
      </c>
      <c r="DU43" s="59">
        <f t="shared" si="44"/>
        <v>280.67367019483481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87.820512820512818</v>
      </c>
      <c r="EH43" s="12">
        <f>VLOOKUP(A43,'Données projet'!$A$191:$I$211,9,0)</f>
        <v>4.7435897435897427</v>
      </c>
      <c r="EI43" s="12">
        <f t="array" ref="EI43">INDEX(EH:EH,MIN(IF(ISNUMBER(EH43:EH239),ROW(EH43:EH239),"")))</f>
        <v>4.7435897435897427</v>
      </c>
      <c r="EJ43" s="12">
        <f>IF('Données projet'!$A$192&gt;35,EJ42+EI43-ER42,IF(A43&lt;'Données projet'!$A$192,$EG$205^A43,IF(A43='Données projet'!$A$192,'Données projet'!$B$192,EJ42+EI43-ER42)))</f>
        <v>87.820512820512832</v>
      </c>
      <c r="EK43" s="17">
        <f>EJ43*VLOOKUP('Données projet'!$B$15,Paramètres!$A$1:$I$89,3,0)*VLOOKUP('Données projet'!$B$15,Paramètres!$A$1:$I$89,5,0)</f>
        <v>89.050000000000011</v>
      </c>
      <c r="EL43" s="13">
        <f t="shared" si="45"/>
        <v>24.335966559572544</v>
      </c>
      <c r="EM43" s="20">
        <f t="shared" si="19"/>
        <v>197.48055842458885</v>
      </c>
      <c r="EN43" s="59">
        <f t="shared" si="20"/>
        <v>483.07543744050599</v>
      </c>
      <c r="EO43" s="59">
        <f ca="1">AVERAGE(OFFSET($EN$3,0,0,'Données projet'!$E$15+1,1))-AVERAGE(OFFSET($H$3,0,0,'Données projet'!$E$15+1,1))</f>
        <v>270.0029254736703</v>
      </c>
      <c r="EP43" s="59">
        <f t="shared" si="46"/>
        <v>183.80022202211441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12.820512820512819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0.34400000000000003</v>
      </c>
      <c r="EU43" s="16">
        <f>IF(ISNA(VLOOKUP(A43,'Données projet'!$A$191:$I$211,7,0)),0%,VLOOKUP(A43,'Données projet'!$A$191:$I$211,7,0))</f>
        <v>0.2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16.160776579316938</v>
      </c>
      <c r="EX43" s="21">
        <f>EXP(-LN(2)/2)*EX42+(1-EXP(-LN(2)/2))/(LN(2)/2)*ER43*EU43*VLOOKUP('Données projet'!$B$15,Paramètres!$A$1:$I$89,3,0)*0.475*44/12</f>
        <v>2.9417940268944047</v>
      </c>
      <c r="EY43" s="22">
        <f t="shared" si="21"/>
        <v>19.102570606211344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192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192</v>
      </c>
      <c r="FF43" s="17">
        <f>FE43*VLOOKUP('Données projet'!$B$16,Paramètres!$A$1:$I$89,3,0)*VLOOKUP('Données projet'!$B$16,Paramètres!$A$1:$I$89,5,0)</f>
        <v>167.73120000000003</v>
      </c>
      <c r="FG43" s="13">
        <f t="shared" si="47"/>
        <v>42.581491199832655</v>
      </c>
      <c r="FH43" s="20">
        <f t="shared" si="22"/>
        <v>366.29460383970854</v>
      </c>
      <c r="FI43" s="59">
        <f t="shared" si="23"/>
        <v>651.88948285562572</v>
      </c>
      <c r="FJ43" s="59">
        <f ca="1">AVERAGE(OFFSET($FI$3,0,0,'Données projet'!$E$16+1,1))-AVERAGE(OFFSET($H$3,0,0,'Données projet'!$E$16+1,1))</f>
        <v>328.93328163316073</v>
      </c>
      <c r="FK43" s="59">
        <f t="shared" si="48"/>
        <v>320.27831321887072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0.13250000000000001</v>
      </c>
      <c r="FO43" s="16">
        <f>IF(ISNA(VLOOKUP(A43,'Données projet'!$A$217:$I$237,6,0)),0%,VLOOKUP(A43,'Données projet'!$A$217:$I$237,6,0)*VLOOKUP('Données projet'!$B$16,Paramètres!$A$1:$I$89,7,0))</f>
        <v>0.13250000000000001</v>
      </c>
      <c r="FP43" s="16">
        <f>IF(ISNA(VLOOKUP(A43,'Données projet'!$A$217:$I$237,7,0)),0%,VLOOKUP(A43,'Données projet'!$A$217:$I$237,7,0))</f>
        <v>0.25</v>
      </c>
      <c r="FQ43" s="21">
        <f>EXP(-LN(2)/35)*FQ42+(1-EXP(-LN(2)/35))/(LN(2)/35)*FM43*FN43*VLOOKUP('Données projet'!$B$16,Paramètres!$A$1:$I$89,3,0)*0.475*44/12</f>
        <v>6.828000939678649</v>
      </c>
      <c r="FR43" s="21">
        <f>EXP(-LN(2)/25)*FR42+(1-EXP(-LN(2)/25))/(LN(2)/25)*Calculateur!FM43*Calculateur!FO43*VLOOKUP('Données projet'!$B$16,Paramètres!$A$1:$I$89,3,0)*0.475*44/12</f>
        <v>14.740396054523039</v>
      </c>
      <c r="FS43" s="21">
        <f>EXP(-LN(2)/2)*FS42+(1-EXP(-LN(2)/2))/(LN(2)/2)*FM43*FP43*VLOOKUP('Données projet'!$B$16,Paramètres!$A$1:$I$89,3,0)*0.475*44/12</f>
        <v>7.0081823052660219</v>
      </c>
      <c r="FT43" s="22">
        <f t="shared" si="24"/>
        <v>28.57657929946771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87.820512820512818</v>
      </c>
      <c r="FX43" s="12">
        <f>VLOOKUP(A43,'Données projet'!$A$243:$I$263,9,0)</f>
        <v>4.7435897435897427</v>
      </c>
      <c r="FY43" s="12">
        <f t="array" ref="FY43">INDEX(FX:FX,MIN(IF(ISNUMBER(FX43:FX239),ROW(FX43:FX239),"")))</f>
        <v>4.7435897435897427</v>
      </c>
      <c r="FZ43" s="12">
        <f>IF('Données projet'!$A$244&gt;35,FZ42+FY43-GH42,IF(A43&lt;'Données projet'!$A$244,$FW$205^A43,IF(A43='Données projet'!$A$244,'Données projet'!$B$244,FZ42+FY43-GH42)))</f>
        <v>87.820512820512832</v>
      </c>
      <c r="GA43" s="17">
        <f>FZ43*VLOOKUP('Données projet'!$B$17,Paramètres!$A$1:$I$89,3,0)*VLOOKUP('Données projet'!$B$17,Paramètres!$A$1:$I$89,5,0)</f>
        <v>58.910000000000011</v>
      </c>
      <c r="GB43" s="13">
        <f t="shared" si="49"/>
        <v>16.892389447484916</v>
      </c>
      <c r="GC43" s="20">
        <f t="shared" si="25"/>
        <v>132.02249495436959</v>
      </c>
      <c r="GD43" s="59">
        <f t="shared" si="26"/>
        <v>417.61737397028674</v>
      </c>
      <c r="GE43" s="59">
        <f ca="1">AVERAGE(OFFSET($GD$3,0,0,'Données projet'!$E$17+1,1))-AVERAGE(OFFSET($H$3,0,0,'Données projet'!$E$17+1,1))</f>
        <v>192.88444860121191</v>
      </c>
      <c r="GF43" s="59">
        <f t="shared" si="50"/>
        <v>136.13737493732751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12.820512820512819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0.42400000000000004</v>
      </c>
      <c r="GK43" s="16">
        <f>IF(ISNA(VLOOKUP(A43,'Données projet'!$A$243:$I$263,7,0)),0%,VLOOKUP(A43,'Données projet'!$A$243:$I$263,7,0))</f>
        <v>0.2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13.177248595443039</v>
      </c>
      <c r="GN43" s="21">
        <f>EXP(-LN(2)/2)*GN42+(1-EXP(-LN(2)/2))/(LN(2)/2)*GH43*GK43*VLOOKUP('Données projet'!$B$17,Paramètres!$A$1:$I$89,3,0)*0.475*44/12</f>
        <v>1.9461098947147599</v>
      </c>
      <c r="GO43" s="21">
        <f t="shared" si="27"/>
        <v>15.123358490157798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67.8895124588865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0.85000000000000009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3.1166666666666671</v>
      </c>
      <c r="H44" s="67">
        <f t="shared" si="1"/>
        <v>244.19999999999996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618.19852469926036</v>
      </c>
      <c r="S44" s="59">
        <f ca="1">AVERAGE(OFFSET($R$3,0,0,'Données projet'!$E$9+1,1))-AVERAGE(OFFSET($H$3,0,0,'Données projet'!$E$9+1,1))</f>
        <v>643.492472896403</v>
      </c>
      <c r="T44" s="59">
        <f t="shared" si="34"/>
        <v>285.0259479655341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187.40000000000003</v>
      </c>
      <c r="AJ44" s="13">
        <f>AI44*VLOOKUP('Données projet'!$B$10,Paramètres!$A$1:$I$89,3,0)*VLOOKUP('Données projet'!$B$10,Paramètres!$A$1:$I$89,5,0)</f>
        <v>146.17200000000003</v>
      </c>
      <c r="AK44" s="13">
        <f t="shared" si="35"/>
        <v>37.707354374771185</v>
      </c>
      <c r="AL44" s="20">
        <f t="shared" si="4"/>
        <v>320.25654220272645</v>
      </c>
      <c r="AM44" s="59">
        <f t="shared" si="5"/>
        <v>605.98566610045873</v>
      </c>
      <c r="AN44" s="59">
        <f ca="1">AVERAGE(OFFSET($AM$3,0,0,'Données projet'!$E$10+1,1))-AVERAGE(OFFSET($H$3,0,0,'Données projet'!$E$10+1,1))</f>
        <v>289.89907502443873</v>
      </c>
      <c r="AO44" s="59">
        <f t="shared" si="36"/>
        <v>267.42183550360301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8.9575128567668276</v>
      </c>
      <c r="AW44" s="21">
        <f>EXP(-LN(2)/2)*AW43+(1-EXP(-LN(2)/2))/(LN(2)/2)*AQ44*AT44*VLOOKUP('Données projet'!$B$10,Paramètres!$A$1:$I$89,3,0)*0.475*44/12</f>
        <v>4.9424799860832209</v>
      </c>
      <c r="AX44" s="21">
        <f t="shared" si="6"/>
        <v>13.899992842850049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2.4358974358974352</v>
      </c>
      <c r="BD44" s="12">
        <f>IF('Données projet'!$A$88&gt;35,BD43+BC44-BL43,IF(A44&lt;'Données projet'!$A$88,$BA$205^A44,IF(A44='Données projet'!$A$88,'Données projet'!$B$88,BD43+BC44-BL43)))</f>
        <v>44.743589743589723</v>
      </c>
      <c r="BE44" s="13">
        <f>BD44*VLOOKUP('Données projet'!$B$11,Paramètres!$A$1:$I$89,3,0)*VLOOKUP('Données projet'!$B$11,Paramètres!$A$1:$I$89,5,0)</f>
        <v>43.275999999999982</v>
      </c>
      <c r="BF44" s="13">
        <f t="shared" si="37"/>
        <v>12.862933166874525</v>
      </c>
      <c r="BG44" s="20">
        <f t="shared" si="7"/>
        <v>97.775308598973098</v>
      </c>
      <c r="BH44" s="59">
        <f t="shared" si="8"/>
        <v>383.50443249670542</v>
      </c>
      <c r="BI44" s="59">
        <f ca="1">AVERAGE(OFFSET($BH$3,0,0,'Données projet'!$E$11+1,1))-AVERAGE(OFFSET($H$3,0,0,'Données projet'!$E$11+1,1))</f>
        <v>177.54241137663234</v>
      </c>
      <c r="BJ44" s="59">
        <f t="shared" si="38"/>
        <v>114.71095021456071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6.5867591194142427</v>
      </c>
      <c r="BR44" s="21">
        <f>EXP(-LN(2)/2)*BR43+(1-EXP(-LN(2)/2))/(LN(2)/2)*BL44*BO44*VLOOKUP('Données projet'!$B$11,Paramètres!$A$1:$I$89,3,0)*0.475*44/12</f>
        <v>0.90098409087407538</v>
      </c>
      <c r="BS44" s="22">
        <f t="shared" si="9"/>
        <v>7.4877432102883184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2.4358974358974352</v>
      </c>
      <c r="BY44" s="12">
        <f>IF('Données projet'!$A$114&gt;35,BY43+BX44-CG43,IF(A44&lt;'Données projet'!$A$114,$BV$205^A44,IF(A44='Données projet'!$A$114,'Données projet'!$B$114,BY43+BX44-CG43)))</f>
        <v>44.743589743589723</v>
      </c>
      <c r="BZ44" s="13">
        <f>BY44*VLOOKUP('Données projet'!$B$12,Paramètres!$A$1:$I$89,3,0)*VLOOKUP('Données projet'!$B$12,Paramètres!$A$1:$I$89,5,0)</f>
        <v>48.161999999999971</v>
      </c>
      <c r="CA44" s="13">
        <f t="shared" si="39"/>
        <v>14.138058452347092</v>
      </c>
      <c r="CB44" s="20">
        <f t="shared" si="10"/>
        <v>108.5059351378378</v>
      </c>
      <c r="CC44" s="59">
        <f t="shared" si="11"/>
        <v>394.23505903557015</v>
      </c>
      <c r="CD44" s="59">
        <f ca="1">AVERAGE(OFFSET($CC$3,0,0,'Données projet'!$E$12+1,1))-AVERAGE(OFFSET($H$3,0,0,'Données projet'!$E$12+1,1))</f>
        <v>192.88977161349993</v>
      </c>
      <c r="CE44" s="59">
        <f t="shared" si="40"/>
        <v>122.91376861456772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7.3304254716061745</v>
      </c>
      <c r="CM44" s="21">
        <f>EXP(-LN(2)/2)*CM43+(1-EXP(-LN(2)/2))/(LN(2)/2)*CG44*CJ44*VLOOKUP('Données projet'!$B$12,Paramètres!$A$1:$I$89,3,0)*0.475*44/12</f>
        <v>1.0027081011340517</v>
      </c>
      <c r="CN44" s="22">
        <f t="shared" si="12"/>
        <v>8.3331335727402269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3.0769230769230775</v>
      </c>
      <c r="CT44" s="12">
        <f>IF('Données projet'!$A$140&gt;35,CT43+CS44-DB43,IF(A44&lt;'Données projet'!$A$140,$CQ$205^A44,IF(A44='Données projet'!$A$140,'Données projet'!$B$140,CT43+CS44-DB43)))</f>
        <v>69.102564102564102</v>
      </c>
      <c r="CU44" s="17">
        <f>CT44*VLOOKUP('Données projet'!$B$13,Paramètres!$A$1:$I$89,3,0)*VLOOKUP('Données projet'!$B$13,Paramètres!$A$1:$I$89,5,0)</f>
        <v>56.056000000000004</v>
      </c>
      <c r="CV44" s="13">
        <f t="shared" si="41"/>
        <v>16.167190526120404</v>
      </c>
      <c r="CW44" s="20">
        <f t="shared" si="13"/>
        <v>125.7887234996597</v>
      </c>
      <c r="CX44" s="59">
        <f t="shared" si="14"/>
        <v>411.51784739739202</v>
      </c>
      <c r="CY44" s="59">
        <f ca="1">AVERAGE(OFFSET($CX$3,0,0,'Données projet'!$E$13+1,1))-AVERAGE(OFFSET($H$3,0,0,'Données projet'!$E$13+1,1))</f>
        <v>163.16040389635825</v>
      </c>
      <c r="CZ44" s="59">
        <f t="shared" si="42"/>
        <v>138.57856782158811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2.1537034338526633</v>
      </c>
      <c r="DH44" s="21">
        <f>EXP(-LN(2)/2)*DH43+(1-EXP(-LN(2)/2))/(LN(2)/2)*DB44*DE44*VLOOKUP('Données projet'!$B$13,Paramètres!$A$1:$I$89,3,0)*0.475*44/12</f>
        <v>1.0496386234617019</v>
      </c>
      <c r="DI44" s="22">
        <f t="shared" si="15"/>
        <v>3.2033420573143649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7.7715686274509812</v>
      </c>
      <c r="DO44" s="12">
        <f>IF('Données projet'!$A$166&gt;35,DO43+DN44-DW43,IF(A44&lt;'Données projet'!$A$166,$DL$205^A44,IF(A44='Données projet'!$A$166,'Données projet'!$B$166,DO43+DN44-DW43)))</f>
        <v>318.63431372549013</v>
      </c>
      <c r="DP44" s="17">
        <f>DO44*VLOOKUP('Données projet'!$B$14,Paramètres!$A$1:$I$89,3,0)*VLOOKUP('Données projet'!$B$14,Paramètres!$A$1:$I$89,5,0)</f>
        <v>149.12085882352937</v>
      </c>
      <c r="DQ44" s="13">
        <f t="shared" si="43"/>
        <v>38.378729335686863</v>
      </c>
      <c r="DR44" s="20">
        <f t="shared" si="16"/>
        <v>326.56178271063499</v>
      </c>
      <c r="DS44" s="59">
        <f t="shared" si="17"/>
        <v>612.29090660836732</v>
      </c>
      <c r="DT44" s="59">
        <f ca="1">AVERAGE(OFFSET($DS$3,0,0,'Données projet'!$E$14+1,1))-AVERAGE(OFFSET($H$3,0,0,'Données projet'!$E$14+1,1))</f>
        <v>343.44193069803498</v>
      </c>
      <c r="DU44" s="59">
        <f t="shared" si="44"/>
        <v>280.67367019483481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4.7435897435897427</v>
      </c>
      <c r="EJ44" s="12">
        <f>IF('Données projet'!$A$192&gt;35,EJ43+EI44-ER43,IF(A44&lt;'Données projet'!$A$192,$EG$205^A44,IF(A44='Données projet'!$A$192,'Données projet'!$B$192,EJ43+EI44-ER43)))</f>
        <v>79.743589743589752</v>
      </c>
      <c r="EK44" s="17">
        <f>EJ44*VLOOKUP('Données projet'!$B$15,Paramètres!$A$1:$I$89,3,0)*VLOOKUP('Données projet'!$B$15,Paramètres!$A$1:$I$89,5,0)</f>
        <v>80.860000000000014</v>
      </c>
      <c r="EL44" s="13">
        <f t="shared" si="45"/>
        <v>22.347327564637915</v>
      </c>
      <c r="EM44" s="20">
        <f t="shared" si="19"/>
        <v>179.75276217507769</v>
      </c>
      <c r="EN44" s="59">
        <f t="shared" si="20"/>
        <v>465.48188607281003</v>
      </c>
      <c r="EO44" s="59">
        <f ca="1">AVERAGE(OFFSET($EN$3,0,0,'Données projet'!$E$15+1,1))-AVERAGE(OFFSET($H$3,0,0,'Données projet'!$E$15+1,1))</f>
        <v>270.0029254736703</v>
      </c>
      <c r="EP44" s="59">
        <f t="shared" si="46"/>
        <v>183.80022202211441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15.718859293897212</v>
      </c>
      <c r="EX44" s="21">
        <f>EXP(-LN(2)/2)*EX43+(1-EXP(-LN(2)/2))/(LN(2)/2)*ER44*EU44*VLOOKUP('Données projet'!$B$15,Paramètres!$A$1:$I$89,3,0)*0.475*44/12</f>
        <v>2.0801625052711143</v>
      </c>
      <c r="EY44" s="22">
        <f t="shared" si="21"/>
        <v>17.799021799168326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172.2</v>
      </c>
      <c r="FF44" s="17">
        <f>FE44*VLOOKUP('Données projet'!$B$16,Paramètres!$A$1:$I$89,3,0)*VLOOKUP('Données projet'!$B$16,Paramètres!$A$1:$I$89,5,0)</f>
        <v>150.43392</v>
      </c>
      <c r="FG44" s="13">
        <f t="shared" si="47"/>
        <v>38.677178913707927</v>
      </c>
      <c r="FH44" s="20">
        <f t="shared" si="22"/>
        <v>329.36849727470798</v>
      </c>
      <c r="FI44" s="59">
        <f t="shared" si="23"/>
        <v>615.09762117244031</v>
      </c>
      <c r="FJ44" s="59">
        <f ca="1">AVERAGE(OFFSET($FI$3,0,0,'Données projet'!$E$16+1,1))-AVERAGE(OFFSET($H$3,0,0,'Données projet'!$E$16+1,1))</f>
        <v>328.93328163316073</v>
      </c>
      <c r="FK44" s="59">
        <f t="shared" si="48"/>
        <v>320.27831321887072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6.6941080059208966</v>
      </c>
      <c r="FR44" s="21">
        <f>EXP(-LN(2)/25)*FR43+(1-EXP(-LN(2)/25))/(LN(2)/25)*Calculateur!FM44*Calculateur!FO44*VLOOKUP('Données projet'!$B$16,Paramètres!$A$1:$I$89,3,0)*0.475*44/12</f>
        <v>14.337319149248367</v>
      </c>
      <c r="FS44" s="21">
        <f>EXP(-LN(2)/2)*FS43+(1-EXP(-LN(2)/2))/(LN(2)/2)*FM44*FP44*VLOOKUP('Données projet'!$B$16,Paramètres!$A$1:$I$89,3,0)*0.475*44/12</f>
        <v>4.9555332318451759</v>
      </c>
      <c r="FT44" s="22">
        <f t="shared" si="24"/>
        <v>25.986960387014442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4.7435897435897427</v>
      </c>
      <c r="FZ44" s="12">
        <f>IF('Données projet'!$A$244&gt;35,FZ43+FY44-GH43,IF(A44&lt;'Données projet'!$A$244,$FW$205^A44,IF(A44='Données projet'!$A$244,'Données projet'!$B$244,FZ43+FY44-GH43)))</f>
        <v>79.743589743589752</v>
      </c>
      <c r="GA44" s="17">
        <f>FZ44*VLOOKUP('Données projet'!$B$17,Paramètres!$A$1:$I$89,3,0)*VLOOKUP('Données projet'!$B$17,Paramètres!$A$1:$I$89,5,0)</f>
        <v>53.492000000000012</v>
      </c>
      <c r="GB44" s="13">
        <f t="shared" si="49"/>
        <v>15.512010152063965</v>
      </c>
      <c r="GC44" s="20">
        <f t="shared" si="25"/>
        <v>120.1819843481781</v>
      </c>
      <c r="GD44" s="59">
        <f t="shared" si="26"/>
        <v>405.91110824591044</v>
      </c>
      <c r="GE44" s="59">
        <f ca="1">AVERAGE(OFFSET($GD$3,0,0,'Données projet'!$E$17+1,1))-AVERAGE(OFFSET($H$3,0,0,'Données projet'!$E$17+1,1))</f>
        <v>192.88444860121191</v>
      </c>
      <c r="GF44" s="59">
        <f t="shared" si="50"/>
        <v>136.13737493732751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12.816916039639263</v>
      </c>
      <c r="GN44" s="21">
        <f>EXP(-LN(2)/2)*GN43+(1-EXP(-LN(2)/2))/(LN(2)/2)*GH44*GK44*VLOOKUP('Données projet'!$B$17,Paramètres!$A$1:$I$89,3,0)*0.475*44/12</f>
        <v>1.3761075034870449</v>
      </c>
      <c r="GO44" s="21">
        <f t="shared" si="27"/>
        <v>14.193023543126309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67.926124699381546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0.85000000000000009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3.1166666666666671</v>
      </c>
      <c r="H45" s="67">
        <f t="shared" si="1"/>
        <v>244.19999999999996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626.24451731925183</v>
      </c>
      <c r="S45" s="59">
        <f ca="1">AVERAGE(OFFSET($R$3,0,0,'Données projet'!$E$9+1,1))-AVERAGE(OFFSET($H$3,0,0,'Données projet'!$E$9+1,1))</f>
        <v>643.492472896403</v>
      </c>
      <c r="T45" s="59">
        <f t="shared" si="34"/>
        <v>285.0259479655341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198.80000000000004</v>
      </c>
      <c r="AJ45" s="13">
        <f>AI45*VLOOKUP('Données projet'!$B$10,Paramètres!$A$1:$I$89,3,0)*VLOOKUP('Données projet'!$B$10,Paramètres!$A$1:$I$89,5,0)</f>
        <v>155.06400000000005</v>
      </c>
      <c r="AK45" s="13">
        <f t="shared" si="35"/>
        <v>39.727164550120094</v>
      </c>
      <c r="AL45" s="20">
        <f t="shared" si="4"/>
        <v>339.26127825812586</v>
      </c>
      <c r="AM45" s="59">
        <f t="shared" si="5"/>
        <v>625.1223181891005</v>
      </c>
      <c r="AN45" s="59">
        <f ca="1">AVERAGE(OFFSET($AM$3,0,0,'Données projet'!$E$10+1,1))-AVERAGE(OFFSET($H$3,0,0,'Données projet'!$E$10+1,1))</f>
        <v>289.89907502443873</v>
      </c>
      <c r="AO45" s="59">
        <f t="shared" si="36"/>
        <v>267.42183550360301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8.7125691966434111</v>
      </c>
      <c r="AW45" s="21">
        <f>EXP(-LN(2)/2)*AW44+(1-EXP(-LN(2)/2))/(LN(2)/2)*AQ45*AT45*VLOOKUP('Données projet'!$B$10,Paramètres!$A$1:$I$89,3,0)*0.475*44/12</f>
        <v>3.4948611140382386</v>
      </c>
      <c r="AX45" s="21">
        <f t="shared" si="6"/>
        <v>12.20743031068165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2.4358974358974352</v>
      </c>
      <c r="BD45" s="12">
        <f>IF('Données projet'!$A$88&gt;35,BD44+BC45-BL44,IF(A45&lt;'Données projet'!$A$88,$BA$205^A45,IF(A45='Données projet'!$A$88,'Données projet'!$B$88,BD44+BC45-BL44)))</f>
        <v>47.179487179487161</v>
      </c>
      <c r="BE45" s="13">
        <f>BD45*VLOOKUP('Données projet'!$B$11,Paramètres!$A$1:$I$89,3,0)*VLOOKUP('Données projet'!$B$11,Paramètres!$A$1:$I$89,5,0)</f>
        <v>45.631999999999984</v>
      </c>
      <c r="BF45" s="13">
        <f t="shared" si="37"/>
        <v>13.479773612605848</v>
      </c>
      <c r="BG45" s="20">
        <f t="shared" si="7"/>
        <v>102.95300570862183</v>
      </c>
      <c r="BH45" s="59">
        <f t="shared" si="8"/>
        <v>388.81404563959643</v>
      </c>
      <c r="BI45" s="59">
        <f ca="1">AVERAGE(OFFSET($BH$3,0,0,'Données projet'!$E$11+1,1))-AVERAGE(OFFSET($H$3,0,0,'Données projet'!$E$11+1,1))</f>
        <v>177.54241137663234</v>
      </c>
      <c r="BJ45" s="59">
        <f t="shared" si="38"/>
        <v>114.71095021456071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6.4066438449112528</v>
      </c>
      <c r="BR45" s="21">
        <f>EXP(-LN(2)/2)*BR44+(1-EXP(-LN(2)/2))/(LN(2)/2)*BL45*BO45*VLOOKUP('Données projet'!$B$11,Paramètres!$A$1:$I$89,3,0)*0.475*44/12</f>
        <v>0.63709196039825533</v>
      </c>
      <c r="BS45" s="22">
        <f t="shared" si="9"/>
        <v>7.0437358053095078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2.4358974358974352</v>
      </c>
      <c r="BY45" s="12">
        <f>IF('Données projet'!$A$114&gt;35,BY44+BX45-CG44,IF(A45&lt;'Données projet'!$A$114,$BV$205^A45,IF(A45='Données projet'!$A$114,'Données projet'!$B$114,BY44+BX45-CG44)))</f>
        <v>47.179487179487161</v>
      </c>
      <c r="BZ45" s="13">
        <f>BY45*VLOOKUP('Données projet'!$B$12,Paramètres!$A$1:$I$89,3,0)*VLOOKUP('Données projet'!$B$12,Paramètres!$A$1:$I$89,5,0)</f>
        <v>50.783999999999978</v>
      </c>
      <c r="CA45" s="13">
        <f t="shared" si="39"/>
        <v>14.81604738102939</v>
      </c>
      <c r="CB45" s="20">
        <f t="shared" si="10"/>
        <v>114.25341585529281</v>
      </c>
      <c r="CC45" s="59">
        <f t="shared" si="11"/>
        <v>400.1144557862674</v>
      </c>
      <c r="CD45" s="59">
        <f ca="1">AVERAGE(OFFSET($CC$3,0,0,'Données projet'!$E$12+1,1))-AVERAGE(OFFSET($H$3,0,0,'Données projet'!$E$12+1,1))</f>
        <v>192.88977161349993</v>
      </c>
      <c r="CE45" s="59">
        <f t="shared" si="40"/>
        <v>122.91376861456772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7.1299746015947818</v>
      </c>
      <c r="CM45" s="21">
        <f>EXP(-LN(2)/2)*CM44+(1-EXP(-LN(2)/2))/(LN(2)/2)*CG45*CJ45*VLOOKUP('Données projet'!$B$12,Paramètres!$A$1:$I$89,3,0)*0.475*44/12</f>
        <v>0.70902169786257452</v>
      </c>
      <c r="CN45" s="22">
        <f t="shared" si="12"/>
        <v>7.8389962994573565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3.0769230769230775</v>
      </c>
      <c r="CT45" s="12">
        <f>IF('Données projet'!$A$140&gt;35,CT44+CS45-DB44,IF(A45&lt;'Données projet'!$A$140,$CQ$205^A45,IF(A45='Données projet'!$A$140,'Données projet'!$B$140,CT44+CS45-DB44)))</f>
        <v>72.179487179487182</v>
      </c>
      <c r="CU45" s="17">
        <f>CT45*VLOOKUP('Données projet'!$B$13,Paramètres!$A$1:$I$89,3,0)*VLOOKUP('Données projet'!$B$13,Paramètres!$A$1:$I$89,5,0)</f>
        <v>58.552000000000007</v>
      </c>
      <c r="CV45" s="13">
        <f t="shared" si="41"/>
        <v>16.801650294444062</v>
      </c>
      <c r="CW45" s="20">
        <f t="shared" si="13"/>
        <v>131.24094092949005</v>
      </c>
      <c r="CX45" s="59">
        <f t="shared" si="14"/>
        <v>417.10198086046466</v>
      </c>
      <c r="CY45" s="59">
        <f ca="1">AVERAGE(OFFSET($CX$3,0,0,'Données projet'!$E$13+1,1))-AVERAGE(OFFSET($H$3,0,0,'Données projet'!$E$13+1,1))</f>
        <v>163.16040389635825</v>
      </c>
      <c r="CZ45" s="59">
        <f t="shared" si="42"/>
        <v>138.57856782158811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2.0948103001956211</v>
      </c>
      <c r="DH45" s="21">
        <f>EXP(-LN(2)/2)*DH44+(1-EXP(-LN(2)/2))/(LN(2)/2)*DB45*DE45*VLOOKUP('Données projet'!$B$13,Paramètres!$A$1:$I$89,3,0)*0.475*44/12</f>
        <v>0.74220658844508269</v>
      </c>
      <c r="DI45" s="22">
        <f t="shared" si="15"/>
        <v>2.8370168886407039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7.7715686274509812</v>
      </c>
      <c r="DO45" s="12">
        <f>IF('Données projet'!$A$166&gt;35,DO44+DN45-DW44,IF(A45&lt;'Données projet'!$A$166,$DL$205^A45,IF(A45='Données projet'!$A$166,'Données projet'!$B$166,DO44+DN45-DW44)))</f>
        <v>326.40588235294109</v>
      </c>
      <c r="DP45" s="17">
        <f>DO45*VLOOKUP('Données projet'!$B$14,Paramètres!$A$1:$I$89,3,0)*VLOOKUP('Données projet'!$B$14,Paramètres!$A$1:$I$89,5,0)</f>
        <v>152.75795294117643</v>
      </c>
      <c r="DQ45" s="13">
        <f t="shared" si="43"/>
        <v>39.204674186786249</v>
      </c>
      <c r="DR45" s="20">
        <f t="shared" si="16"/>
        <v>334.33490891453494</v>
      </c>
      <c r="DS45" s="59">
        <f t="shared" si="17"/>
        <v>620.19594884550952</v>
      </c>
      <c r="DT45" s="59">
        <f ca="1">AVERAGE(OFFSET($DS$3,0,0,'Données projet'!$E$14+1,1))-AVERAGE(OFFSET($H$3,0,0,'Données projet'!$E$14+1,1))</f>
        <v>343.44193069803498</v>
      </c>
      <c r="DU45" s="59">
        <f t="shared" si="44"/>
        <v>280.67367019483481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4.7435897435897427</v>
      </c>
      <c r="EJ45" s="12">
        <f>IF('Données projet'!$A$192&gt;35,EJ44+EI45-ER44,IF(A45&lt;'Données projet'!$A$192,$EG$205^A45,IF(A45='Données projet'!$A$192,'Données projet'!$B$192,EJ44+EI45-ER44)))</f>
        <v>84.487179487179489</v>
      </c>
      <c r="EK45" s="17">
        <f>EJ45*VLOOKUP('Données projet'!$B$15,Paramètres!$A$1:$I$89,3,0)*VLOOKUP('Données projet'!$B$15,Paramètres!$A$1:$I$89,5,0)</f>
        <v>85.670000000000016</v>
      </c>
      <c r="EL45" s="13">
        <f t="shared" si="45"/>
        <v>23.517955447522485</v>
      </c>
      <c r="EM45" s="20">
        <f t="shared" si="19"/>
        <v>190.16902240443497</v>
      </c>
      <c r="EN45" s="59">
        <f t="shared" si="20"/>
        <v>476.03006233540953</v>
      </c>
      <c r="EO45" s="59">
        <f ca="1">AVERAGE(OFFSET($EN$3,0,0,'Données projet'!$E$15+1,1))-AVERAGE(OFFSET($H$3,0,0,'Données projet'!$E$15+1,1))</f>
        <v>270.0029254736703</v>
      </c>
      <c r="EP45" s="59">
        <f t="shared" si="46"/>
        <v>183.80022202211441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15.289026259886709</v>
      </c>
      <c r="EX45" s="21">
        <f>EXP(-LN(2)/2)*EX44+(1-EXP(-LN(2)/2))/(LN(2)/2)*ER45*EU45*VLOOKUP('Données projet'!$B$15,Paramètres!$A$1:$I$89,3,0)*0.475*44/12</f>
        <v>1.4708970134472024</v>
      </c>
      <c r="EY45" s="22">
        <f t="shared" si="21"/>
        <v>16.759923273333911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180.39999999999998</v>
      </c>
      <c r="FF45" s="17">
        <f>FE45*VLOOKUP('Données projet'!$B$16,Paramètres!$A$1:$I$89,3,0)*VLOOKUP('Données projet'!$B$16,Paramètres!$A$1:$I$89,5,0)</f>
        <v>157.59744000000001</v>
      </c>
      <c r="FG45" s="13">
        <f t="shared" si="47"/>
        <v>40.300135037830529</v>
      </c>
      <c r="FH45" s="20">
        <f t="shared" si="22"/>
        <v>344.67160985755481</v>
      </c>
      <c r="FI45" s="59">
        <f t="shared" si="23"/>
        <v>630.5326497885294</v>
      </c>
      <c r="FJ45" s="59">
        <f ca="1">AVERAGE(OFFSET($FI$3,0,0,'Données projet'!$E$16+1,1))-AVERAGE(OFFSET($H$3,0,0,'Données projet'!$E$16+1,1))</f>
        <v>328.93328163316073</v>
      </c>
      <c r="FK45" s="59">
        <f t="shared" si="48"/>
        <v>320.27831321887072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6.562840630927508</v>
      </c>
      <c r="FR45" s="21">
        <f>EXP(-LN(2)/25)*FR44+(1-EXP(-LN(2)/25))/(LN(2)/25)*Calculateur!FM45*Calculateur!FO45*VLOOKUP('Données projet'!$B$16,Paramètres!$A$1:$I$89,3,0)*0.475*44/12</f>
        <v>13.945264403145325</v>
      </c>
      <c r="FS45" s="21">
        <f>EXP(-LN(2)/2)*FS44+(1-EXP(-LN(2)/2))/(LN(2)/2)*FM45*FP45*VLOOKUP('Données projet'!$B$16,Paramètres!$A$1:$I$89,3,0)*0.475*44/12</f>
        <v>3.5040911526330119</v>
      </c>
      <c r="FT45" s="22">
        <f t="shared" si="24"/>
        <v>24.012196186705847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4.7435897435897427</v>
      </c>
      <c r="FZ45" s="12">
        <f>IF('Données projet'!$A$244&gt;35,FZ44+FY45-GH44,IF(A45&lt;'Données projet'!$A$244,$FW$205^A45,IF(A45='Données projet'!$A$244,'Données projet'!$B$244,FZ44+FY45-GH44)))</f>
        <v>84.487179487179489</v>
      </c>
      <c r="GA45" s="17">
        <f>FZ45*VLOOKUP('Données projet'!$B$17,Paramètres!$A$1:$I$89,3,0)*VLOOKUP('Données projet'!$B$17,Paramètres!$A$1:$I$89,5,0)</f>
        <v>56.674000000000007</v>
      </c>
      <c r="GB45" s="13">
        <f t="shared" si="49"/>
        <v>16.324581210105315</v>
      </c>
      <c r="GC45" s="20">
        <f t="shared" si="25"/>
        <v>127.13919560760012</v>
      </c>
      <c r="GD45" s="59">
        <f t="shared" si="26"/>
        <v>413.00023553857471</v>
      </c>
      <c r="GE45" s="59">
        <f ca="1">AVERAGE(OFFSET($GD$3,0,0,'Données projet'!$E$17+1,1))-AVERAGE(OFFSET($H$3,0,0,'Données projet'!$E$17+1,1))</f>
        <v>192.88444860121191</v>
      </c>
      <c r="GF45" s="59">
        <f t="shared" si="50"/>
        <v>136.13737493732751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12.466436796523007</v>
      </c>
      <c r="GN45" s="21">
        <f>EXP(-LN(2)/2)*GN44+(1-EXP(-LN(2)/2))/(LN(2)/2)*GH45*GK45*VLOOKUP('Données projet'!$B$17,Paramètres!$A$1:$I$89,3,0)*0.475*44/12</f>
        <v>0.97305494735738007</v>
      </c>
      <c r="GO45" s="21">
        <f t="shared" si="27"/>
        <v>13.439491743880387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67.962101799356702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0.85000000000000009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3.1166666666666671</v>
      </c>
      <c r="H46" s="67">
        <f t="shared" si="1"/>
        <v>244.19999999999996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559.74284780991832</v>
      </c>
      <c r="S46" s="59">
        <f ca="1">AVERAGE(OFFSET($R$3,0,0,'Données projet'!$E$9+1,1))-AVERAGE(OFFSET($H$3,0,0,'Données projet'!$E$9+1,1))</f>
        <v>643.492472896403</v>
      </c>
      <c r="T46" s="59">
        <f t="shared" si="34"/>
        <v>285.0259479655341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210.20000000000005</v>
      </c>
      <c r="AJ46" s="13">
        <f>AI46*VLOOKUP('Données projet'!$B$10,Paramètres!$A$1:$I$89,3,0)*VLOOKUP('Données projet'!$B$10,Paramètres!$A$1:$I$89,5,0)</f>
        <v>163.95600000000005</v>
      </c>
      <c r="AK46" s="13">
        <f t="shared" si="35"/>
        <v>41.733529914742604</v>
      </c>
      <c r="AL46" s="20">
        <f t="shared" si="4"/>
        <v>358.24259793484339</v>
      </c>
      <c r="AM46" s="59">
        <f t="shared" si="5"/>
        <v>644.2332654508034</v>
      </c>
      <c r="AN46" s="59">
        <f ca="1">AVERAGE(OFFSET($AM$3,0,0,'Données projet'!$E$10+1,1))-AVERAGE(OFFSET($H$3,0,0,'Données projet'!$E$10+1,1))</f>
        <v>289.89907502443873</v>
      </c>
      <c r="AO46" s="59">
        <f t="shared" si="36"/>
        <v>267.42183550360301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8.4743235337870964</v>
      </c>
      <c r="AW46" s="21">
        <f>EXP(-LN(2)/2)*AW45+(1-EXP(-LN(2)/2))/(LN(2)/2)*AQ46*AT46*VLOOKUP('Données projet'!$B$10,Paramètres!$A$1:$I$89,3,0)*0.475*44/12</f>
        <v>2.4712399930416109</v>
      </c>
      <c r="AX46" s="21">
        <f t="shared" si="6"/>
        <v>10.945563526828707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2.4358974358974352</v>
      </c>
      <c r="BD46" s="12">
        <f>IF('Données projet'!$A$88&gt;35,BD45+BC46-BL45,IF(A46&lt;'Données projet'!$A$88,$BA$205^A46,IF(A46='Données projet'!$A$88,'Données projet'!$B$88,BD45+BC46-BL45)))</f>
        <v>49.615384615384599</v>
      </c>
      <c r="BE46" s="13">
        <f>BD46*VLOOKUP('Données projet'!$B$11,Paramètres!$A$1:$I$89,3,0)*VLOOKUP('Données projet'!$B$11,Paramètres!$A$1:$I$89,5,0)</f>
        <v>47.987999999999985</v>
      </c>
      <c r="BF46" s="13">
        <f t="shared" si="37"/>
        <v>14.092916364095757</v>
      </c>
      <c r="BG46" s="20">
        <f t="shared" si="7"/>
        <v>108.12426266746674</v>
      </c>
      <c r="BH46" s="59">
        <f t="shared" si="8"/>
        <v>394.11493018342679</v>
      </c>
      <c r="BI46" s="59">
        <f ca="1">AVERAGE(OFFSET($BH$3,0,0,'Données projet'!$E$11+1,1))-AVERAGE(OFFSET($H$3,0,0,'Données projet'!$E$11+1,1))</f>
        <v>177.54241137663234</v>
      </c>
      <c r="BJ46" s="59">
        <f t="shared" si="38"/>
        <v>114.71095021456071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6.2314538320613977</v>
      </c>
      <c r="BR46" s="21">
        <f>EXP(-LN(2)/2)*BR45+(1-EXP(-LN(2)/2))/(LN(2)/2)*BL46*BO46*VLOOKUP('Données projet'!$B$11,Paramètres!$A$1:$I$89,3,0)*0.475*44/12</f>
        <v>0.45049204543703775</v>
      </c>
      <c r="BS46" s="22">
        <f t="shared" si="9"/>
        <v>6.6819458774984355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2.4358974358974352</v>
      </c>
      <c r="BY46" s="12">
        <f>IF('Données projet'!$A$114&gt;35,BY45+BX46-CG45,IF(A46&lt;'Données projet'!$A$114,$BV$205^A46,IF(A46='Données projet'!$A$114,'Données projet'!$B$114,BY45+BX46-CG45)))</f>
        <v>49.615384615384599</v>
      </c>
      <c r="BZ46" s="13">
        <f>BY46*VLOOKUP('Données projet'!$B$12,Paramètres!$A$1:$I$89,3,0)*VLOOKUP('Données projet'!$B$12,Paramètres!$A$1:$I$89,5,0)</f>
        <v>53.405999999999985</v>
      </c>
      <c r="CA46" s="13">
        <f t="shared" si="39"/>
        <v>15.489972056508647</v>
      </c>
      <c r="CB46" s="20">
        <f t="shared" si="10"/>
        <v>119.9938179984192</v>
      </c>
      <c r="CC46" s="59">
        <f t="shared" si="11"/>
        <v>405.98448551437929</v>
      </c>
      <c r="CD46" s="59">
        <f ca="1">AVERAGE(OFFSET($CC$3,0,0,'Données projet'!$E$12+1,1))-AVERAGE(OFFSET($H$3,0,0,'Données projet'!$E$12+1,1))</f>
        <v>192.88977161349993</v>
      </c>
      <c r="CE46" s="59">
        <f t="shared" si="40"/>
        <v>122.91376861456772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6.9350050711651043</v>
      </c>
      <c r="CM46" s="21">
        <f>EXP(-LN(2)/2)*CM45+(1-EXP(-LN(2)/2))/(LN(2)/2)*CG46*CJ46*VLOOKUP('Données projet'!$B$12,Paramètres!$A$1:$I$89,3,0)*0.475*44/12</f>
        <v>0.50135405056702598</v>
      </c>
      <c r="CN46" s="22">
        <f t="shared" si="12"/>
        <v>7.4363591217321305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3.0769230769230775</v>
      </c>
      <c r="CT46" s="12">
        <f>IF('Données projet'!$A$140&gt;35,CT45+CS46-DB45,IF(A46&lt;'Données projet'!$A$140,$CQ$205^A46,IF(A46='Données projet'!$A$140,'Données projet'!$B$140,CT45+CS46-DB45)))</f>
        <v>75.256410256410263</v>
      </c>
      <c r="CU46" s="17">
        <f>CT46*VLOOKUP('Données projet'!$B$13,Paramètres!$A$1:$I$89,3,0)*VLOOKUP('Données projet'!$B$13,Paramètres!$A$1:$I$89,5,0)</f>
        <v>61.048000000000009</v>
      </c>
      <c r="CV46" s="13">
        <f t="shared" si="41"/>
        <v>17.432968673131619</v>
      </c>
      <c r="CW46" s="20">
        <f t="shared" si="13"/>
        <v>136.68768710570427</v>
      </c>
      <c r="CX46" s="59">
        <f t="shared" si="14"/>
        <v>422.67835462166431</v>
      </c>
      <c r="CY46" s="59">
        <f ca="1">AVERAGE(OFFSET($CX$3,0,0,'Données projet'!$E$13+1,1))-AVERAGE(OFFSET($H$3,0,0,'Données projet'!$E$13+1,1))</f>
        <v>163.16040389635825</v>
      </c>
      <c r="CZ46" s="59">
        <f t="shared" si="42"/>
        <v>138.57856782158811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2.0375276023754858</v>
      </c>
      <c r="DH46" s="21">
        <f>EXP(-LN(2)/2)*DH45+(1-EXP(-LN(2)/2))/(LN(2)/2)*DB46*DE46*VLOOKUP('Données projet'!$B$13,Paramètres!$A$1:$I$89,3,0)*0.475*44/12</f>
        <v>0.52481931173085106</v>
      </c>
      <c r="DI46" s="22">
        <f t="shared" si="15"/>
        <v>2.5623469141063371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7.7715686274509812</v>
      </c>
      <c r="DO46" s="12">
        <f>IF('Données projet'!$A$166&gt;35,DO45+DN46-DW45,IF(A46&lt;'Données projet'!$A$166,$DL$205^A46,IF(A46='Données projet'!$A$166,'Données projet'!$B$166,DO45+DN46-DW45)))</f>
        <v>334.17745098039205</v>
      </c>
      <c r="DP46" s="17">
        <f>DO46*VLOOKUP('Données projet'!$B$14,Paramètres!$A$1:$I$89,3,0)*VLOOKUP('Données projet'!$B$14,Paramètres!$A$1:$I$89,5,0)</f>
        <v>156.39504705882348</v>
      </c>
      <c r="DQ46" s="13">
        <f t="shared" si="43"/>
        <v>40.028332931481749</v>
      </c>
      <c r="DR46" s="20">
        <f t="shared" si="16"/>
        <v>342.10405348311491</v>
      </c>
      <c r="DS46" s="59">
        <f t="shared" si="17"/>
        <v>628.09472099907498</v>
      </c>
      <c r="DT46" s="59">
        <f ca="1">AVERAGE(OFFSET($DS$3,0,0,'Données projet'!$E$14+1,1))-AVERAGE(OFFSET($H$3,0,0,'Données projet'!$E$14+1,1))</f>
        <v>343.44193069803498</v>
      </c>
      <c r="DU46" s="59">
        <f t="shared" si="44"/>
        <v>280.67367019483481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4.7435897435897427</v>
      </c>
      <c r="EJ46" s="12">
        <f>IF('Données projet'!$A$192&gt;35,EJ45+EI46-ER45,IF(A46&lt;'Données projet'!$A$192,$EG$205^A46,IF(A46='Données projet'!$A$192,'Données projet'!$B$192,EJ45+EI46-ER45)))</f>
        <v>89.230769230769226</v>
      </c>
      <c r="EK46" s="17">
        <f>EJ46*VLOOKUP('Données projet'!$B$15,Paramètres!$A$1:$I$89,3,0)*VLOOKUP('Données projet'!$B$15,Paramètres!$A$1:$I$89,5,0)</f>
        <v>90.48</v>
      </c>
      <c r="EL46" s="13">
        <f t="shared" si="45"/>
        <v>24.680953573367994</v>
      </c>
      <c r="EM46" s="20">
        <f t="shared" si="19"/>
        <v>200.57199414028261</v>
      </c>
      <c r="EN46" s="59">
        <f t="shared" si="20"/>
        <v>486.56266165624265</v>
      </c>
      <c r="EO46" s="59">
        <f ca="1">AVERAGE(OFFSET($EN$3,0,0,'Données projet'!$E$15+1,1))-AVERAGE(OFFSET($H$3,0,0,'Données projet'!$E$15+1,1))</f>
        <v>270.0029254736703</v>
      </c>
      <c r="EP46" s="59">
        <f t="shared" si="46"/>
        <v>183.80022202211441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14.87094703279516</v>
      </c>
      <c r="EX46" s="21">
        <f>EXP(-LN(2)/2)*EX45+(1-EXP(-LN(2)/2))/(LN(2)/2)*ER46*EU46*VLOOKUP('Données projet'!$B$15,Paramètres!$A$1:$I$89,3,0)*0.475*44/12</f>
        <v>1.0400812526355572</v>
      </c>
      <c r="EY46" s="22">
        <f t="shared" si="21"/>
        <v>15.911028285430717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188.59999999999997</v>
      </c>
      <c r="FF46" s="17">
        <f>FE46*VLOOKUP('Données projet'!$B$16,Paramètres!$A$1:$I$89,3,0)*VLOOKUP('Données projet'!$B$16,Paramètres!$A$1:$I$89,5,0)</f>
        <v>164.76095999999998</v>
      </c>
      <c r="FG46" s="13">
        <f t="shared" si="47"/>
        <v>41.91452380971991</v>
      </c>
      <c r="FH46" s="20">
        <f t="shared" si="22"/>
        <v>359.9598009685954</v>
      </c>
      <c r="FI46" s="59">
        <f t="shared" si="23"/>
        <v>645.95046848455547</v>
      </c>
      <c r="FJ46" s="59">
        <f ca="1">AVERAGE(OFFSET($FI$3,0,0,'Données projet'!$E$16+1,1))-AVERAGE(OFFSET($H$3,0,0,'Données projet'!$E$16+1,1))</f>
        <v>328.93328163316073</v>
      </c>
      <c r="FK46" s="59">
        <f t="shared" si="48"/>
        <v>320.27831321887072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6.4341473290925473</v>
      </c>
      <c r="FR46" s="21">
        <f>EXP(-LN(2)/25)*FR45+(1-EXP(-LN(2)/25))/(LN(2)/25)*Calculateur!FM46*Calculateur!FO46*VLOOKUP('Données projet'!$B$16,Paramètres!$A$1:$I$89,3,0)*0.475*44/12</f>
        <v>13.563930414691734</v>
      </c>
      <c r="FS46" s="21">
        <f>EXP(-LN(2)/2)*FS45+(1-EXP(-LN(2)/2))/(LN(2)/2)*FM46*FP46*VLOOKUP('Données projet'!$B$16,Paramètres!$A$1:$I$89,3,0)*0.475*44/12</f>
        <v>2.4777666159225884</v>
      </c>
      <c r="FT46" s="22">
        <f t="shared" si="24"/>
        <v>22.475844359706869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4.7435897435897427</v>
      </c>
      <c r="FZ46" s="12">
        <f>IF('Données projet'!$A$244&gt;35,FZ45+FY46-GH45,IF(A46&lt;'Données projet'!$A$244,$FW$205^A46,IF(A46='Données projet'!$A$244,'Données projet'!$B$244,FZ45+FY46-GH45)))</f>
        <v>89.230769230769226</v>
      </c>
      <c r="GA46" s="17">
        <f>FZ46*VLOOKUP('Données projet'!$B$17,Paramètres!$A$1:$I$89,3,0)*VLOOKUP('Données projet'!$B$17,Paramètres!$A$1:$I$89,5,0)</f>
        <v>59.856000000000002</v>
      </c>
      <c r="GB46" s="13">
        <f t="shared" si="49"/>
        <v>17.131856204520926</v>
      </c>
      <c r="GC46" s="20">
        <f t="shared" si="25"/>
        <v>134.0871828895406</v>
      </c>
      <c r="GD46" s="59">
        <f t="shared" si="26"/>
        <v>420.07785040550067</v>
      </c>
      <c r="GE46" s="59">
        <f ca="1">AVERAGE(OFFSET($GD$3,0,0,'Données projet'!$E$17+1,1))-AVERAGE(OFFSET($H$3,0,0,'Données projet'!$E$17+1,1))</f>
        <v>192.88444860121191</v>
      </c>
      <c r="GF46" s="59">
        <f t="shared" si="50"/>
        <v>136.13737493732751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12.125541426740668</v>
      </c>
      <c r="GN46" s="21">
        <f>EXP(-LN(2)/2)*GN45+(1-EXP(-LN(2)/2))/(LN(2)/2)*GH46*GK46*VLOOKUP('Données projet'!$B$17,Paramètres!$A$1:$I$89,3,0)*0.475*44/12</f>
        <v>0.68805375174352257</v>
      </c>
      <c r="GO46" s="21">
        <f t="shared" si="27"/>
        <v>12.81359517848419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67.997454777080023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0.85000000000000009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3.1166666666666671</v>
      </c>
      <c r="H47" s="67">
        <f t="shared" si="1"/>
        <v>244.19999999999996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579.48686017919772</v>
      </c>
      <c r="S47" s="59">
        <f ca="1">AVERAGE(OFFSET($R$3,0,0,'Données projet'!$E$9+1,1))-AVERAGE(OFFSET($H$3,0,0,'Données projet'!$E$9+1,1))</f>
        <v>643.492472896403</v>
      </c>
      <c r="T47" s="59">
        <f t="shared" si="34"/>
        <v>285.0259479655341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221.60000000000005</v>
      </c>
      <c r="AJ47" s="13">
        <f>AI47*VLOOKUP('Données projet'!$B$10,Paramètres!$A$1:$I$89,3,0)*VLOOKUP('Données projet'!$B$10,Paramètres!$A$1:$I$89,5,0)</f>
        <v>172.84800000000004</v>
      </c>
      <c r="AK47" s="13">
        <f t="shared" si="35"/>
        <v>43.727262763680358</v>
      </c>
      <c r="AL47" s="20">
        <f t="shared" si="4"/>
        <v>377.20191598007665</v>
      </c>
      <c r="AM47" s="59">
        <f t="shared" si="5"/>
        <v>663.31996233222662</v>
      </c>
      <c r="AN47" s="59">
        <f ca="1">AVERAGE(OFFSET($AM$3,0,0,'Données projet'!$E$10+1,1))-AVERAGE(OFFSET($H$3,0,0,'Données projet'!$E$10+1,1))</f>
        <v>289.89907502443873</v>
      </c>
      <c r="AO47" s="59">
        <f t="shared" si="36"/>
        <v>267.42183550360301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8.2425927111103814</v>
      </c>
      <c r="AW47" s="21">
        <f>EXP(-LN(2)/2)*AW46+(1-EXP(-LN(2)/2))/(LN(2)/2)*AQ47*AT47*VLOOKUP('Données projet'!$B$10,Paramètres!$A$1:$I$89,3,0)*0.475*44/12</f>
        <v>1.7474305570191198</v>
      </c>
      <c r="AX47" s="21">
        <f t="shared" si="6"/>
        <v>9.9900232681295016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2.4358974358974352</v>
      </c>
      <c r="BD47" s="12">
        <f>IF('Données projet'!$A$88&gt;35,BD46+BC47-BL46,IF(A47&lt;'Données projet'!$A$88,$BA$205^A47,IF(A47='Données projet'!$A$88,'Données projet'!$B$88,BD46+BC47-BL46)))</f>
        <v>52.051282051282037</v>
      </c>
      <c r="BE47" s="13">
        <f>BD47*VLOOKUP('Données projet'!$B$11,Paramètres!$A$1:$I$89,3,0)*VLOOKUP('Données projet'!$B$11,Paramètres!$A$1:$I$89,5,0)</f>
        <v>50.343999999999987</v>
      </c>
      <c r="BF47" s="13">
        <f t="shared" si="37"/>
        <v>14.702563681548275</v>
      </c>
      <c r="BG47" s="20">
        <f t="shared" si="7"/>
        <v>113.28943174536323</v>
      </c>
      <c r="BH47" s="59">
        <f t="shared" si="8"/>
        <v>399.40747809751321</v>
      </c>
      <c r="BI47" s="59">
        <f ca="1">AVERAGE(OFFSET($BH$3,0,0,'Données projet'!$E$11+1,1))-AVERAGE(OFFSET($H$3,0,0,'Données projet'!$E$11+1,1))</f>
        <v>177.54241137663234</v>
      </c>
      <c r="BJ47" s="59">
        <f t="shared" si="38"/>
        <v>114.71095021456071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6.061054399325764</v>
      </c>
      <c r="BR47" s="21">
        <f>EXP(-LN(2)/2)*BR46+(1-EXP(-LN(2)/2))/(LN(2)/2)*BL47*BO47*VLOOKUP('Données projet'!$B$11,Paramètres!$A$1:$I$89,3,0)*0.475*44/12</f>
        <v>0.31854598019912772</v>
      </c>
      <c r="BS47" s="22">
        <f t="shared" si="9"/>
        <v>6.3796003795248915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2.4358974358974352</v>
      </c>
      <c r="BY47" s="12">
        <f>IF('Données projet'!$A$114&gt;35,BY46+BX47-CG46,IF(A47&lt;'Données projet'!$A$114,$BV$205^A47,IF(A47='Données projet'!$A$114,'Données projet'!$B$114,BY46+BX47-CG46)))</f>
        <v>52.051282051282037</v>
      </c>
      <c r="BZ47" s="13">
        <f>BY47*VLOOKUP('Données projet'!$B$12,Paramètres!$A$1:$I$89,3,0)*VLOOKUP('Données projet'!$B$12,Paramètres!$A$1:$I$89,5,0)</f>
        <v>56.027999999999984</v>
      </c>
      <c r="CA47" s="13">
        <f t="shared" si="39"/>
        <v>16.160054789400164</v>
      </c>
      <c r="CB47" s="20">
        <f t="shared" si="10"/>
        <v>125.72752875820527</v>
      </c>
      <c r="CC47" s="59">
        <f t="shared" si="11"/>
        <v>411.84557511035524</v>
      </c>
      <c r="CD47" s="59">
        <f ca="1">AVERAGE(OFFSET($CC$3,0,0,'Données projet'!$E$12+1,1))-AVERAGE(OFFSET($H$3,0,0,'Données projet'!$E$12+1,1))</f>
        <v>192.88977161349993</v>
      </c>
      <c r="CE47" s="59">
        <f t="shared" si="40"/>
        <v>122.91376861456772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6.7453669927980284</v>
      </c>
      <c r="CM47" s="21">
        <f>EXP(-LN(2)/2)*CM46+(1-EXP(-LN(2)/2))/(LN(2)/2)*CG47*CJ47*VLOOKUP('Données projet'!$B$12,Paramètres!$A$1:$I$89,3,0)*0.475*44/12</f>
        <v>0.35451084893128737</v>
      </c>
      <c r="CN47" s="22">
        <f t="shared" si="12"/>
        <v>7.0998778417293158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3.0769230769230775</v>
      </c>
      <c r="CT47" s="12">
        <f>IF('Données projet'!$A$140&gt;35,CT46+CS47-DB46,IF(A47&lt;'Données projet'!$A$140,$CQ$205^A47,IF(A47='Données projet'!$A$140,'Données projet'!$B$140,CT46+CS47-DB46)))</f>
        <v>78.333333333333343</v>
      </c>
      <c r="CU47" s="17">
        <f>CT47*VLOOKUP('Données projet'!$B$13,Paramètres!$A$1:$I$89,3,0)*VLOOKUP('Données projet'!$B$13,Paramètres!$A$1:$I$89,5,0)</f>
        <v>63.544000000000018</v>
      </c>
      <c r="CV47" s="13">
        <f t="shared" si="41"/>
        <v>18.06128879147133</v>
      </c>
      <c r="CW47" s="20">
        <f t="shared" si="13"/>
        <v>142.12921131181261</v>
      </c>
      <c r="CX47" s="59">
        <f t="shared" si="14"/>
        <v>428.24725766396261</v>
      </c>
      <c r="CY47" s="59">
        <f ca="1">AVERAGE(OFFSET($CX$3,0,0,'Données projet'!$E$13+1,1))-AVERAGE(OFFSET($H$3,0,0,'Données projet'!$E$13+1,1))</f>
        <v>163.16040389635825</v>
      </c>
      <c r="CZ47" s="59">
        <f t="shared" si="42"/>
        <v>138.57856782158811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1.9818113029396083</v>
      </c>
      <c r="DH47" s="21">
        <f>EXP(-LN(2)/2)*DH46+(1-EXP(-LN(2)/2))/(LN(2)/2)*DB47*DE47*VLOOKUP('Données projet'!$B$13,Paramètres!$A$1:$I$89,3,0)*0.475*44/12</f>
        <v>0.3711032942225414</v>
      </c>
      <c r="DI47" s="22">
        <f t="shared" si="15"/>
        <v>2.3529145971621497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7.7715686274509812</v>
      </c>
      <c r="DO47" s="12">
        <f>IF('Données projet'!$A$166&gt;35,DO46+DN47-DW46,IF(A47&lt;'Données projet'!$A$166,$DL$205^A47,IF(A47='Données projet'!$A$166,'Données projet'!$B$166,DO46+DN47-DW46)))</f>
        <v>341.94901960784301</v>
      </c>
      <c r="DP47" s="17">
        <f>DO47*VLOOKUP('Données projet'!$B$14,Paramètres!$A$1:$I$89,3,0)*VLOOKUP('Données projet'!$B$14,Paramètres!$A$1:$I$89,5,0)</f>
        <v>160.03214117647053</v>
      </c>
      <c r="DQ47" s="13">
        <f t="shared" si="43"/>
        <v>40.849764854015</v>
      </c>
      <c r="DR47" s="20">
        <f t="shared" si="16"/>
        <v>349.86931966976226</v>
      </c>
      <c r="DS47" s="59">
        <f t="shared" si="17"/>
        <v>635.98736602191229</v>
      </c>
      <c r="DT47" s="59">
        <f ca="1">AVERAGE(OFFSET($DS$3,0,0,'Données projet'!$E$14+1,1))-AVERAGE(OFFSET($H$3,0,0,'Données projet'!$E$14+1,1))</f>
        <v>343.44193069803498</v>
      </c>
      <c r="DU47" s="59">
        <f t="shared" si="44"/>
        <v>280.67367019483481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4.7435897435897427</v>
      </c>
      <c r="EJ47" s="12">
        <f>IF('Données projet'!$A$192&gt;35,EJ46+EI47-ER46,IF(A47&lt;'Données projet'!$A$192,$EG$205^A47,IF(A47='Données projet'!$A$192,'Données projet'!$B$192,EJ46+EI47-ER46)))</f>
        <v>93.974358974358964</v>
      </c>
      <c r="EK47" s="17">
        <f>EJ47*VLOOKUP('Données projet'!$B$15,Paramètres!$A$1:$I$89,3,0)*VLOOKUP('Données projet'!$B$15,Paramètres!$A$1:$I$89,5,0)</f>
        <v>95.289999999999992</v>
      </c>
      <c r="EL47" s="13">
        <f t="shared" si="45"/>
        <v>25.836773797998536</v>
      </c>
      <c r="EM47" s="20">
        <f t="shared" si="19"/>
        <v>210.96246436484742</v>
      </c>
      <c r="EN47" s="59">
        <f t="shared" si="20"/>
        <v>497.08051071699742</v>
      </c>
      <c r="EO47" s="59">
        <f ca="1">AVERAGE(OFFSET($EN$3,0,0,'Données projet'!$E$15+1,1))-AVERAGE(OFFSET($H$3,0,0,'Données projet'!$E$15+1,1))</f>
        <v>270.0029254736703</v>
      </c>
      <c r="EP47" s="59">
        <f t="shared" si="46"/>
        <v>183.80022202211441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14.464300204154259</v>
      </c>
      <c r="EX47" s="21">
        <f>EXP(-LN(2)/2)*EX46+(1-EXP(-LN(2)/2))/(LN(2)/2)*ER47*EU47*VLOOKUP('Données projet'!$B$15,Paramètres!$A$1:$I$89,3,0)*0.475*44/12</f>
        <v>0.73544850672360118</v>
      </c>
      <c r="EY47" s="22">
        <f t="shared" si="21"/>
        <v>15.199748710877861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196.79999999999995</v>
      </c>
      <c r="FF47" s="17">
        <f>FE47*VLOOKUP('Données projet'!$B$16,Paramètres!$A$1:$I$89,3,0)*VLOOKUP('Données projet'!$B$16,Paramètres!$A$1:$I$89,5,0)</f>
        <v>171.92447999999999</v>
      </c>
      <c r="FG47" s="13">
        <f t="shared" si="47"/>
        <v>43.520760297647755</v>
      </c>
      <c r="FH47" s="20">
        <f t="shared" si="22"/>
        <v>375.23379351840316</v>
      </c>
      <c r="FI47" s="59">
        <f t="shared" si="23"/>
        <v>661.35183987055314</v>
      </c>
      <c r="FJ47" s="59">
        <f ca="1">AVERAGE(OFFSET($FI$3,0,0,'Données projet'!$E$16+1,1))-AVERAGE(OFFSET($H$3,0,0,'Données projet'!$E$16+1,1))</f>
        <v>328.93328163316073</v>
      </c>
      <c r="FK47" s="59">
        <f t="shared" si="48"/>
        <v>320.27831321887072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6.3079776244114063</v>
      </c>
      <c r="FR47" s="21">
        <f>EXP(-LN(2)/25)*FR46+(1-EXP(-LN(2)/25))/(LN(2)/25)*Calculateur!FM47*Calculateur!FO47*VLOOKUP('Données projet'!$B$16,Paramètres!$A$1:$I$89,3,0)*0.475*44/12</f>
        <v>13.193024024205888</v>
      </c>
      <c r="FS47" s="21">
        <f>EXP(-LN(2)/2)*FS46+(1-EXP(-LN(2)/2))/(LN(2)/2)*FM47*FP47*VLOOKUP('Données projet'!$B$16,Paramètres!$A$1:$I$89,3,0)*0.475*44/12</f>
        <v>1.7520455763165061</v>
      </c>
      <c r="FT47" s="22">
        <f t="shared" si="24"/>
        <v>21.253047224933798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4.7435897435897427</v>
      </c>
      <c r="FZ47" s="12">
        <f>IF('Données projet'!$A$244&gt;35,FZ46+FY47-GH46,IF(A47&lt;'Données projet'!$A$244,$FW$205^A47,IF(A47='Données projet'!$A$244,'Données projet'!$B$244,FZ46+FY47-GH46)))</f>
        <v>93.974358974358964</v>
      </c>
      <c r="GA47" s="17">
        <f>FZ47*VLOOKUP('Données projet'!$B$17,Paramètres!$A$1:$I$89,3,0)*VLOOKUP('Données projet'!$B$17,Paramètres!$A$1:$I$89,5,0)</f>
        <v>63.037999999999997</v>
      </c>
      <c r="GB47" s="13">
        <f t="shared" si="49"/>
        <v>17.93414878320046</v>
      </c>
      <c r="GC47" s="20">
        <f t="shared" si="25"/>
        <v>141.02649246407412</v>
      </c>
      <c r="GD47" s="59">
        <f t="shared" si="26"/>
        <v>427.1445388162241</v>
      </c>
      <c r="GE47" s="59">
        <f ca="1">AVERAGE(OFFSET($GD$3,0,0,'Données projet'!$E$17+1,1))-AVERAGE(OFFSET($H$3,0,0,'Données projet'!$E$17+1,1))</f>
        <v>192.88444860121191</v>
      </c>
      <c r="GF47" s="59">
        <f t="shared" si="50"/>
        <v>136.13737493732751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11.793967858771934</v>
      </c>
      <c r="GN47" s="21">
        <f>EXP(-LN(2)/2)*GN46+(1-EXP(-LN(2)/2))/(LN(2)/2)*GH47*GK47*VLOOKUP('Données projet'!$B$17,Paramètres!$A$1:$I$89,3,0)*0.475*44/12</f>
        <v>0.48652747367869015</v>
      </c>
      <c r="GO47" s="21">
        <f t="shared" si="27"/>
        <v>12.280495332450624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68.032194459677271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0.85000000000000009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3.1166666666666671</v>
      </c>
      <c r="H48" s="67">
        <f t="shared" si="1"/>
        <v>244.19999999999996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599.19939154433916</v>
      </c>
      <c r="S48" s="59">
        <f ca="1">AVERAGE(OFFSET($R$3,0,0,'Données projet'!$E$9+1,1))-AVERAGE(OFFSET($H$3,0,0,'Données projet'!$E$9+1,1))</f>
        <v>643.492472896403</v>
      </c>
      <c r="T48" s="59">
        <f t="shared" si="34"/>
        <v>285.0259479655341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233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233.00000000000006</v>
      </c>
      <c r="AJ48" s="13">
        <f>AI48*VLOOKUP('Données projet'!$B$10,Paramètres!$A$1:$I$89,3,0)*VLOOKUP('Données projet'!$B$10,Paramètres!$A$1:$I$89,5,0)</f>
        <v>181.74000000000004</v>
      </c>
      <c r="AK48" s="13">
        <f t="shared" si="35"/>
        <v>45.709087095891377</v>
      </c>
      <c r="AL48" s="20">
        <f t="shared" si="4"/>
        <v>396.14049335867753</v>
      </c>
      <c r="AM48" s="59">
        <f t="shared" si="5"/>
        <v>682.38370880898594</v>
      </c>
      <c r="AN48" s="59">
        <f ca="1">AVERAGE(OFFSET($AM$3,0,0,'Données projet'!$E$10+1,1))-AVERAGE(OFFSET($H$3,0,0,'Données projet'!$E$10+1,1))</f>
        <v>289.89907502443873</v>
      </c>
      <c r="AO48" s="59">
        <f t="shared" si="36"/>
        <v>267.42183550360301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31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0.1075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10.879388929168904</v>
      </c>
      <c r="AW48" s="21">
        <f>EXP(-LN(2)/2)*AW47+(1-EXP(-LN(2)/2))/(LN(2)/2)*AQ48*AT48*VLOOKUP('Données projet'!$B$10,Paramètres!$A$1:$I$89,3,0)*0.475*44/12</f>
        <v>6.9392401953103775</v>
      </c>
      <c r="AX48" s="21">
        <f t="shared" si="6"/>
        <v>17.81862912447928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54.487179487179482</v>
      </c>
      <c r="BB48" s="12">
        <f>VLOOKUP(A48,'Données projet'!$A$87:$I$107,9,0)</f>
        <v>2.4358974358974352</v>
      </c>
      <c r="BC48" s="12">
        <f t="array" ref="BC48">INDEX(BB:BB,MIN(IF(ISNUMBER(BB48:BB244),ROW(BB48:BB244),"")))</f>
        <v>2.4358974358974352</v>
      </c>
      <c r="BD48" s="12">
        <f>IF('Données projet'!$A$88&gt;35,BD47+BC48-BL47,IF(A48&lt;'Données projet'!$A$88,$BA$205^A48,IF(A48='Données projet'!$A$88,'Données projet'!$B$88,BD47+BC48-BL47)))</f>
        <v>54.487179487179475</v>
      </c>
      <c r="BE48" s="13">
        <f>BD48*VLOOKUP('Données projet'!$B$11,Paramètres!$A$1:$I$89,3,0)*VLOOKUP('Données projet'!$B$11,Paramètres!$A$1:$I$89,5,0)</f>
        <v>52.699999999999996</v>
      </c>
      <c r="BF48" s="13">
        <f t="shared" si="37"/>
        <v>15.308897824579391</v>
      </c>
      <c r="BG48" s="20">
        <f t="shared" si="7"/>
        <v>118.4488303778091</v>
      </c>
      <c r="BH48" s="59">
        <f t="shared" si="8"/>
        <v>404.6920458281175</v>
      </c>
      <c r="BI48" s="59">
        <f ca="1">AVERAGE(OFFSET($BH$3,0,0,'Données projet'!$E$11+1,1))-AVERAGE(OFFSET($H$3,0,0,'Données projet'!$E$11+1,1))</f>
        <v>177.54241137663234</v>
      </c>
      <c r="BJ48" s="59">
        <f t="shared" si="38"/>
        <v>114.71095021456071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5.7692307692307692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0.34400000000000003</v>
      </c>
      <c r="BO48" s="16">
        <f>IF(ISNA(VLOOKUP(A48,'Données projet'!$A$87:$I$107,7,0)),0%,VLOOKUP(A48,'Données projet'!$A$87:$I$107,7,0))</f>
        <v>0.2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8.0089320366813794</v>
      </c>
      <c r="BR48" s="21">
        <f>EXP(-LN(2)/2)*BR47+(1-EXP(-LN(2)/2))/(LN(2)/2)*BL48*BO48*VLOOKUP('Données projet'!$B$11,Paramètres!$A$1:$I$89,3,0)*0.475*44/12</f>
        <v>1.2782220594181322</v>
      </c>
      <c r="BS48" s="22">
        <f t="shared" si="9"/>
        <v>9.2871540960995116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54.487179487179482</v>
      </c>
      <c r="BW48" s="12">
        <f>VLOOKUP(A48,'Données projet'!$A$113:$I$133,9,0)</f>
        <v>2.4358974358974352</v>
      </c>
      <c r="BX48" s="12">
        <f t="array" ref="BX48">INDEX(BW:BW,MIN(IF(ISNUMBER(BW48:BW244),ROW(BW48:BW244),"")))</f>
        <v>2.4358974358974352</v>
      </c>
      <c r="BY48" s="12">
        <f>IF('Données projet'!$A$114&gt;35,BY47+BX48-CG47,IF(A48&lt;'Données projet'!$A$114,$BV$205^A48,IF(A48='Données projet'!$A$114,'Données projet'!$B$114,BY47+BX48-CG47)))</f>
        <v>54.487179487179475</v>
      </c>
      <c r="BZ48" s="13">
        <f>BY48*VLOOKUP('Données projet'!$B$12,Paramètres!$A$1:$I$89,3,0)*VLOOKUP('Données projet'!$B$12,Paramètres!$A$1:$I$89,5,0)</f>
        <v>58.649999999999977</v>
      </c>
      <c r="CA48" s="13">
        <f t="shared" si="39"/>
        <v>16.826495907037607</v>
      </c>
      <c r="CB48" s="20">
        <f t="shared" si="10"/>
        <v>131.45489703809045</v>
      </c>
      <c r="CC48" s="59">
        <f t="shared" si="11"/>
        <v>417.69811248839886</v>
      </c>
      <c r="CD48" s="59">
        <f ca="1">AVERAGE(OFFSET($CC$3,0,0,'Données projet'!$E$12+1,1))-AVERAGE(OFFSET($H$3,0,0,'Données projet'!$E$12+1,1))</f>
        <v>192.88977161349993</v>
      </c>
      <c r="CE48" s="59">
        <f t="shared" si="40"/>
        <v>122.91376861456772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5.7692307692307692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0.34400000000000003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8.9131662988873419</v>
      </c>
      <c r="CM48" s="21">
        <f>EXP(-LN(2)/2)*CM47+(1-EXP(-LN(2)/2))/(LN(2)/2)*CG48*CJ48*VLOOKUP('Données projet'!$B$12,Paramètres!$A$1:$I$89,3,0)*0.475*44/12</f>
        <v>1.4225374532234054</v>
      </c>
      <c r="CN48" s="22">
        <f t="shared" si="12"/>
        <v>10.335703752110748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81.410256410256409</v>
      </c>
      <c r="CR48" s="12">
        <f>VLOOKUP(A48,'Données projet'!$A$139:$I$159,9,0)</f>
        <v>3.0769230769230775</v>
      </c>
      <c r="CS48" s="12">
        <f t="array" ref="CS48">INDEX(CR:CR,MIN(IF(ISNUMBER(CR48:CR244),ROW(CR48:CR244),"")))</f>
        <v>3.0769230769230775</v>
      </c>
      <c r="CT48" s="12">
        <f>IF('Données projet'!$A$140&gt;35,CT47+CS48-DB47,IF(A48&lt;'Données projet'!$A$140,$CQ$205^A48,IF(A48='Données projet'!$A$140,'Données projet'!$B$140,CT47+CS48-DB47)))</f>
        <v>81.410256410256423</v>
      </c>
      <c r="CU48" s="17">
        <f>CT48*VLOOKUP('Données projet'!$B$13,Paramètres!$A$1:$I$89,3,0)*VLOOKUP('Données projet'!$B$13,Paramètres!$A$1:$I$89,5,0)</f>
        <v>66.04000000000002</v>
      </c>
      <c r="CV48" s="13">
        <f t="shared" si="41"/>
        <v>18.686741897950633</v>
      </c>
      <c r="CW48" s="20">
        <f t="shared" si="13"/>
        <v>147.56574213893074</v>
      </c>
      <c r="CX48" s="59">
        <f t="shared" si="14"/>
        <v>433.80895758923918</v>
      </c>
      <c r="CY48" s="59">
        <f ca="1">AVERAGE(OFFSET($CX$3,0,0,'Données projet'!$E$13+1,1))-AVERAGE(OFFSET($H$3,0,0,'Données projet'!$E$13+1,1))</f>
        <v>163.16040389635825</v>
      </c>
      <c r="CZ48" s="59">
        <f t="shared" si="42"/>
        <v>138.57856782158811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7.0512820512820511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0.1075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2.6046958555500215</v>
      </c>
      <c r="DH48" s="21">
        <f>EXP(-LN(2)/2)*DH47+(1-EXP(-LN(2)/2))/(LN(2)/2)*DB48*DE48*VLOOKUP('Données projet'!$B$13,Paramètres!$A$1:$I$89,3,0)*0.475*44/12</f>
        <v>1.611653143751131</v>
      </c>
      <c r="DI48" s="22">
        <f t="shared" si="15"/>
        <v>4.216348999301152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7.7715686274509812</v>
      </c>
      <c r="DO48" s="12">
        <f>IF('Données projet'!$A$166&gt;35,DO47+DN48-DW47,IF(A48&lt;'Données projet'!$A$166,$DL$205^A48,IF(A48='Données projet'!$A$166,'Données projet'!$B$166,DO47+DN48-DW47)))</f>
        <v>349.72058823529397</v>
      </c>
      <c r="DP48" s="17">
        <f>DO48*VLOOKUP('Données projet'!$B$14,Paramètres!$A$1:$I$89,3,0)*VLOOKUP('Données projet'!$B$14,Paramètres!$A$1:$I$89,5,0)</f>
        <v>163.66923529411758</v>
      </c>
      <c r="DQ48" s="13">
        <f t="shared" si="43"/>
        <v>41.669026390086572</v>
      </c>
      <c r="DR48" s="20">
        <f t="shared" si="16"/>
        <v>357.63080576665556</v>
      </c>
      <c r="DS48" s="59">
        <f t="shared" si="17"/>
        <v>643.87402121696391</v>
      </c>
      <c r="DT48" s="59">
        <f ca="1">AVERAGE(OFFSET($DS$3,0,0,'Données projet'!$E$14+1,1))-AVERAGE(OFFSET($H$3,0,0,'Données projet'!$E$14+1,1))</f>
        <v>343.44193069803498</v>
      </c>
      <c r="DU48" s="59">
        <f t="shared" si="44"/>
        <v>280.67367019483481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98.717948717948715</v>
      </c>
      <c r="EH48" s="12">
        <f>VLOOKUP(A48,'Données projet'!$A$191:$I$211,9,0)</f>
        <v>4.7435897435897427</v>
      </c>
      <c r="EI48" s="12">
        <f t="array" ref="EI48">INDEX(EH:EH,MIN(IF(ISNUMBER(EH48:EH244),ROW(EH48:EH244),"")))</f>
        <v>4.7435897435897427</v>
      </c>
      <c r="EJ48" s="12">
        <f>IF('Données projet'!$A$192&gt;35,EJ47+EI48-ER47,IF(A48&lt;'Données projet'!$A$192,$EG$205^A48,IF(A48='Données projet'!$A$192,'Données projet'!$B$192,EJ47+EI48-ER47)))</f>
        <v>98.717948717948701</v>
      </c>
      <c r="EK48" s="17">
        <f>EJ48*VLOOKUP('Données projet'!$B$15,Paramètres!$A$1:$I$89,3,0)*VLOOKUP('Données projet'!$B$15,Paramètres!$A$1:$I$89,5,0)</f>
        <v>100.1</v>
      </c>
      <c r="EL48" s="13">
        <f t="shared" si="45"/>
        <v>26.98581978336566</v>
      </c>
      <c r="EM48" s="20">
        <f t="shared" si="19"/>
        <v>221.34113612269516</v>
      </c>
      <c r="EN48" s="59">
        <f t="shared" si="20"/>
        <v>507.58435157300357</v>
      </c>
      <c r="EO48" s="59">
        <f ca="1">AVERAGE(OFFSET($EN$3,0,0,'Données projet'!$E$15+1,1))-AVERAGE(OFFSET($H$3,0,0,'Données projet'!$E$15+1,1))</f>
        <v>270.0029254736703</v>
      </c>
      <c r="EP48" s="59">
        <f t="shared" si="46"/>
        <v>183.80022202211441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13.461538461538462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0.34400000000000003</v>
      </c>
      <c r="EU48" s="16">
        <f>IF(ISNA(VLOOKUP(A48,'Données projet'!$A$191:$I$211,7,0)),0%,VLOOKUP(A48,'Données projet'!$A$191:$I$211,7,0))</f>
        <v>0.2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19.239181527180882</v>
      </c>
      <c r="EX48" s="21">
        <f>EXP(-LN(2)/2)*EX47+(1-EXP(-LN(2)/2))/(LN(2)/2)*ER48*EU48*VLOOKUP('Données projet'!$B$15,Paramètres!$A$1:$I$89,3,0)*0.475*44/12</f>
        <v>3.0958691031904886</v>
      </c>
      <c r="EY48" s="22">
        <f t="shared" si="21"/>
        <v>22.33505063037137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205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204.99999999999994</v>
      </c>
      <c r="FF48" s="17">
        <f>FE48*VLOOKUP('Données projet'!$B$16,Paramètres!$A$1:$I$89,3,0)*VLOOKUP('Données projet'!$B$16,Paramètres!$A$1:$I$89,5,0)</f>
        <v>179.08799999999997</v>
      </c>
      <c r="FG48" s="13">
        <f t="shared" si="47"/>
        <v>45.119223023956835</v>
      </c>
      <c r="FH48" s="20">
        <f t="shared" si="22"/>
        <v>390.49424676672476</v>
      </c>
      <c r="FI48" s="59">
        <f t="shared" si="23"/>
        <v>676.73746221703323</v>
      </c>
      <c r="FJ48" s="59">
        <f ca="1">AVERAGE(OFFSET($FI$3,0,0,'Données projet'!$E$16+1,1))-AVERAGE(OFFSET($H$3,0,0,'Données projet'!$E$16+1,1))</f>
        <v>328.93328163316073</v>
      </c>
      <c r="FK48" s="59">
        <f t="shared" si="48"/>
        <v>320.27831321887072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0.13250000000000001</v>
      </c>
      <c r="FO48" s="16">
        <f>IF(ISNA(VLOOKUP(A48,'Données projet'!$A$217:$I$237,6,0)),0%,VLOOKUP(A48,'Données projet'!$A$217:$I$237,6,0)*VLOOKUP('Données projet'!$B$16,Paramètres!$A$1:$I$89,7,0))</f>
        <v>0.13250000000000001</v>
      </c>
      <c r="FP48" s="16">
        <f>IF(ISNA(VLOOKUP(A48,'Données projet'!$A$217:$I$237,7,0)),0%,VLOOKUP(A48,'Données projet'!$A$217:$I$237,7,0))</f>
        <v>0.25</v>
      </c>
      <c r="FQ48" s="21">
        <f>EXP(-LN(2)/35)*FQ47+(1-EXP(-LN(2)/35))/(LN(2)/35)*FM48*FN48*VLOOKUP('Données projet'!$B$16,Paramètres!$A$1:$I$89,3,0)*0.475*44/12</f>
        <v>8.9994109928604988</v>
      </c>
      <c r="FR48" s="21">
        <f>EXP(-LN(2)/25)*FR47+(1-EXP(-LN(2)/25))/(LN(2)/25)*Calculateur!FM48*Calculateur!FO48*VLOOKUP('Données projet'!$B$16,Paramètres!$A$1:$I$89,3,0)*0.475*44/12</f>
        <v>15.636304815278034</v>
      </c>
      <c r="FS48" s="21">
        <f>EXP(-LN(2)/2)*FS47+(1-EXP(-LN(2)/2))/(LN(2)/2)*FM48*FP48*VLOOKUP('Données projet'!$B$16,Paramètres!$A$1:$I$89,3,0)*0.475*44/12</f>
        <v>5.7723414272572642</v>
      </c>
      <c r="FT48" s="22">
        <f t="shared" si="24"/>
        <v>30.408057235395798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98.717948717948715</v>
      </c>
      <c r="FX48" s="12">
        <f>VLOOKUP(A48,'Données projet'!$A$243:$I$263,9,0)</f>
        <v>4.7435897435897427</v>
      </c>
      <c r="FY48" s="12">
        <f t="array" ref="FY48">INDEX(FX:FX,MIN(IF(ISNUMBER(FX48:FX244),ROW(FX48:FX244),"")))</f>
        <v>4.7435897435897427</v>
      </c>
      <c r="FZ48" s="12">
        <f>IF('Données projet'!$A$244&gt;35,FZ47+FY48-GH47,IF(A48&lt;'Données projet'!$A$244,$FW$205^A48,IF(A48='Données projet'!$A$244,'Données projet'!$B$244,FZ47+FY48-GH47)))</f>
        <v>98.717948717948701</v>
      </c>
      <c r="GA48" s="17">
        <f>FZ48*VLOOKUP('Données projet'!$B$17,Paramètres!$A$1:$I$89,3,0)*VLOOKUP('Données projet'!$B$17,Paramètres!$A$1:$I$89,5,0)</f>
        <v>66.219999999999985</v>
      </c>
      <c r="GB48" s="13">
        <f t="shared" si="49"/>
        <v>18.731739141092195</v>
      </c>
      <c r="GC48" s="20">
        <f t="shared" si="25"/>
        <v>147.9576123374022</v>
      </c>
      <c r="GD48" s="59">
        <f t="shared" si="26"/>
        <v>434.20082778771064</v>
      </c>
      <c r="GE48" s="59">
        <f ca="1">AVERAGE(OFFSET($GD$3,0,0,'Données projet'!$E$17+1,1))-AVERAGE(OFFSET($H$3,0,0,'Données projet'!$E$17+1,1))</f>
        <v>192.88444860121191</v>
      </c>
      <c r="GF48" s="59">
        <f t="shared" si="50"/>
        <v>136.13737493732751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13.461538461538462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0.42400000000000004</v>
      </c>
      <c r="GK48" s="16">
        <f>IF(ISNA(VLOOKUP(A48,'Données projet'!$A$243:$I$263,7,0)),0%,VLOOKUP(A48,'Données projet'!$A$243:$I$263,7,0))</f>
        <v>0.2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15.687332629855181</v>
      </c>
      <c r="GN48" s="21">
        <f>EXP(-LN(2)/2)*GN47+(1-EXP(-LN(2)/2))/(LN(2)/2)*GH48*GK48*VLOOKUP('Données projet'!$B$17,Paramètres!$A$1:$I$89,3,0)*0.475*44/12</f>
        <v>2.048036483649093</v>
      </c>
      <c r="GO48" s="21">
        <f t="shared" si="27"/>
        <v>17.735369113504273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68.066331486447751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0.85000000000000009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3.1166666666666671</v>
      </c>
      <c r="H49" s="67">
        <f t="shared" si="1"/>
        <v>244.19999999999996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618.88256932190427</v>
      </c>
      <c r="S49" s="59">
        <f ca="1">AVERAGE(OFFSET($R$3,0,0,'Données projet'!$E$9+1,1))-AVERAGE(OFFSET($H$3,0,0,'Données projet'!$E$9+1,1))</f>
        <v>643.492472896403</v>
      </c>
      <c r="T49" s="59">
        <f t="shared" si="34"/>
        <v>285.0259479655341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10.199999999999999</v>
      </c>
      <c r="AI49" s="13">
        <f>IF('Données projet'!$A$62&gt;35,AI48+AH49-AQ48,IF(A49&lt;'Données projet'!$A$62,$AF$205^A49,IF(A49='Données projet'!$A$62,'Données projet'!$B$62,AI48+AH49-AQ48)))</f>
        <v>212.20000000000005</v>
      </c>
      <c r="AJ49" s="13">
        <f>AI49*VLOOKUP('Données projet'!$B$10,Paramètres!$A$1:$I$89,3,0)*VLOOKUP('Données projet'!$B$10,Paramètres!$A$1:$I$89,5,0)</f>
        <v>165.51600000000005</v>
      </c>
      <c r="AK49" s="13">
        <f t="shared" si="35"/>
        <v>42.084199740832013</v>
      </c>
      <c r="AL49" s="20">
        <f t="shared" si="4"/>
        <v>361.57034788194915</v>
      </c>
      <c r="AM49" s="59">
        <f t="shared" si="5"/>
        <v>647.9365610263992</v>
      </c>
      <c r="AN49" s="59">
        <f ca="1">AVERAGE(OFFSET($AM$3,0,0,'Données projet'!$E$10+1,1))-AVERAGE(OFFSET($H$3,0,0,'Données projet'!$E$10+1,1))</f>
        <v>289.89907502443873</v>
      </c>
      <c r="AO49" s="59">
        <f t="shared" si="36"/>
        <v>267.42183550360301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10.581891466778583</v>
      </c>
      <c r="AW49" s="21">
        <f>EXP(-LN(2)/2)*AW48+(1-EXP(-LN(2)/2))/(LN(2)/2)*AQ49*AT49*VLOOKUP('Données projet'!$B$10,Paramètres!$A$1:$I$89,3,0)*0.475*44/12</f>
        <v>4.9067837983862308</v>
      </c>
      <c r="AX49" s="21">
        <f t="shared" si="6"/>
        <v>15.488675265164813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2.5641025641025634</v>
      </c>
      <c r="BD49" s="12">
        <f>IF('Données projet'!$A$88&gt;35,BD48+BC49-BL48,IF(A49&lt;'Données projet'!$A$88,$BA$205^A49,IF(A49='Données projet'!$A$88,'Données projet'!$B$88,BD48+BC49-BL48)))</f>
        <v>51.28205128205127</v>
      </c>
      <c r="BE49" s="13">
        <f>BD49*VLOOKUP('Données projet'!$B$11,Paramètres!$A$1:$I$89,3,0)*VLOOKUP('Données projet'!$B$11,Paramètres!$A$1:$I$89,5,0)</f>
        <v>49.599999999999994</v>
      </c>
      <c r="BF49" s="13">
        <f t="shared" si="37"/>
        <v>14.510409678054639</v>
      </c>
      <c r="BG49" s="20">
        <f t="shared" si="7"/>
        <v>111.65896352261181</v>
      </c>
      <c r="BH49" s="59">
        <f t="shared" si="8"/>
        <v>398.02517666706183</v>
      </c>
      <c r="BI49" s="59">
        <f ca="1">AVERAGE(OFFSET($BH$3,0,0,'Données projet'!$E$11+1,1))-AVERAGE(OFFSET($H$3,0,0,'Données projet'!$E$11+1,1))</f>
        <v>177.54241137663234</v>
      </c>
      <c r="BJ49" s="59">
        <f t="shared" si="38"/>
        <v>114.71095021456071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7.7899273689668957</v>
      </c>
      <c r="BR49" s="21">
        <f>EXP(-LN(2)/2)*BR48+(1-EXP(-LN(2)/2))/(LN(2)/2)*BL49*BO49*VLOOKUP('Données projet'!$B$11,Paramètres!$A$1:$I$89,3,0)*0.475*44/12</f>
        <v>0.90383948607679543</v>
      </c>
      <c r="BS49" s="22">
        <f t="shared" si="9"/>
        <v>8.6937668550436911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2.5641025641025634</v>
      </c>
      <c r="BY49" s="12">
        <f>IF('Données projet'!$A$114&gt;35,BY48+BX49-CG48,IF(A49&lt;'Données projet'!$A$114,$BV$205^A49,IF(A49='Données projet'!$A$114,'Données projet'!$B$114,BY48+BX49-CG48)))</f>
        <v>51.28205128205127</v>
      </c>
      <c r="BZ49" s="13">
        <f>BY49*VLOOKUP('Données projet'!$B$12,Paramètres!$A$1:$I$89,3,0)*VLOOKUP('Données projet'!$B$12,Paramètres!$A$1:$I$89,5,0)</f>
        <v>55.199999999999982</v>
      </c>
      <c r="CA49" s="13">
        <f t="shared" si="39"/>
        <v>15.948852220126023</v>
      </c>
      <c r="CB49" s="20">
        <f t="shared" si="10"/>
        <v>123.91758428338612</v>
      </c>
      <c r="CC49" s="59">
        <f t="shared" si="11"/>
        <v>410.28379742783613</v>
      </c>
      <c r="CD49" s="59">
        <f ca="1">AVERAGE(OFFSET($CC$3,0,0,'Données projet'!$E$12+1,1))-AVERAGE(OFFSET($H$3,0,0,'Données projet'!$E$12+1,1))</f>
        <v>192.88977161349993</v>
      </c>
      <c r="CE49" s="59">
        <f t="shared" si="40"/>
        <v>122.91376861456772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8.6694352977212237</v>
      </c>
      <c r="CM49" s="21">
        <f>EXP(-LN(2)/2)*CM48+(1-EXP(-LN(2)/2))/(LN(2)/2)*CG49*CJ49*VLOOKUP('Données projet'!$B$12,Paramètres!$A$1:$I$89,3,0)*0.475*44/12</f>
        <v>1.0058858796661112</v>
      </c>
      <c r="CN49" s="22">
        <f t="shared" si="12"/>
        <v>9.6753211773873353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2.9487179487179445</v>
      </c>
      <c r="CT49" s="12">
        <f>IF('Données projet'!$A$140&gt;35,CT48+CS49-DB48,IF(A49&lt;'Données projet'!$A$140,$CQ$205^A49,IF(A49='Données projet'!$A$140,'Données projet'!$B$140,CT48+CS49-DB48)))</f>
        <v>77.307692307692321</v>
      </c>
      <c r="CU49" s="17">
        <f>CT49*VLOOKUP('Données projet'!$B$13,Paramètres!$A$1:$I$89,3,0)*VLOOKUP('Données projet'!$B$13,Paramètres!$A$1:$I$89,5,0)</f>
        <v>62.712000000000018</v>
      </c>
      <c r="CV49" s="13">
        <f t="shared" si="41"/>
        <v>17.85217356216183</v>
      </c>
      <c r="CW49" s="20">
        <f t="shared" si="13"/>
        <v>140.3159356207652</v>
      </c>
      <c r="CX49" s="59">
        <f t="shared" si="14"/>
        <v>426.68214876521517</v>
      </c>
      <c r="CY49" s="59">
        <f ca="1">AVERAGE(OFFSET($CX$3,0,0,'Données projet'!$E$13+1,1))-AVERAGE(OFFSET($H$3,0,0,'Données projet'!$E$13+1,1))</f>
        <v>163.16040389635825</v>
      </c>
      <c r="CZ49" s="59">
        <f t="shared" si="42"/>
        <v>138.57856782158811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2.5334703104050043</v>
      </c>
      <c r="DH49" s="21">
        <f>EXP(-LN(2)/2)*DH48+(1-EXP(-LN(2)/2))/(LN(2)/2)*DB49*DE49*VLOOKUP('Données projet'!$B$13,Paramètres!$A$1:$I$89,3,0)*0.475*44/12</f>
        <v>1.1396108668670424</v>
      </c>
      <c r="DI49" s="22">
        <f t="shared" si="15"/>
        <v>3.6730811772720466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7.7715686274509812</v>
      </c>
      <c r="DO49" s="12">
        <f>IF('Données projet'!$A$166&gt;35,DO48+DN49-DW48,IF(A49&lt;'Données projet'!$A$166,$DL$205^A49,IF(A49='Données projet'!$A$166,'Données projet'!$B$166,DO48+DN49-DW48)))</f>
        <v>357.49215686274493</v>
      </c>
      <c r="DP49" s="17">
        <f>DO49*VLOOKUP('Données projet'!$B$14,Paramètres!$A$1:$I$89,3,0)*VLOOKUP('Données projet'!$B$14,Paramètres!$A$1:$I$89,5,0)</f>
        <v>167.30632941176464</v>
      </c>
      <c r="DQ49" s="13">
        <f t="shared" si="43"/>
        <v>42.486171323937178</v>
      </c>
      <c r="DR49" s="20">
        <f t="shared" si="16"/>
        <v>365.388605448014</v>
      </c>
      <c r="DS49" s="59">
        <f t="shared" si="17"/>
        <v>651.75481859246406</v>
      </c>
      <c r="DT49" s="59">
        <f ca="1">AVERAGE(OFFSET($DS$3,0,0,'Données projet'!$E$14+1,1))-AVERAGE(OFFSET($H$3,0,0,'Données projet'!$E$14+1,1))</f>
        <v>343.44193069803498</v>
      </c>
      <c r="DU49" s="59">
        <f t="shared" si="44"/>
        <v>280.67367019483481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4.8717948717948731</v>
      </c>
      <c r="EJ49" s="12">
        <f>IF('Données projet'!$A$192&gt;35,EJ48+EI49-ER48,IF(A49&lt;'Données projet'!$A$192,$EG$205^A49,IF(A49='Données projet'!$A$192,'Données projet'!$B$192,EJ48+EI49-ER48)))</f>
        <v>90.12820512820511</v>
      </c>
      <c r="EK49" s="17">
        <f>EJ49*VLOOKUP('Données projet'!$B$15,Paramètres!$A$1:$I$89,3,0)*VLOOKUP('Données projet'!$B$15,Paramètres!$A$1:$I$89,5,0)</f>
        <v>91.389999999999986</v>
      </c>
      <c r="EL49" s="13">
        <f t="shared" si="45"/>
        <v>24.900159909488206</v>
      </c>
      <c r="EM49" s="20">
        <f t="shared" si="19"/>
        <v>202.53869517569194</v>
      </c>
      <c r="EN49" s="59">
        <f t="shared" si="20"/>
        <v>488.90490832014194</v>
      </c>
      <c r="EO49" s="59">
        <f ca="1">AVERAGE(OFFSET($EN$3,0,0,'Données projet'!$E$15+1,1))-AVERAGE(OFFSET($H$3,0,0,'Données projet'!$E$15+1,1))</f>
        <v>270.0029254736703</v>
      </c>
      <c r="EP49" s="59">
        <f t="shared" si="46"/>
        <v>183.80022202211441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18.713085096575536</v>
      </c>
      <c r="EX49" s="21">
        <f>EXP(-LN(2)/2)*EX48+(1-EXP(-LN(2)/2))/(LN(2)/2)*ER49*EU49*VLOOKUP('Données projet'!$B$15,Paramètres!$A$1:$I$89,3,0)*0.475*44/12</f>
        <v>2.1891100365319103</v>
      </c>
      <c r="EY49" s="22">
        <f t="shared" si="21"/>
        <v>20.902195133107448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190.19999999999993</v>
      </c>
      <c r="FF49" s="17">
        <f>FE49*VLOOKUP('Données projet'!$B$16,Paramètres!$A$1:$I$89,3,0)*VLOOKUP('Données projet'!$B$16,Paramètres!$A$1:$I$89,5,0)</f>
        <v>166.15871999999996</v>
      </c>
      <c r="FG49" s="13">
        <f t="shared" si="47"/>
        <v>42.228563636586387</v>
      </c>
      <c r="FH49" s="20">
        <f t="shared" si="22"/>
        <v>362.94118566705453</v>
      </c>
      <c r="FI49" s="59">
        <f t="shared" si="23"/>
        <v>649.30739881150453</v>
      </c>
      <c r="FJ49" s="59">
        <f ca="1">AVERAGE(OFFSET($FI$3,0,0,'Données projet'!$E$16+1,1))-AVERAGE(OFFSET($H$3,0,0,'Données projet'!$E$16+1,1))</f>
        <v>328.93328163316073</v>
      </c>
      <c r="FK49" s="59">
        <f t="shared" si="48"/>
        <v>320.27831321887072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8.8229380323892066</v>
      </c>
      <c r="FR49" s="21">
        <f>EXP(-LN(2)/25)*FR48+(1-EXP(-LN(2)/25))/(LN(2)/25)*Calculateur!FM49*Calculateur!FO49*VLOOKUP('Données projet'!$B$16,Paramètres!$A$1:$I$89,3,0)*0.475*44/12</f>
        <v>15.208729237826724</v>
      </c>
      <c r="FS49" s="21">
        <f>EXP(-LN(2)/2)*FS48+(1-EXP(-LN(2)/2))/(LN(2)/2)*FM49*FP49*VLOOKUP('Données projet'!$B$16,Paramètres!$A$1:$I$89,3,0)*0.475*44/12</f>
        <v>4.0816617665376462</v>
      </c>
      <c r="FT49" s="22">
        <f t="shared" si="24"/>
        <v>28.113329036753576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4.8717948717948731</v>
      </c>
      <c r="FZ49" s="12">
        <f>IF('Données projet'!$A$244&gt;35,FZ48+FY49-GH48,IF(A49&lt;'Données projet'!$A$244,$FW$205^A49,IF(A49='Données projet'!$A$244,'Données projet'!$B$244,FZ48+FY49-GH48)))</f>
        <v>90.12820512820511</v>
      </c>
      <c r="GA49" s="17">
        <f>FZ49*VLOOKUP('Données projet'!$B$17,Paramètres!$A$1:$I$89,3,0)*VLOOKUP('Données projet'!$B$17,Paramètres!$A$1:$I$89,5,0)</f>
        <v>60.457999999999984</v>
      </c>
      <c r="GB49" s="13">
        <f t="shared" si="49"/>
        <v>17.284014483915104</v>
      </c>
      <c r="GC49" s="20">
        <f t="shared" si="25"/>
        <v>135.40067522615209</v>
      </c>
      <c r="GD49" s="59">
        <f t="shared" si="26"/>
        <v>421.76688837060209</v>
      </c>
      <c r="GE49" s="59">
        <f ca="1">AVERAGE(OFFSET($GD$3,0,0,'Données projet'!$E$17+1,1))-AVERAGE(OFFSET($H$3,0,0,'Données projet'!$E$17+1,1))</f>
        <v>192.88444860121191</v>
      </c>
      <c r="GF49" s="59">
        <f t="shared" si="50"/>
        <v>136.13737493732751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15.258361694130821</v>
      </c>
      <c r="GN49" s="21">
        <f>EXP(-LN(2)/2)*GN48+(1-EXP(-LN(2)/2))/(LN(2)/2)*GH49*GK49*VLOOKUP('Données projet'!$B$17,Paramètres!$A$1:$I$89,3,0)*0.475*44/12</f>
        <v>1.4481804857057254</v>
      </c>
      <c r="GO49" s="21">
        <f t="shared" si="27"/>
        <v>16.706542179836546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68.099876312122731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0.85000000000000009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3.1166666666666671</v>
      </c>
      <c r="H50" s="67">
        <f t="shared" si="1"/>
        <v>244.19999999999996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638.53825444729068</v>
      </c>
      <c r="S50" s="59">
        <f ca="1">AVERAGE(OFFSET($R$3,0,0,'Données projet'!$E$9+1,1))-AVERAGE(OFFSET($H$3,0,0,'Données projet'!$E$9+1,1))</f>
        <v>643.492472896403</v>
      </c>
      <c r="T50" s="59">
        <f t="shared" si="34"/>
        <v>285.0259479655341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10.199999999999999</v>
      </c>
      <c r="AI50" s="13">
        <f>IF('Données projet'!$A$62&gt;35,AI49+AH50-AQ49,IF(A50&lt;'Données projet'!$A$62,$AF$205^A50,IF(A50='Données projet'!$A$62,'Données projet'!$B$62,AI49+AH50-AQ49)))</f>
        <v>222.40000000000003</v>
      </c>
      <c r="AJ50" s="13">
        <f>AI50*VLOOKUP('Données projet'!$B$10,Paramètres!$A$1:$I$89,3,0)*VLOOKUP('Données projet'!$B$10,Paramètres!$A$1:$I$89,5,0)</f>
        <v>173.47200000000004</v>
      </c>
      <c r="AK50" s="13">
        <f t="shared" si="35"/>
        <v>43.866718728383574</v>
      </c>
      <c r="AL50" s="20">
        <f t="shared" si="4"/>
        <v>378.53160178526809</v>
      </c>
      <c r="AM50" s="59">
        <f t="shared" si="5"/>
        <v>665.01867888884794</v>
      </c>
      <c r="AN50" s="59">
        <f ca="1">AVERAGE(OFFSET($AM$3,0,0,'Données projet'!$E$10+1,1))-AVERAGE(OFFSET($H$3,0,0,'Données projet'!$E$10+1,1))</f>
        <v>289.89907502443873</v>
      </c>
      <c r="AO50" s="59">
        <f t="shared" si="36"/>
        <v>267.42183550360301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10.292529088142036</v>
      </c>
      <c r="AW50" s="21">
        <f>EXP(-LN(2)/2)*AW49+(1-EXP(-LN(2)/2))/(LN(2)/2)*AQ50*AT50*VLOOKUP('Données projet'!$B$10,Paramètres!$A$1:$I$89,3,0)*0.475*44/12</f>
        <v>3.4696200976551892</v>
      </c>
      <c r="AX50" s="21">
        <f t="shared" si="6"/>
        <v>13.762149185797226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2.5641025641025634</v>
      </c>
      <c r="BD50" s="12">
        <f>IF('Données projet'!$A$88&gt;35,BD49+BC50-BL49,IF(A50&lt;'Données projet'!$A$88,$BA$205^A50,IF(A50='Données projet'!$A$88,'Données projet'!$B$88,BD49+BC50-BL49)))</f>
        <v>53.846153846153832</v>
      </c>
      <c r="BE50" s="13">
        <f>BD50*VLOOKUP('Données projet'!$B$11,Paramètres!$A$1:$I$89,3,0)*VLOOKUP('Données projet'!$B$11,Paramètres!$A$1:$I$89,5,0)</f>
        <v>52.079999999999984</v>
      </c>
      <c r="BF50" s="13">
        <f t="shared" si="37"/>
        <v>15.149647884600476</v>
      </c>
      <c r="BG50" s="20">
        <f t="shared" si="7"/>
        <v>117.09163673234582</v>
      </c>
      <c r="BH50" s="59">
        <f t="shared" si="8"/>
        <v>403.57871383592567</v>
      </c>
      <c r="BI50" s="59">
        <f ca="1">AVERAGE(OFFSET($BH$3,0,0,'Données projet'!$E$11+1,1))-AVERAGE(OFFSET($H$3,0,0,'Données projet'!$E$11+1,1))</f>
        <v>177.54241137663234</v>
      </c>
      <c r="BJ50" s="59">
        <f t="shared" si="38"/>
        <v>114.71095021456071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7.5769113954080201</v>
      </c>
      <c r="BR50" s="21">
        <f>EXP(-LN(2)/2)*BR49+(1-EXP(-LN(2)/2))/(LN(2)/2)*BL50*BO50*VLOOKUP('Données projet'!$B$11,Paramètres!$A$1:$I$89,3,0)*0.475*44/12</f>
        <v>0.63911102970906619</v>
      </c>
      <c r="BS50" s="22">
        <f t="shared" si="9"/>
        <v>8.216022425117087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2.5641025641025634</v>
      </c>
      <c r="BY50" s="12">
        <f>IF('Données projet'!$A$114&gt;35,BY49+BX50-CG49,IF(A50&lt;'Données projet'!$A$114,$BV$205^A50,IF(A50='Données projet'!$A$114,'Données projet'!$B$114,BY49+BX50-CG49)))</f>
        <v>53.846153846153832</v>
      </c>
      <c r="BZ50" s="13">
        <f>BY50*VLOOKUP('Données projet'!$B$12,Paramètres!$A$1:$I$89,3,0)*VLOOKUP('Données projet'!$B$12,Paramètres!$A$1:$I$89,5,0)</f>
        <v>57.95999999999998</v>
      </c>
      <c r="CA50" s="13">
        <f t="shared" si="39"/>
        <v>16.651459239215004</v>
      </c>
      <c r="CB50" s="20">
        <f t="shared" si="10"/>
        <v>129.94829150829943</v>
      </c>
      <c r="CC50" s="59">
        <f t="shared" si="11"/>
        <v>416.43536861187931</v>
      </c>
      <c r="CD50" s="59">
        <f ca="1">AVERAGE(OFFSET($CC$3,0,0,'Données projet'!$E$12+1,1))-AVERAGE(OFFSET($H$3,0,0,'Données projet'!$E$12+1,1))</f>
        <v>192.88977161349993</v>
      </c>
      <c r="CE50" s="59">
        <f t="shared" si="40"/>
        <v>122.91376861456772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8.4323691335992486</v>
      </c>
      <c r="CM50" s="21">
        <f>EXP(-LN(2)/2)*CM49+(1-EXP(-LN(2)/2))/(LN(2)/2)*CG50*CJ50*VLOOKUP('Données projet'!$B$12,Paramètres!$A$1:$I$89,3,0)*0.475*44/12</f>
        <v>0.71126872661170282</v>
      </c>
      <c r="CN50" s="22">
        <f t="shared" si="12"/>
        <v>9.1436378602109514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2.9487179487179445</v>
      </c>
      <c r="CT50" s="12">
        <f>IF('Données projet'!$A$140&gt;35,CT49+CS50-DB49,IF(A50&lt;'Données projet'!$A$140,$CQ$205^A50,IF(A50='Données projet'!$A$140,'Données projet'!$B$140,CT49+CS50-DB49)))</f>
        <v>80.256410256410263</v>
      </c>
      <c r="CU50" s="17">
        <f>CT50*VLOOKUP('Données projet'!$B$13,Paramètres!$A$1:$I$89,3,0)*VLOOKUP('Données projet'!$B$13,Paramètres!$A$1:$I$89,5,0)</f>
        <v>65.104000000000013</v>
      </c>
      <c r="CV50" s="13">
        <f t="shared" si="41"/>
        <v>18.452525080925881</v>
      </c>
      <c r="CW50" s="20">
        <f t="shared" si="13"/>
        <v>145.52761451594594</v>
      </c>
      <c r="CX50" s="59">
        <f t="shared" si="14"/>
        <v>432.01469161952582</v>
      </c>
      <c r="CY50" s="59">
        <f ca="1">AVERAGE(OFFSET($CX$3,0,0,'Données projet'!$E$13+1,1))-AVERAGE(OFFSET($H$3,0,0,'Données projet'!$E$13+1,1))</f>
        <v>163.16040389635825</v>
      </c>
      <c r="CZ50" s="59">
        <f t="shared" si="42"/>
        <v>138.57856782158811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2.4641924315375663</v>
      </c>
      <c r="DH50" s="21">
        <f>EXP(-LN(2)/2)*DH49+(1-EXP(-LN(2)/2))/(LN(2)/2)*DB50*DE50*VLOOKUP('Données projet'!$B$13,Paramètres!$A$1:$I$89,3,0)*0.475*44/12</f>
        <v>0.8058265718755655</v>
      </c>
      <c r="DI50" s="22">
        <f t="shared" si="15"/>
        <v>3.2700190034131316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7.7715686274509812</v>
      </c>
      <c r="DO50" s="12">
        <f>IF('Données projet'!$A$166&gt;35,DO49+DN50-DW49,IF(A50&lt;'Données projet'!$A$166,$DL$205^A50,IF(A50='Données projet'!$A$166,'Données projet'!$B$166,DO49+DN50-DW49)))</f>
        <v>365.2637254901959</v>
      </c>
      <c r="DP50" s="17">
        <f>DO50*VLOOKUP('Données projet'!$B$14,Paramètres!$A$1:$I$89,3,0)*VLOOKUP('Données projet'!$B$14,Paramètres!$A$1:$I$89,5,0)</f>
        <v>170.94342352941169</v>
      </c>
      <c r="DQ50" s="13">
        <f t="shared" si="43"/>
        <v>43.301250967807881</v>
      </c>
      <c r="DR50" s="20">
        <f t="shared" si="16"/>
        <v>373.14280808265738</v>
      </c>
      <c r="DS50" s="59">
        <f t="shared" si="17"/>
        <v>659.62988518623729</v>
      </c>
      <c r="DT50" s="59">
        <f ca="1">AVERAGE(OFFSET($DS$3,0,0,'Données projet'!$E$14+1,1))-AVERAGE(OFFSET($H$3,0,0,'Données projet'!$E$14+1,1))</f>
        <v>343.44193069803498</v>
      </c>
      <c r="DU50" s="59">
        <f t="shared" si="44"/>
        <v>280.67367019483481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4.8717948717948731</v>
      </c>
      <c r="EJ50" s="12">
        <f>IF('Données projet'!$A$192&gt;35,EJ49+EI50-ER49,IF(A50&lt;'Données projet'!$A$192,$EG$205^A50,IF(A50='Données projet'!$A$192,'Données projet'!$B$192,EJ49+EI50-ER49)))</f>
        <v>94.999999999999986</v>
      </c>
      <c r="EK50" s="17">
        <f>EJ50*VLOOKUP('Données projet'!$B$15,Paramètres!$A$1:$I$89,3,0)*VLOOKUP('Données projet'!$B$15,Paramètres!$A$1:$I$89,5,0)</f>
        <v>96.33</v>
      </c>
      <c r="EL50" s="13">
        <f t="shared" si="45"/>
        <v>26.08577713462325</v>
      </c>
      <c r="EM50" s="20">
        <f t="shared" si="19"/>
        <v>213.20747850946884</v>
      </c>
      <c r="EN50" s="59">
        <f t="shared" si="20"/>
        <v>499.69455561304869</v>
      </c>
      <c r="EO50" s="59">
        <f ca="1">AVERAGE(OFFSET($EN$3,0,0,'Données projet'!$E$15+1,1))-AVERAGE(OFFSET($H$3,0,0,'Données projet'!$E$15+1,1))</f>
        <v>270.0029254736703</v>
      </c>
      <c r="EP50" s="59">
        <f t="shared" si="46"/>
        <v>183.80022202211441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18.201374800531301</v>
      </c>
      <c r="EX50" s="21">
        <f>EXP(-LN(2)/2)*EX49+(1-EXP(-LN(2)/2))/(LN(2)/2)*ER50*EU50*VLOOKUP('Données projet'!$B$15,Paramètres!$A$1:$I$89,3,0)*0.475*44/12</f>
        <v>1.5479345515952447</v>
      </c>
      <c r="EY50" s="22">
        <f t="shared" si="21"/>
        <v>19.749309352126545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197.39999999999992</v>
      </c>
      <c r="FF50" s="17">
        <f>FE50*VLOOKUP('Données projet'!$B$16,Paramètres!$A$1:$I$89,3,0)*VLOOKUP('Données projet'!$B$16,Paramètres!$A$1:$I$89,5,0)</f>
        <v>172.44863999999995</v>
      </c>
      <c r="FG50" s="13">
        <f t="shared" si="47"/>
        <v>43.637980200453676</v>
      </c>
      <c r="FH50" s="20">
        <f t="shared" si="22"/>
        <v>376.35086351579008</v>
      </c>
      <c r="FI50" s="59">
        <f t="shared" si="23"/>
        <v>662.83794061936987</v>
      </c>
      <c r="FJ50" s="59">
        <f ca="1">AVERAGE(OFFSET($FI$3,0,0,'Données projet'!$E$16+1,1))-AVERAGE(OFFSET($H$3,0,0,'Données projet'!$E$16+1,1))</f>
        <v>328.93328163316073</v>
      </c>
      <c r="FK50" s="59">
        <f t="shared" si="48"/>
        <v>320.27831321887072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8.6499255990348782</v>
      </c>
      <c r="FR50" s="21">
        <f>EXP(-LN(2)/25)*FR49+(1-EXP(-LN(2)/25))/(LN(2)/25)*Calculateur!FM50*Calculateur!FO50*VLOOKUP('Données projet'!$B$16,Paramètres!$A$1:$I$89,3,0)*0.475*44/12</f>
        <v>14.792845737026042</v>
      </c>
      <c r="FS50" s="21">
        <f>EXP(-LN(2)/2)*FS49+(1-EXP(-LN(2)/2))/(LN(2)/2)*FM50*FP50*VLOOKUP('Données projet'!$B$16,Paramètres!$A$1:$I$89,3,0)*0.475*44/12</f>
        <v>2.8861707136286325</v>
      </c>
      <c r="FT50" s="22">
        <f t="shared" si="24"/>
        <v>26.328942049689555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4.8717948717948731</v>
      </c>
      <c r="FZ50" s="12">
        <f>IF('Données projet'!$A$244&gt;35,FZ49+FY50-GH49,IF(A50&lt;'Données projet'!$A$244,$FW$205^A50,IF(A50='Données projet'!$A$244,'Données projet'!$B$244,FZ49+FY50-GH49)))</f>
        <v>94.999999999999986</v>
      </c>
      <c r="GA50" s="17">
        <f>FZ50*VLOOKUP('Données projet'!$B$17,Paramètres!$A$1:$I$89,3,0)*VLOOKUP('Données projet'!$B$17,Paramètres!$A$1:$I$89,5,0)</f>
        <v>63.725999999999992</v>
      </c>
      <c r="GB50" s="13">
        <f t="shared" si="49"/>
        <v>18.106990134115833</v>
      </c>
      <c r="GC50" s="20">
        <f t="shared" si="25"/>
        <v>142.52579115025171</v>
      </c>
      <c r="GD50" s="59">
        <f t="shared" si="26"/>
        <v>429.01286825383158</v>
      </c>
      <c r="GE50" s="59">
        <f ca="1">AVERAGE(OFFSET($GD$3,0,0,'Données projet'!$E$17+1,1))-AVERAGE(OFFSET($H$3,0,0,'Données projet'!$E$17+1,1))</f>
        <v>192.88444860121191</v>
      </c>
      <c r="GF50" s="59">
        <f t="shared" si="50"/>
        <v>136.13737493732751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14.841120991202446</v>
      </c>
      <c r="GN50" s="21">
        <f>EXP(-LN(2)/2)*GN49+(1-EXP(-LN(2)/2))/(LN(2)/2)*GH50*GK50*VLOOKUP('Données projet'!$B$17,Paramètres!$A$1:$I$89,3,0)*0.475*44/12</f>
        <v>1.0240182418245465</v>
      </c>
      <c r="GO50" s="21">
        <f t="shared" si="27"/>
        <v>15.865139233026992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68.132839210067232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0.85000000000000009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3.1166666666666671</v>
      </c>
      <c r="H51" s="67">
        <f t="shared" si="1"/>
        <v>244.19999999999996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658.16808838932684</v>
      </c>
      <c r="S51" s="59">
        <f ca="1">AVERAGE(OFFSET($R$3,0,0,'Données projet'!$E$9+1,1))-AVERAGE(OFFSET($H$3,0,0,'Données projet'!$E$9+1,1))</f>
        <v>643.492472896403</v>
      </c>
      <c r="T51" s="59">
        <f t="shared" si="34"/>
        <v>285.0259479655341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10.199999999999999</v>
      </c>
      <c r="AI51" s="13">
        <f>IF('Données projet'!$A$62&gt;35,AI50+AH51-AQ50,IF(A51&lt;'Données projet'!$A$62,$AF$205^A51,IF(A51='Données projet'!$A$62,'Données projet'!$B$62,AI50+AH51-AQ50)))</f>
        <v>232.60000000000002</v>
      </c>
      <c r="AJ51" s="13">
        <f>AI51*VLOOKUP('Données projet'!$B$10,Paramètres!$A$1:$I$89,3,0)*VLOOKUP('Données projet'!$B$10,Paramètres!$A$1:$I$89,5,0)</f>
        <v>181.42800000000003</v>
      </c>
      <c r="AK51" s="13">
        <f t="shared" si="35"/>
        <v>45.639743598335336</v>
      </c>
      <c r="AL51" s="20">
        <f t="shared" si="4"/>
        <v>395.47632010043407</v>
      </c>
      <c r="AM51" s="59">
        <f t="shared" si="5"/>
        <v>682.08216444366417</v>
      </c>
      <c r="AN51" s="59">
        <f ca="1">AVERAGE(OFFSET($AM$3,0,0,'Données projet'!$E$10+1,1))-AVERAGE(OFFSET($H$3,0,0,'Données projet'!$E$10+1,1))</f>
        <v>289.89907502443873</v>
      </c>
      <c r="AO51" s="59">
        <f t="shared" si="36"/>
        <v>267.42183550360301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10.01107933896621</v>
      </c>
      <c r="AW51" s="21">
        <f>EXP(-LN(2)/2)*AW50+(1-EXP(-LN(2)/2))/(LN(2)/2)*AQ51*AT51*VLOOKUP('Données projet'!$B$10,Paramètres!$A$1:$I$89,3,0)*0.475*44/12</f>
        <v>2.4533918991931158</v>
      </c>
      <c r="AX51" s="21">
        <f t="shared" si="6"/>
        <v>12.464471238159327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2.5641025641025634</v>
      </c>
      <c r="BD51" s="12">
        <f>IF('Données projet'!$A$88&gt;35,BD50+BC51-BL50,IF(A51&lt;'Données projet'!$A$88,$BA$205^A51,IF(A51='Données projet'!$A$88,'Données projet'!$B$88,BD50+BC51-BL50)))</f>
        <v>56.410256410256395</v>
      </c>
      <c r="BE51" s="13">
        <f>BD51*VLOOKUP('Données projet'!$B$11,Paramètres!$A$1:$I$89,3,0)*VLOOKUP('Données projet'!$B$11,Paramètres!$A$1:$I$89,5,0)</f>
        <v>54.559999999999988</v>
      </c>
      <c r="BF51" s="13">
        <f t="shared" si="37"/>
        <v>15.785351276191415</v>
      </c>
      <c r="BG51" s="20">
        <f t="shared" si="7"/>
        <v>122.51815347270004</v>
      </c>
      <c r="BH51" s="59">
        <f t="shared" si="8"/>
        <v>409.12399781593018</v>
      </c>
      <c r="BI51" s="59">
        <f ca="1">AVERAGE(OFFSET($BH$3,0,0,'Données projet'!$E$11+1,1))-AVERAGE(OFFSET($H$3,0,0,'Données projet'!$E$11+1,1))</f>
        <v>177.54241137663234</v>
      </c>
      <c r="BJ51" s="59">
        <f t="shared" si="38"/>
        <v>114.71095021456071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7.3697203548481349</v>
      </c>
      <c r="BR51" s="21">
        <f>EXP(-LN(2)/2)*BR50+(1-EXP(-LN(2)/2))/(LN(2)/2)*BL51*BO51*VLOOKUP('Données projet'!$B$11,Paramètres!$A$1:$I$89,3,0)*0.475*44/12</f>
        <v>0.45191974303839777</v>
      </c>
      <c r="BS51" s="22">
        <f t="shared" si="9"/>
        <v>7.821640097886533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2.5641025641025634</v>
      </c>
      <c r="BY51" s="12">
        <f>IF('Données projet'!$A$114&gt;35,BY50+BX51-CG50,IF(A51&lt;'Données projet'!$A$114,$BV$205^A51,IF(A51='Données projet'!$A$114,'Données projet'!$B$114,BY50+BX51-CG50)))</f>
        <v>56.410256410256395</v>
      </c>
      <c r="BZ51" s="13">
        <f>BY51*VLOOKUP('Données projet'!$B$12,Paramètres!$A$1:$I$89,3,0)*VLOOKUP('Données projet'!$B$12,Paramètres!$A$1:$I$89,5,0)</f>
        <v>60.719999999999985</v>
      </c>
      <c r="CA51" s="13">
        <f t="shared" si="39"/>
        <v>17.350181030898838</v>
      </c>
      <c r="CB51" s="20">
        <f t="shared" si="10"/>
        <v>135.97223196214878</v>
      </c>
      <c r="CC51" s="59">
        <f t="shared" si="11"/>
        <v>422.57807630537894</v>
      </c>
      <c r="CD51" s="59">
        <f ca="1">AVERAGE(OFFSET($CC$3,0,0,'Données projet'!$E$12+1,1))-AVERAGE(OFFSET($H$3,0,0,'Données projet'!$E$12+1,1))</f>
        <v>192.88977161349993</v>
      </c>
      <c r="CE51" s="59">
        <f t="shared" si="40"/>
        <v>122.91376861456772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8.2017855562019566</v>
      </c>
      <c r="CM51" s="21">
        <f>EXP(-LN(2)/2)*CM50+(1-EXP(-LN(2)/2))/(LN(2)/2)*CG51*CJ51*VLOOKUP('Données projet'!$B$12,Paramètres!$A$1:$I$89,3,0)*0.475*44/12</f>
        <v>0.50294293983305571</v>
      </c>
      <c r="CN51" s="22">
        <f t="shared" si="12"/>
        <v>8.7047284960350115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2.9487179487179445</v>
      </c>
      <c r="CT51" s="12">
        <f>IF('Données projet'!$A$140&gt;35,CT50+CS51-DB50,IF(A51&lt;'Données projet'!$A$140,$CQ$205^A51,IF(A51='Données projet'!$A$140,'Données projet'!$B$140,CT50+CS51-DB50)))</f>
        <v>83.205128205128204</v>
      </c>
      <c r="CU51" s="17">
        <f>CT51*VLOOKUP('Données projet'!$B$13,Paramètres!$A$1:$I$89,3,0)*VLOOKUP('Données projet'!$B$13,Paramètres!$A$1:$I$89,5,0)</f>
        <v>67.495999999999995</v>
      </c>
      <c r="CV51" s="13">
        <f t="shared" si="41"/>
        <v>19.050313963345932</v>
      </c>
      <c r="CW51" s="20">
        <f t="shared" si="13"/>
        <v>150.73483015282747</v>
      </c>
      <c r="CX51" s="59">
        <f t="shared" si="14"/>
        <v>437.34067449605766</v>
      </c>
      <c r="CY51" s="59">
        <f ca="1">AVERAGE(OFFSET($CX$3,0,0,'Données projet'!$E$13+1,1))-AVERAGE(OFFSET($H$3,0,0,'Données projet'!$E$13+1,1))</f>
        <v>163.16040389635825</v>
      </c>
      <c r="CZ51" s="59">
        <f t="shared" si="42"/>
        <v>138.57856782158811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2.3968089599109237</v>
      </c>
      <c r="DH51" s="21">
        <f>EXP(-LN(2)/2)*DH50+(1-EXP(-LN(2)/2))/(LN(2)/2)*DB51*DE51*VLOOKUP('Données projet'!$B$13,Paramètres!$A$1:$I$89,3,0)*0.475*44/12</f>
        <v>0.56980543343352119</v>
      </c>
      <c r="DI51" s="22">
        <f t="shared" si="15"/>
        <v>2.9666143933444449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7.7715686274509812</v>
      </c>
      <c r="DO51" s="12">
        <f>IF('Données projet'!$A$166&gt;35,DO50+DN51-DW50,IF(A51&lt;'Données projet'!$A$166,$DL$205^A51,IF(A51='Données projet'!$A$166,'Données projet'!$B$166,DO50+DN51-DW50)))</f>
        <v>373.03529411764686</v>
      </c>
      <c r="DP51" s="17">
        <f>DO51*VLOOKUP('Données projet'!$B$14,Paramètres!$A$1:$I$89,3,0)*VLOOKUP('Données projet'!$B$14,Paramètres!$A$1:$I$89,5,0)</f>
        <v>174.58051764705874</v>
      </c>
      <c r="DQ51" s="13">
        <f t="shared" si="43"/>
        <v>44.114314325696256</v>
      </c>
      <c r="DR51" s="20">
        <f t="shared" si="16"/>
        <v>380.89349901921491</v>
      </c>
      <c r="DS51" s="59">
        <f t="shared" si="17"/>
        <v>667.49934336244507</v>
      </c>
      <c r="DT51" s="59">
        <f ca="1">AVERAGE(OFFSET($DS$3,0,0,'Données projet'!$E$14+1,1))-AVERAGE(OFFSET($H$3,0,0,'Données projet'!$E$14+1,1))</f>
        <v>343.44193069803498</v>
      </c>
      <c r="DU51" s="59">
        <f t="shared" si="44"/>
        <v>280.67367019483481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4.8717948717948731</v>
      </c>
      <c r="EJ51" s="12">
        <f>IF('Données projet'!$A$192&gt;35,EJ50+EI51-ER50,IF(A51&lt;'Données projet'!$A$192,$EG$205^A51,IF(A51='Données projet'!$A$192,'Données projet'!$B$192,EJ50+EI51-ER50)))</f>
        <v>99.871794871794862</v>
      </c>
      <c r="EK51" s="17">
        <f>EJ51*VLOOKUP('Données projet'!$B$15,Paramètres!$A$1:$I$89,3,0)*VLOOKUP('Données projet'!$B$15,Paramètres!$A$1:$I$89,5,0)</f>
        <v>101.26999999999998</v>
      </c>
      <c r="EL51" s="13">
        <f t="shared" si="45"/>
        <v>27.264334951160137</v>
      </c>
      <c r="EM51" s="20">
        <f t="shared" si="19"/>
        <v>223.86396670660386</v>
      </c>
      <c r="EN51" s="59">
        <f t="shared" si="20"/>
        <v>510.46981104983399</v>
      </c>
      <c r="EO51" s="59">
        <f ca="1">AVERAGE(OFFSET($EN$3,0,0,'Données projet'!$E$15+1,1))-AVERAGE(OFFSET($H$3,0,0,'Données projet'!$E$15+1,1))</f>
        <v>270.0029254736703</v>
      </c>
      <c r="EP51" s="59">
        <f t="shared" si="46"/>
        <v>183.80022202211441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17.70365724944207</v>
      </c>
      <c r="EX51" s="21">
        <f>EXP(-LN(2)/2)*EX50+(1-EXP(-LN(2)/2))/(LN(2)/2)*ER51*EU51*VLOOKUP('Données projet'!$B$15,Paramètres!$A$1:$I$89,3,0)*0.475*44/12</f>
        <v>1.0945550182659554</v>
      </c>
      <c r="EY51" s="22">
        <f t="shared" si="21"/>
        <v>18.798212267708024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204.59999999999991</v>
      </c>
      <c r="FF51" s="17">
        <f>FE51*VLOOKUP('Données projet'!$B$16,Paramètres!$A$1:$I$89,3,0)*VLOOKUP('Données projet'!$B$16,Paramètres!$A$1:$I$89,5,0)</f>
        <v>178.73855999999995</v>
      </c>
      <c r="FG51" s="13">
        <f t="shared" si="47"/>
        <v>45.041424241265332</v>
      </c>
      <c r="FH51" s="20">
        <f t="shared" si="22"/>
        <v>389.75013922020366</v>
      </c>
      <c r="FI51" s="59">
        <f t="shared" si="23"/>
        <v>676.35598356343382</v>
      </c>
      <c r="FJ51" s="59">
        <f ca="1">AVERAGE(OFFSET($FI$3,0,0,'Données projet'!$E$16+1,1))-AVERAGE(OFFSET($H$3,0,0,'Données projet'!$E$16+1,1))</f>
        <v>328.93328163316073</v>
      </c>
      <c r="FK51" s="59">
        <f t="shared" si="48"/>
        <v>320.27831321887072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8.4803058339714639</v>
      </c>
      <c r="FR51" s="21">
        <f>EXP(-LN(2)/25)*FR50+(1-EXP(-LN(2)/25))/(LN(2)/25)*Calculateur!FM51*Calculateur!FO51*VLOOKUP('Données projet'!$B$16,Paramètres!$A$1:$I$89,3,0)*0.475*44/12</f>
        <v>14.388334592425117</v>
      </c>
      <c r="FS51" s="21">
        <f>EXP(-LN(2)/2)*FS50+(1-EXP(-LN(2)/2))/(LN(2)/2)*FM51*FP51*VLOOKUP('Données projet'!$B$16,Paramètres!$A$1:$I$89,3,0)*0.475*44/12</f>
        <v>2.0408308832688231</v>
      </c>
      <c r="FT51" s="22">
        <f t="shared" si="24"/>
        <v>24.909471309665406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4.8717948717948731</v>
      </c>
      <c r="FZ51" s="12">
        <f>IF('Données projet'!$A$244&gt;35,FZ50+FY51-GH50,IF(A51&lt;'Données projet'!$A$244,$FW$205^A51,IF(A51='Données projet'!$A$244,'Données projet'!$B$244,FZ50+FY51-GH50)))</f>
        <v>99.871794871794862</v>
      </c>
      <c r="GA51" s="17">
        <f>FZ51*VLOOKUP('Données projet'!$B$17,Paramètres!$A$1:$I$89,3,0)*VLOOKUP('Données projet'!$B$17,Paramètres!$A$1:$I$89,5,0)</f>
        <v>66.993999999999986</v>
      </c>
      <c r="GB51" s="13">
        <f t="shared" si="49"/>
        <v>18.925065618177005</v>
      </c>
      <c r="GC51" s="20">
        <f t="shared" si="25"/>
        <v>149.64237261832491</v>
      </c>
      <c r="GD51" s="59">
        <f t="shared" si="26"/>
        <v>436.24821696155504</v>
      </c>
      <c r="GE51" s="59">
        <f ca="1">AVERAGE(OFFSET($GD$3,0,0,'Données projet'!$E$17+1,1))-AVERAGE(OFFSET($H$3,0,0,'Données projet'!$E$17+1,1))</f>
        <v>192.88444860121191</v>
      </c>
      <c r="GF51" s="59">
        <f t="shared" si="50"/>
        <v>136.13737493732751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14.435289757237383</v>
      </c>
      <c r="GN51" s="21">
        <f>EXP(-LN(2)/2)*GN50+(1-EXP(-LN(2)/2))/(LN(2)/2)*GH51*GK51*VLOOKUP('Données projet'!$B$17,Paramètres!$A$1:$I$89,3,0)*0.475*44/12</f>
        <v>0.72409024285286272</v>
      </c>
      <c r="GO51" s="21">
        <f t="shared" si="27"/>
        <v>15.159380000090247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68.16523027542641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0.85000000000000009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3.1166666666666671</v>
      </c>
      <c r="H52" s="67">
        <f t="shared" si="1"/>
        <v>244.19999999999996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677.77352977113458</v>
      </c>
      <c r="S52" s="59">
        <f ca="1">AVERAGE(OFFSET($R$3,0,0,'Données projet'!$E$9+1,1))-AVERAGE(OFFSET($H$3,0,0,'Données projet'!$E$9+1,1))</f>
        <v>643.492472896403</v>
      </c>
      <c r="T52" s="59">
        <f t="shared" si="34"/>
        <v>285.0259479655341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10.199999999999999</v>
      </c>
      <c r="AI52" s="13">
        <f>IF('Données projet'!$A$62&gt;35,AI51+AH52-AQ51,IF(A52&lt;'Données projet'!$A$62,$AF$205^A52,IF(A52='Données projet'!$A$62,'Données projet'!$B$62,AI51+AH52-AQ51)))</f>
        <v>242.8</v>
      </c>
      <c r="AJ52" s="13">
        <f>AI52*VLOOKUP('Données projet'!$B$10,Paramètres!$A$1:$I$89,3,0)*VLOOKUP('Données projet'!$B$10,Paramètres!$A$1:$I$89,5,0)</f>
        <v>189.38400000000001</v>
      </c>
      <c r="AK52" s="13">
        <f t="shared" si="35"/>
        <v>47.403738268724076</v>
      </c>
      <c r="AL52" s="20">
        <f t="shared" si="4"/>
        <v>412.40531081802777</v>
      </c>
      <c r="AM52" s="59">
        <f t="shared" si="5"/>
        <v>699.12786205482405</v>
      </c>
      <c r="AN52" s="59">
        <f ca="1">AVERAGE(OFFSET($AM$3,0,0,'Données projet'!$E$10+1,1))-AVERAGE(OFFSET($H$3,0,0,'Données projet'!$E$10+1,1))</f>
        <v>289.89907502443873</v>
      </c>
      <c r="AO52" s="59">
        <f t="shared" si="36"/>
        <v>267.42183550360301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9.7373258479823974</v>
      </c>
      <c r="AW52" s="21">
        <f>EXP(-LN(2)/2)*AW51+(1-EXP(-LN(2)/2))/(LN(2)/2)*AQ52*AT52*VLOOKUP('Données projet'!$B$10,Paramètres!$A$1:$I$89,3,0)*0.475*44/12</f>
        <v>1.734810048827595</v>
      </c>
      <c r="AX52" s="21">
        <f t="shared" si="6"/>
        <v>11.472135896809993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2.5641025641025634</v>
      </c>
      <c r="BD52" s="12">
        <f>IF('Données projet'!$A$88&gt;35,BD51+BC52-BL51,IF(A52&lt;'Données projet'!$A$88,$BA$205^A52,IF(A52='Données projet'!$A$88,'Données projet'!$B$88,BD51+BC52-BL51)))</f>
        <v>58.974358974358957</v>
      </c>
      <c r="BE52" s="13">
        <f>BD52*VLOOKUP('Données projet'!$B$11,Paramètres!$A$1:$I$89,3,0)*VLOOKUP('Données projet'!$B$11,Paramètres!$A$1:$I$89,5,0)</f>
        <v>57.039999999999985</v>
      </c>
      <c r="BF52" s="13">
        <f t="shared" si="37"/>
        <v>16.417698880900208</v>
      </c>
      <c r="BG52" s="20">
        <f t="shared" si="7"/>
        <v>127.93882555090117</v>
      </c>
      <c r="BH52" s="59">
        <f t="shared" si="8"/>
        <v>414.66137678769746</v>
      </c>
      <c r="BI52" s="59">
        <f ca="1">AVERAGE(OFFSET($BH$3,0,0,'Données projet'!$E$11+1,1))-AVERAGE(OFFSET($H$3,0,0,'Données projet'!$E$11+1,1))</f>
        <v>177.54241137663234</v>
      </c>
      <c r="BJ52" s="59">
        <f t="shared" si="38"/>
        <v>114.71095021456071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7.1681949641880633</v>
      </c>
      <c r="BR52" s="21">
        <f>EXP(-LN(2)/2)*BR51+(1-EXP(-LN(2)/2))/(LN(2)/2)*BL52*BO52*VLOOKUP('Données projet'!$B$11,Paramètres!$A$1:$I$89,3,0)*0.475*44/12</f>
        <v>0.31955551485453315</v>
      </c>
      <c r="BS52" s="22">
        <f t="shared" si="9"/>
        <v>7.4877504790425968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2.5641025641025634</v>
      </c>
      <c r="BY52" s="12">
        <f>IF('Données projet'!$A$114&gt;35,BY51+BX52-CG51,IF(A52&lt;'Données projet'!$A$114,$BV$205^A52,IF(A52='Données projet'!$A$114,'Données projet'!$B$114,BY51+BX52-CG51)))</f>
        <v>58.974358974358957</v>
      </c>
      <c r="BZ52" s="13">
        <f>BY52*VLOOKUP('Données projet'!$B$12,Paramètres!$A$1:$I$89,3,0)*VLOOKUP('Données projet'!$B$12,Paramètres!$A$1:$I$89,5,0)</f>
        <v>63.479999999999983</v>
      </c>
      <c r="CA52" s="13">
        <f t="shared" si="39"/>
        <v>18.045214370619362</v>
      </c>
      <c r="CB52" s="20">
        <f t="shared" si="10"/>
        <v>141.98974836216203</v>
      </c>
      <c r="CC52" s="59">
        <f t="shared" si="11"/>
        <v>428.71229959895834</v>
      </c>
      <c r="CD52" s="59">
        <f ca="1">AVERAGE(OFFSET($CC$3,0,0,'Données projet'!$E$12+1,1))-AVERAGE(OFFSET($H$3,0,0,'Données projet'!$E$12+1,1))</f>
        <v>192.88977161349993</v>
      </c>
      <c r="CE52" s="59">
        <f t="shared" si="40"/>
        <v>122.91376861456772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7.9775072988544569</v>
      </c>
      <c r="CM52" s="21">
        <f>EXP(-LN(2)/2)*CM51+(1-EXP(-LN(2)/2))/(LN(2)/2)*CG52*CJ52*VLOOKUP('Données projet'!$B$12,Paramètres!$A$1:$I$89,3,0)*0.475*44/12</f>
        <v>0.35563436330585146</v>
      </c>
      <c r="CN52" s="22">
        <f t="shared" si="12"/>
        <v>8.3331416621603083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2.9487179487179445</v>
      </c>
      <c r="CT52" s="12">
        <f>IF('Données projet'!$A$140&gt;35,CT51+CS52-DB51,IF(A52&lt;'Données projet'!$A$140,$CQ$205^A52,IF(A52='Données projet'!$A$140,'Données projet'!$B$140,CT51+CS52-DB51)))</f>
        <v>86.153846153846146</v>
      </c>
      <c r="CU52" s="17">
        <f>CT52*VLOOKUP('Données projet'!$B$13,Paramètres!$A$1:$I$89,3,0)*VLOOKUP('Données projet'!$B$13,Paramètres!$A$1:$I$89,5,0)</f>
        <v>69.887999999999991</v>
      </c>
      <c r="CV52" s="13">
        <f t="shared" si="41"/>
        <v>19.645641432461961</v>
      </c>
      <c r="CW52" s="20">
        <f t="shared" si="13"/>
        <v>155.93775882820455</v>
      </c>
      <c r="CX52" s="59">
        <f t="shared" si="14"/>
        <v>442.66031006500083</v>
      </c>
      <c r="CY52" s="59">
        <f ca="1">AVERAGE(OFFSET($CX$3,0,0,'Données projet'!$E$13+1,1))-AVERAGE(OFFSET($H$3,0,0,'Données projet'!$E$13+1,1))</f>
        <v>163.16040389635825</v>
      </c>
      <c r="CZ52" s="59">
        <f t="shared" si="42"/>
        <v>138.57856782158811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2.3312680928594545</v>
      </c>
      <c r="DH52" s="21">
        <f>EXP(-LN(2)/2)*DH51+(1-EXP(-LN(2)/2))/(LN(2)/2)*DB52*DE52*VLOOKUP('Données projet'!$B$13,Paramètres!$A$1:$I$89,3,0)*0.475*44/12</f>
        <v>0.40291328593778275</v>
      </c>
      <c r="DI52" s="22">
        <f t="shared" si="15"/>
        <v>2.7341813787972371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7.7715686274509812</v>
      </c>
      <c r="DO52" s="12">
        <f>IF('Données projet'!$A$166&gt;35,DO51+DN52-DW51,IF(A52&lt;'Données projet'!$A$166,$DL$205^A52,IF(A52='Données projet'!$A$166,'Données projet'!$B$166,DO51+DN52-DW51)))</f>
        <v>380.80686274509782</v>
      </c>
      <c r="DP52" s="17">
        <f>DO52*VLOOKUP('Données projet'!$B$14,Paramètres!$A$1:$I$89,3,0)*VLOOKUP('Données projet'!$B$14,Paramètres!$A$1:$I$89,5,0)</f>
        <v>178.21761176470577</v>
      </c>
      <c r="DQ52" s="13">
        <f t="shared" si="43"/>
        <v>44.925408243080945</v>
      </c>
      <c r="DR52" s="20">
        <f t="shared" si="16"/>
        <v>388.64075984689515</v>
      </c>
      <c r="DS52" s="59">
        <f t="shared" si="17"/>
        <v>675.36331108369143</v>
      </c>
      <c r="DT52" s="59">
        <f ca="1">AVERAGE(OFFSET($DS$3,0,0,'Données projet'!$E$14+1,1))-AVERAGE(OFFSET($H$3,0,0,'Données projet'!$E$14+1,1))</f>
        <v>343.44193069803498</v>
      </c>
      <c r="DU52" s="59">
        <f t="shared" si="44"/>
        <v>280.67367019483481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4.8717948717948731</v>
      </c>
      <c r="EJ52" s="12">
        <f>IF('Données projet'!$A$192&gt;35,EJ51+EI52-ER51,IF(A52&lt;'Données projet'!$A$192,$EG$205^A52,IF(A52='Données projet'!$A$192,'Données projet'!$B$192,EJ51+EI52-ER51)))</f>
        <v>104.74358974358974</v>
      </c>
      <c r="EK52" s="17">
        <f>EJ52*VLOOKUP('Données projet'!$B$15,Paramètres!$A$1:$I$89,3,0)*VLOOKUP('Données projet'!$B$15,Paramètres!$A$1:$I$89,5,0)</f>
        <v>106.21</v>
      </c>
      <c r="EL52" s="13">
        <f t="shared" si="45"/>
        <v>28.436217026228483</v>
      </c>
      <c r="EM52" s="20">
        <f t="shared" si="19"/>
        <v>234.5088279873479</v>
      </c>
      <c r="EN52" s="59">
        <f t="shared" si="20"/>
        <v>521.23137922414412</v>
      </c>
      <c r="EO52" s="59">
        <f ca="1">AVERAGE(OFFSET($EN$3,0,0,'Données projet'!$E$15+1,1))-AVERAGE(OFFSET($H$3,0,0,'Données projet'!$E$15+1,1))</f>
        <v>270.0029254736703</v>
      </c>
      <c r="EP52" s="59">
        <f t="shared" si="46"/>
        <v>183.80022202211441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17.219549810961205</v>
      </c>
      <c r="EX52" s="21">
        <f>EXP(-LN(2)/2)*EX51+(1-EXP(-LN(2)/2))/(LN(2)/2)*ER52*EU52*VLOOKUP('Données projet'!$B$15,Paramètres!$A$1:$I$89,3,0)*0.475*44/12</f>
        <v>0.77396727579762248</v>
      </c>
      <c r="EY52" s="22">
        <f t="shared" si="21"/>
        <v>17.993517086758828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211.7999999999999</v>
      </c>
      <c r="FF52" s="17">
        <f>FE52*VLOOKUP('Données projet'!$B$16,Paramètres!$A$1:$I$89,3,0)*VLOOKUP('Données projet'!$B$16,Paramètres!$A$1:$I$89,5,0)</f>
        <v>185.02847999999992</v>
      </c>
      <c r="FG52" s="13">
        <f t="shared" si="47"/>
        <v>46.439130018745807</v>
      </c>
      <c r="FH52" s="20">
        <f t="shared" si="22"/>
        <v>403.13942078264876</v>
      </c>
      <c r="FI52" s="59">
        <f t="shared" si="23"/>
        <v>689.86197201944503</v>
      </c>
      <c r="FJ52" s="59">
        <f ca="1">AVERAGE(OFFSET($FI$3,0,0,'Données projet'!$E$16+1,1))-AVERAGE(OFFSET($H$3,0,0,'Données projet'!$E$16+1,1))</f>
        <v>328.93328163316073</v>
      </c>
      <c r="FK52" s="59">
        <f t="shared" si="48"/>
        <v>320.27831321887072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8.3140122090431028</v>
      </c>
      <c r="FR52" s="21">
        <f>EXP(-LN(2)/25)*FR51+(1-EXP(-LN(2)/25))/(LN(2)/25)*Calculateur!FM52*Calculateur!FO52*VLOOKUP('Données projet'!$B$16,Paramètres!$A$1:$I$89,3,0)*0.475*44/12</f>
        <v>13.994884826345622</v>
      </c>
      <c r="FS52" s="21">
        <f>EXP(-LN(2)/2)*FS51+(1-EXP(-LN(2)/2))/(LN(2)/2)*FM52*FP52*VLOOKUP('Données projet'!$B$16,Paramètres!$A$1:$I$89,3,0)*0.475*44/12</f>
        <v>1.4430853568143163</v>
      </c>
      <c r="FT52" s="22">
        <f t="shared" si="24"/>
        <v>23.75198239220304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4.8717948717948731</v>
      </c>
      <c r="FZ52" s="12">
        <f>IF('Données projet'!$A$244&gt;35,FZ51+FY52-GH51,IF(A52&lt;'Données projet'!$A$244,$FW$205^A52,IF(A52='Données projet'!$A$244,'Données projet'!$B$244,FZ51+FY52-GH51)))</f>
        <v>104.74358974358974</v>
      </c>
      <c r="GA52" s="17">
        <f>FZ52*VLOOKUP('Données projet'!$B$17,Paramètres!$A$1:$I$89,3,0)*VLOOKUP('Données projet'!$B$17,Paramètres!$A$1:$I$89,5,0)</f>
        <v>70.262</v>
      </c>
      <c r="GB52" s="13">
        <f t="shared" si="49"/>
        <v>19.738507251987695</v>
      </c>
      <c r="GC52" s="20">
        <f t="shared" si="25"/>
        <v>156.75088346387858</v>
      </c>
      <c r="GD52" s="59">
        <f t="shared" si="26"/>
        <v>443.47343470067483</v>
      </c>
      <c r="GE52" s="59">
        <f ca="1">AVERAGE(OFFSET($GD$3,0,0,'Données projet'!$E$17+1,1))-AVERAGE(OFFSET($H$3,0,0,'Données projet'!$E$17+1,1))</f>
        <v>192.88444860121191</v>
      </c>
      <c r="GF52" s="59">
        <f t="shared" si="50"/>
        <v>136.13737493732751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14.040555999706831</v>
      </c>
      <c r="GN52" s="21">
        <f>EXP(-LN(2)/2)*GN51+(1-EXP(-LN(2)/2))/(LN(2)/2)*GH52*GK52*VLOOKUP('Données projet'!$B$17,Paramètres!$A$1:$I$89,3,0)*0.475*44/12</f>
        <v>0.51200912091227324</v>
      </c>
      <c r="GO52" s="21">
        <f t="shared" si="27"/>
        <v>14.552565120619104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68.197059428217173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0.85000000000000009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3.1166666666666671</v>
      </c>
      <c r="H53" s="67">
        <f t="shared" si="1"/>
        <v>244.19999999999996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697.35588330932637</v>
      </c>
      <c r="S53" s="59">
        <f ca="1">AVERAGE(OFFSET($R$3,0,0,'Données projet'!$E$9+1,1))-AVERAGE(OFFSET($H$3,0,0,'Données projet'!$E$9+1,1))</f>
        <v>643.492472896403</v>
      </c>
      <c r="T53" s="59">
        <f t="shared" si="34"/>
        <v>285.0259479655341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253</v>
      </c>
      <c r="AG53" s="12">
        <f>VLOOKUP(A53,'Données projet'!$A$61:$I$81,9,0)</f>
        <v>10.199999999999999</v>
      </c>
      <c r="AH53" s="12">
        <f t="array" ref="AH53">INDEX(AG:AG,MIN(IF(ISNUMBER(AG53:AG249),ROW(AG53:AG249),"")))</f>
        <v>10.199999999999999</v>
      </c>
      <c r="AI53" s="13">
        <f>IF('Données projet'!$A$62&gt;35,AI52+AH53-AQ52,IF(A53&lt;'Données projet'!$A$62,$AF$205^A53,IF(A53='Données projet'!$A$62,'Données projet'!$B$62,AI52+AH53-AQ52)))</f>
        <v>253</v>
      </c>
      <c r="AJ53" s="13">
        <f>AI53*VLOOKUP('Données projet'!$B$10,Paramètres!$A$1:$I$89,3,0)*VLOOKUP('Données projet'!$B$10,Paramètres!$A$1:$I$89,5,0)</f>
        <v>197.34</v>
      </c>
      <c r="AK53" s="13">
        <f t="shared" si="35"/>
        <v>49.159125474269977</v>
      </c>
      <c r="AL53" s="20">
        <f t="shared" si="4"/>
        <v>429.31931020102024</v>
      </c>
      <c r="AM53" s="59">
        <f t="shared" si="5"/>
        <v>716.15654372769677</v>
      </c>
      <c r="AN53" s="59">
        <f ca="1">AVERAGE(OFFSET($AM$3,0,0,'Données projet'!$E$10+1,1))-AVERAGE(OFFSET($H$3,0,0,'Données projet'!$E$10+1,1))</f>
        <v>289.89907502443873</v>
      </c>
      <c r="AO53" s="59">
        <f t="shared" si="36"/>
        <v>267.42183550360301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30</v>
      </c>
      <c r="AR53" s="16">
        <f>IF(ISNA(VLOOKUP(A53,'Données projet'!$A$61:$I$81,5,0)),0%,VLOOKUP(A53,'Données projet'!$A$61:$I$81,5,0)*VLOOKUP('Données projet'!$B$10,Paramètres!$A$1:$I$89,7,0))</f>
        <v>0.1075</v>
      </c>
      <c r="AS53" s="16">
        <f>IF(ISNA(VLOOKUP(A53,'Données projet'!$A$61:$I$81,6,0)),0%,VLOOKUP(A53,'Données projet'!$A$61:$I$81,6,0)*VLOOKUP('Données projet'!$B$10,Paramètres!$A$1:$I$89,7,0))</f>
        <v>0.1075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2.780810739715136</v>
      </c>
      <c r="AV53" s="21">
        <f>EXP(-LN(2)/25)*AV52+(1-EXP(-LN(2)/25))/(LN(2)/25)*Calculateur!AQ53*Calculateur!AS53*VLOOKUP('Données projet'!$B$10,Paramètres!$A$1:$I$89,3,0)*0.475*44/12</f>
        <v>12.240919788866524</v>
      </c>
      <c r="AW53" s="21">
        <f>EXP(-LN(2)/2)*AW52+(1-EXP(-LN(2)/2))/(LN(2)/2)*AQ53*AT53*VLOOKUP('Données projet'!$B$10,Paramètres!$A$1:$I$89,3,0)*0.475*44/12</f>
        <v>6.7463284000380792</v>
      </c>
      <c r="AX53" s="21">
        <f t="shared" si="6"/>
        <v>21.768058928619737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61.538461538461533</v>
      </c>
      <c r="BB53" s="12">
        <f>VLOOKUP(A53,'Données projet'!$A$87:$I$107,9,0)</f>
        <v>2.5641025641025634</v>
      </c>
      <c r="BC53" s="12">
        <f t="array" ref="BC53">INDEX(BB:BB,MIN(IF(ISNUMBER(BB53:BB249),ROW(BB53:BB249),"")))</f>
        <v>2.5641025641025634</v>
      </c>
      <c r="BD53" s="12">
        <f>IF('Données projet'!$A$88&gt;35,BD52+BC53-BL52,IF(A53&lt;'Données projet'!$A$88,$BA$205^A53,IF(A53='Données projet'!$A$88,'Données projet'!$B$88,BD52+BC53-BL52)))</f>
        <v>61.538461538461519</v>
      </c>
      <c r="BE53" s="13">
        <f>BD53*VLOOKUP('Données projet'!$B$11,Paramètres!$A$1:$I$89,3,0)*VLOOKUP('Données projet'!$B$11,Paramètres!$A$1:$I$89,5,0)</f>
        <v>59.519999999999982</v>
      </c>
      <c r="BF53" s="13">
        <f t="shared" si="37"/>
        <v>17.046853278789335</v>
      </c>
      <c r="BG53" s="20">
        <f t="shared" si="7"/>
        <v>133.35393612722473</v>
      </c>
      <c r="BH53" s="59">
        <f t="shared" si="8"/>
        <v>420.19116965390128</v>
      </c>
      <c r="BI53" s="59">
        <f ca="1">AVERAGE(OFFSET($BH$3,0,0,'Données projet'!$E$11+1,1))-AVERAGE(OFFSET($H$3,0,0,'Données projet'!$E$11+1,1))</f>
        <v>177.54241137663234</v>
      </c>
      <c r="BJ53" s="59">
        <f t="shared" si="38"/>
        <v>114.71095021456071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6.4102564102564097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9.3206441722024351</v>
      </c>
      <c r="BR53" s="21">
        <f>EXP(-LN(2)/2)*BR52+(1-EXP(-LN(2)/2))/(LN(2)/2)*BL53*BO53*VLOOKUP('Données projet'!$B$11,Paramètres!$A$1:$I$89,3,0)*0.475*44/12</f>
        <v>1.3959332456298803</v>
      </c>
      <c r="BS53" s="22">
        <f t="shared" si="9"/>
        <v>10.716577417832315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61.538461538461533</v>
      </c>
      <c r="BW53" s="12">
        <f>VLOOKUP(A53,'Données projet'!$A$113:$I$133,9,0)</f>
        <v>2.5641025641025634</v>
      </c>
      <c r="BX53" s="12">
        <f t="array" ref="BX53">INDEX(BW:BW,MIN(IF(ISNUMBER(BW53:BW249),ROW(BW53:BW249),"")))</f>
        <v>2.5641025641025634</v>
      </c>
      <c r="BY53" s="12">
        <f>IF('Données projet'!$A$114&gt;35,BY52+BX53-CG52,IF(A53&lt;'Données projet'!$A$114,$BV$205^A53,IF(A53='Données projet'!$A$114,'Données projet'!$B$114,BY52+BX53-CG52)))</f>
        <v>61.538461538461519</v>
      </c>
      <c r="BZ53" s="13">
        <f>BY53*VLOOKUP('Données projet'!$B$12,Paramètres!$A$1:$I$89,3,0)*VLOOKUP('Données projet'!$B$12,Paramètres!$A$1:$I$89,5,0)</f>
        <v>66.239999999999981</v>
      </c>
      <c r="CA53" s="13">
        <f t="shared" si="39"/>
        <v>18.736737955287808</v>
      </c>
      <c r="CB53" s="20">
        <f t="shared" si="10"/>
        <v>148.0011519387929</v>
      </c>
      <c r="CC53" s="59">
        <f t="shared" si="11"/>
        <v>434.83838546546951</v>
      </c>
      <c r="CD53" s="59">
        <f ca="1">AVERAGE(OFFSET($CC$3,0,0,'Données projet'!$E$12+1,1))-AVERAGE(OFFSET($H$3,0,0,'Données projet'!$E$12+1,1))</f>
        <v>192.88977161349993</v>
      </c>
      <c r="CE53" s="59">
        <f t="shared" si="40"/>
        <v>122.91376861456772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6.4102564102564097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10.372974965838193</v>
      </c>
      <c r="CM53" s="21">
        <f>EXP(-LN(2)/2)*CM52+(1-EXP(-LN(2)/2))/(LN(2)/2)*CG53*CJ53*VLOOKUP('Données projet'!$B$12,Paramètres!$A$1:$I$89,3,0)*0.475*44/12</f>
        <v>1.5535386120719634</v>
      </c>
      <c r="CN53" s="22">
        <f t="shared" si="12"/>
        <v>11.926513577910157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89.102564102564088</v>
      </c>
      <c r="CR53" s="12">
        <f>VLOOKUP(A53,'Données projet'!$A$139:$I$159,9,0)</f>
        <v>2.9487179487179445</v>
      </c>
      <c r="CS53" s="12">
        <f t="array" ref="CS53">INDEX(CR:CR,MIN(IF(ISNUMBER(CR53:CR249),ROW(CR53:CR249),"")))</f>
        <v>2.9487179487179445</v>
      </c>
      <c r="CT53" s="12">
        <f>IF('Données projet'!$A$140&gt;35,CT52+CS53-DB52,IF(A53&lt;'Données projet'!$A$140,$CQ$205^A53,IF(A53='Données projet'!$A$140,'Données projet'!$B$140,CT52+CS53-DB52)))</f>
        <v>89.102564102564088</v>
      </c>
      <c r="CU53" s="17">
        <f>CT53*VLOOKUP('Données projet'!$B$13,Paramètres!$A$1:$I$89,3,0)*VLOOKUP('Données projet'!$B$13,Paramètres!$A$1:$I$89,5,0)</f>
        <v>72.28</v>
      </c>
      <c r="CV53" s="13">
        <f t="shared" si="41"/>
        <v>20.238601389325545</v>
      </c>
      <c r="CW53" s="20">
        <f t="shared" si="13"/>
        <v>161.13656408640864</v>
      </c>
      <c r="CX53" s="59">
        <f t="shared" si="14"/>
        <v>447.97379761308525</v>
      </c>
      <c r="CY53" s="59">
        <f ca="1">AVERAGE(OFFSET($CX$3,0,0,'Données projet'!$E$13+1,1))-AVERAGE(OFFSET($H$3,0,0,'Données projet'!$E$13+1,1))</f>
        <v>163.16040389635825</v>
      </c>
      <c r="CZ53" s="59">
        <f t="shared" si="42"/>
        <v>138.57856782158811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7.0512820512820511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0.1075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2.9445967311723757</v>
      </c>
      <c r="DH53" s="21">
        <f>EXP(-LN(2)/2)*DH52+(1-EXP(-LN(2)/2))/(LN(2)/2)*DB53*DE53*VLOOKUP('Données projet'!$B$13,Paramètres!$A$1:$I$89,3,0)*0.475*44/12</f>
        <v>1.634146204602466</v>
      </c>
      <c r="DI53" s="22">
        <f t="shared" si="15"/>
        <v>4.5787429357748417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7.7715686274509812</v>
      </c>
      <c r="DO53" s="12">
        <f>IF('Données projet'!$A$166&gt;35,DO52+DN53-DW52,IF(A53&lt;'Données projet'!$A$166,$DL$205^A53,IF(A53='Données projet'!$A$166,'Données projet'!$B$166,DO52+DN53-DW52)))</f>
        <v>388.57843137254878</v>
      </c>
      <c r="DP53" s="17">
        <f>DO53*VLOOKUP('Données projet'!$B$14,Paramètres!$A$1:$I$89,3,0)*VLOOKUP('Données projet'!$B$14,Paramètres!$A$1:$I$89,5,0)</f>
        <v>181.85470588235282</v>
      </c>
      <c r="DQ53" s="13">
        <f t="shared" si="43"/>
        <v>45.734577544078526</v>
      </c>
      <c r="DR53" s="20">
        <f t="shared" si="16"/>
        <v>396.38466863436787</v>
      </c>
      <c r="DS53" s="59">
        <f t="shared" si="17"/>
        <v>683.22190216104445</v>
      </c>
      <c r="DT53" s="59">
        <f ca="1">AVERAGE(OFFSET($DS$3,0,0,'Données projet'!$E$14+1,1))-AVERAGE(OFFSET($H$3,0,0,'Données projet'!$E$14+1,1))</f>
        <v>343.44193069803498</v>
      </c>
      <c r="DU53" s="59">
        <f t="shared" si="44"/>
        <v>280.67367019483481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109.61538461538461</v>
      </c>
      <c r="EH53" s="12">
        <f>VLOOKUP(A53,'Données projet'!$A$191:$I$211,9,0)</f>
        <v>4.8717948717948731</v>
      </c>
      <c r="EI53" s="12">
        <f t="array" ref="EI53">INDEX(EH:EH,MIN(IF(ISNUMBER(EH53:EH249),ROW(EH53:EH249),"")))</f>
        <v>4.8717948717948731</v>
      </c>
      <c r="EJ53" s="12">
        <f>IF('Données projet'!$A$192&gt;35,EJ52+EI53-ER52,IF(A53&lt;'Données projet'!$A$192,$EG$205^A53,IF(A53='Données projet'!$A$192,'Données projet'!$B$192,EJ52+EI53-ER52)))</f>
        <v>109.61538461538461</v>
      </c>
      <c r="EK53" s="17">
        <f>EJ53*VLOOKUP('Données projet'!$B$15,Paramètres!$A$1:$I$89,3,0)*VLOOKUP('Données projet'!$B$15,Paramètres!$A$1:$I$89,5,0)</f>
        <v>111.15</v>
      </c>
      <c r="EL53" s="13">
        <f t="shared" si="45"/>
        <v>29.601769319956546</v>
      </c>
      <c r="EM53" s="20">
        <f t="shared" si="19"/>
        <v>245.14266489892438</v>
      </c>
      <c r="EN53" s="59">
        <f t="shared" si="20"/>
        <v>531.97989842560094</v>
      </c>
      <c r="EO53" s="59">
        <f ca="1">AVERAGE(OFFSET($EN$3,0,0,'Données projet'!$E$15+1,1))-AVERAGE(OFFSET($H$3,0,0,'Données projet'!$E$15+1,1))</f>
        <v>270.0029254736703</v>
      </c>
      <c r="EP53" s="59">
        <f t="shared" si="46"/>
        <v>183.80022202211441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14.102564102564102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0.34400000000000003</v>
      </c>
      <c r="EU53" s="16">
        <f>IF(ISNA(VLOOKUP(A53,'Données projet'!$A$191:$I$211,7,0)),0%,VLOOKUP(A53,'Données projet'!$A$191:$I$211,7,0))</f>
        <v>0.2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22.165298611109495</v>
      </c>
      <c r="EX53" s="21">
        <f>EXP(-LN(2)/2)*EX52+(1-EXP(-LN(2)/2))/(LN(2)/2)*ER53*EU53*VLOOKUP('Données projet'!$B$15,Paramètres!$A$1:$I$89,3,0)*0.475*44/12</f>
        <v>3.2457644849043885</v>
      </c>
      <c r="EY53" s="22">
        <f t="shared" si="21"/>
        <v>25.411063096013883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219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218.99999999999989</v>
      </c>
      <c r="FF53" s="17">
        <f>FE53*VLOOKUP('Données projet'!$B$16,Paramètres!$A$1:$I$89,3,0)*VLOOKUP('Données projet'!$B$16,Paramètres!$A$1:$I$89,5,0)</f>
        <v>191.31839999999991</v>
      </c>
      <c r="FG53" s="13">
        <f t="shared" si="47"/>
        <v>47.831314962098354</v>
      </c>
      <c r="FH53" s="20">
        <f t="shared" si="22"/>
        <v>416.51908689232118</v>
      </c>
      <c r="FI53" s="59">
        <f t="shared" si="23"/>
        <v>703.35632041899771</v>
      </c>
      <c r="FJ53" s="59">
        <f ca="1">AVERAGE(OFFSET($FI$3,0,0,'Données projet'!$E$16+1,1))-AVERAGE(OFFSET($H$3,0,0,'Données projet'!$E$16+1,1))</f>
        <v>328.93328163316073</v>
      </c>
      <c r="FK53" s="59">
        <f t="shared" si="48"/>
        <v>320.27831321887072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0.13250000000000001</v>
      </c>
      <c r="FO53" s="16">
        <f>IF(ISNA(VLOOKUP(A53,'Données projet'!$A$217:$I$237,6,0)),0%,VLOOKUP(A53,'Données projet'!$A$217:$I$237,6,0)*VLOOKUP('Données projet'!$B$16,Paramètres!$A$1:$I$89,7,0))</f>
        <v>0.13250000000000001</v>
      </c>
      <c r="FP53" s="16">
        <f>IF(ISNA(VLOOKUP(A53,'Données projet'!$A$217:$I$237,7,0)),0%,VLOOKUP(A53,'Données projet'!$A$217:$I$237,7,0))</f>
        <v>0.25</v>
      </c>
      <c r="FQ53" s="21">
        <f>EXP(-LN(2)/35)*FQ52+(1-EXP(-LN(2)/35))/(LN(2)/35)*FM53*FN53*VLOOKUP('Données projet'!$B$16,Paramètres!$A$1:$I$89,3,0)*0.475*44/12</f>
        <v>10.326306425989358</v>
      </c>
      <c r="FR53" s="21">
        <f>EXP(-LN(2)/25)*FR52+(1-EXP(-LN(2)/25))/(LN(2)/25)*Calculateur!FM53*Calculateur!FO53*VLOOKUP('Données projet'!$B$16,Paramètres!$A$1:$I$89,3,0)*0.475*44/12</f>
        <v>15.77895579915954</v>
      </c>
      <c r="FS53" s="21">
        <f>EXP(-LN(2)/2)*FS52+(1-EXP(-LN(2)/2))/(LN(2)/2)*FM53*FP53*VLOOKUP('Données projet'!$B$16,Paramètres!$A$1:$I$89,3,0)*0.475*44/12</f>
        <v>4.5235421701812975</v>
      </c>
      <c r="FT53" s="22">
        <f t="shared" si="24"/>
        <v>30.628804395330196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109.61538461538461</v>
      </c>
      <c r="FX53" s="12">
        <f>VLOOKUP(A53,'Données projet'!$A$243:$I$263,9,0)</f>
        <v>4.8717948717948731</v>
      </c>
      <c r="FY53" s="12">
        <f t="array" ref="FY53">INDEX(FX:FX,MIN(IF(ISNUMBER(FX53:FX249),ROW(FX53:FX249),"")))</f>
        <v>4.8717948717948731</v>
      </c>
      <c r="FZ53" s="12">
        <f>IF('Données projet'!$A$244&gt;35,FZ52+FY53-GH52,IF(A53&lt;'Données projet'!$A$244,$FW$205^A53,IF(A53='Données projet'!$A$244,'Données projet'!$B$244,FZ52+FY53-GH52)))</f>
        <v>109.61538461538461</v>
      </c>
      <c r="GA53" s="17">
        <f>FZ53*VLOOKUP('Données projet'!$B$17,Paramètres!$A$1:$I$89,3,0)*VLOOKUP('Données projet'!$B$17,Paramètres!$A$1:$I$89,5,0)</f>
        <v>73.53</v>
      </c>
      <c r="GB53" s="13">
        <f t="shared" si="49"/>
        <v>20.547555177775536</v>
      </c>
      <c r="GC53" s="20">
        <f t="shared" si="25"/>
        <v>163.85174193462572</v>
      </c>
      <c r="GD53" s="59">
        <f t="shared" si="26"/>
        <v>450.68897546130233</v>
      </c>
      <c r="GE53" s="59">
        <f ca="1">AVERAGE(OFFSET($GD$3,0,0,'Données projet'!$E$17+1,1))-AVERAGE(OFFSET($H$3,0,0,'Données projet'!$E$17+1,1))</f>
        <v>192.88444860121191</v>
      </c>
      <c r="GF53" s="59">
        <f t="shared" si="50"/>
        <v>136.13737493732751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14.102564102564102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0.42400000000000004</v>
      </c>
      <c r="GK53" s="16">
        <f>IF(ISNA(VLOOKUP(A53,'Données projet'!$A$243:$I$263,7,0)),0%,VLOOKUP(A53,'Données projet'!$A$243:$I$263,7,0))</f>
        <v>0.2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18.073243482904665</v>
      </c>
      <c r="GN53" s="21">
        <f>EXP(-LN(2)/2)*GN52+(1-EXP(-LN(2)/2))/(LN(2)/2)*GH53*GK53*VLOOKUP('Données projet'!$B$17,Paramètres!$A$1:$I$89,3,0)*0.475*44/12</f>
        <v>2.1471980438598259</v>
      </c>
      <c r="GO53" s="21">
        <f t="shared" si="27"/>
        <v>20.220441526764493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68.228336416366332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0.85000000000000009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3.1166666666666671</v>
      </c>
      <c r="H54" s="67">
        <f t="shared" si="1"/>
        <v>244.19999999999996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645.08993566210711</v>
      </c>
      <c r="S54" s="59">
        <f ca="1">AVERAGE(OFFSET($R$3,0,0,'Données projet'!$E$9+1,1))-AVERAGE(OFFSET($H$3,0,0,'Données projet'!$E$9+1,1))</f>
        <v>643.492472896403</v>
      </c>
      <c r="T54" s="59">
        <f t="shared" si="34"/>
        <v>285.0259479655341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8.1999999999999993</v>
      </c>
      <c r="AI54" s="13">
        <f>IF('Données projet'!$A$62&gt;35,AI53+AH54-AQ53,IF(A54&lt;'Données projet'!$A$62,$AF$205^A54,IF(A54='Données projet'!$A$62,'Données projet'!$B$62,AI53+AH54-AQ53)))</f>
        <v>231.2</v>
      </c>
      <c r="AJ54" s="13">
        <f>AI54*VLOOKUP('Données projet'!$B$10,Paramètres!$A$1:$I$89,3,0)*VLOOKUP('Données projet'!$B$10,Paramètres!$A$1:$I$89,5,0)</f>
        <v>180.33599999999998</v>
      </c>
      <c r="AK54" s="13">
        <f t="shared" si="35"/>
        <v>45.396931860513298</v>
      </c>
      <c r="AL54" s="20">
        <f t="shared" si="4"/>
        <v>393.15152299039391</v>
      </c>
      <c r="AM54" s="59">
        <f t="shared" si="5"/>
        <v>680.10144932561252</v>
      </c>
      <c r="AN54" s="59">
        <f ca="1">AVERAGE(OFFSET($AM$3,0,0,'Données projet'!$E$10+1,1))-AVERAGE(OFFSET($H$3,0,0,'Données projet'!$E$10+1,1))</f>
        <v>289.89907502443873</v>
      </c>
      <c r="AO54" s="59">
        <f t="shared" si="36"/>
        <v>267.42183550360301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2.7262807372363946</v>
      </c>
      <c r="AV54" s="21">
        <f>EXP(-LN(2)/25)*AV53+(1-EXP(-LN(2)/25))/(LN(2)/25)*Calculateur!AQ54*Calculateur!AS54*VLOOKUP('Données projet'!$B$10,Paramètres!$A$1:$I$89,3,0)*0.475*44/12</f>
        <v>11.906191193517975</v>
      </c>
      <c r="AW54" s="21">
        <f>EXP(-LN(2)/2)*AW53+(1-EXP(-LN(2)/2))/(LN(2)/2)*AQ54*AT54*VLOOKUP('Données projet'!$B$10,Paramètres!$A$1:$I$89,3,0)*0.475*44/12</f>
        <v>4.7703745597783174</v>
      </c>
      <c r="AX54" s="21">
        <f t="shared" si="6"/>
        <v>19.402846490532689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2.5641025641025634</v>
      </c>
      <c r="BD54" s="12">
        <f>IF('Données projet'!$A$88&gt;35,BD53+BC54-BL53,IF(A54&lt;'Données projet'!$A$88,$BA$205^A54,IF(A54='Données projet'!$A$88,'Données projet'!$B$88,BD53+BC54-BL53)))</f>
        <v>57.692307692307679</v>
      </c>
      <c r="BE54" s="13">
        <f>BD54*VLOOKUP('Données projet'!$B$11,Paramètres!$A$1:$I$89,3,0)*VLOOKUP('Données projet'!$B$11,Paramètres!$A$1:$I$89,5,0)</f>
        <v>55.79999999999999</v>
      </c>
      <c r="BF54" s="13">
        <f t="shared" si="37"/>
        <v>16.101934032057411</v>
      </c>
      <c r="BG54" s="20">
        <f t="shared" si="7"/>
        <v>125.22920177249996</v>
      </c>
      <c r="BH54" s="59">
        <f t="shared" si="8"/>
        <v>412.17912810771855</v>
      </c>
      <c r="BI54" s="59">
        <f ca="1">AVERAGE(OFFSET($BH$3,0,0,'Données projet'!$E$11+1,1))-AVERAGE(OFFSET($H$3,0,0,'Données projet'!$E$11+1,1))</f>
        <v>177.54241137663234</v>
      </c>
      <c r="BJ54" s="59">
        <f t="shared" si="38"/>
        <v>114.71095021456071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9.0657706671621856</v>
      </c>
      <c r="BR54" s="21">
        <f>EXP(-LN(2)/2)*BR53+(1-EXP(-LN(2)/2))/(LN(2)/2)*BL54*BO54*VLOOKUP('Données projet'!$B$11,Paramètres!$A$1:$I$89,3,0)*0.475*44/12</f>
        <v>0.98707386406863495</v>
      </c>
      <c r="BS54" s="22">
        <f t="shared" si="9"/>
        <v>10.052844531230821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2.5641025641025634</v>
      </c>
      <c r="BY54" s="12">
        <f>IF('Données projet'!$A$114&gt;35,BY53+BX54-CG53,IF(A54&lt;'Données projet'!$A$114,$BV$205^A54,IF(A54='Données projet'!$A$114,'Données projet'!$B$114,BY53+BX54-CG53)))</f>
        <v>57.692307692307679</v>
      </c>
      <c r="BZ54" s="13">
        <f>BY54*VLOOKUP('Données projet'!$B$12,Paramètres!$A$1:$I$89,3,0)*VLOOKUP('Données projet'!$B$12,Paramètres!$A$1:$I$89,5,0)</f>
        <v>62.09999999999998</v>
      </c>
      <c r="CA54" s="13">
        <f t="shared" si="39"/>
        <v>17.698147194554668</v>
      </c>
      <c r="CB54" s="20">
        <f t="shared" si="10"/>
        <v>138.981773030516</v>
      </c>
      <c r="CC54" s="59">
        <f t="shared" si="11"/>
        <v>425.93169936573463</v>
      </c>
      <c r="CD54" s="59">
        <f ca="1">AVERAGE(OFFSET($CC$3,0,0,'Données projet'!$E$12+1,1))-AVERAGE(OFFSET($H$3,0,0,'Données projet'!$E$12+1,1))</f>
        <v>192.88977161349993</v>
      </c>
      <c r="CE54" s="59">
        <f t="shared" si="40"/>
        <v>122.91376861456772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10.089325419906302</v>
      </c>
      <c r="CM54" s="21">
        <f>EXP(-LN(2)/2)*CM53+(1-EXP(-LN(2)/2))/(LN(2)/2)*CG54*CJ54*VLOOKUP('Données projet'!$B$12,Paramètres!$A$1:$I$89,3,0)*0.475*44/12</f>
        <v>1.0985176874312226</v>
      </c>
      <c r="CN54" s="22">
        <f t="shared" si="12"/>
        <v>11.187843107337525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2.8205128205128234</v>
      </c>
      <c r="CT54" s="12">
        <f>IF('Données projet'!$A$140&gt;35,CT53+CS54-DB53,IF(A54&lt;'Données projet'!$A$140,$CQ$205^A54,IF(A54='Données projet'!$A$140,'Données projet'!$B$140,CT53+CS54-DB53)))</f>
        <v>84.871794871794862</v>
      </c>
      <c r="CU54" s="17">
        <f>CT54*VLOOKUP('Données projet'!$B$13,Paramètres!$A$1:$I$89,3,0)*VLOOKUP('Données projet'!$B$13,Paramètres!$A$1:$I$89,5,0)</f>
        <v>68.847999999999999</v>
      </c>
      <c r="CV54" s="13">
        <f t="shared" si="41"/>
        <v>19.387099665751713</v>
      </c>
      <c r="CW54" s="20">
        <f t="shared" si="13"/>
        <v>153.67613191785088</v>
      </c>
      <c r="CX54" s="59">
        <f t="shared" si="14"/>
        <v>440.62605825306946</v>
      </c>
      <c r="CY54" s="59">
        <f ca="1">AVERAGE(OFFSET($CX$3,0,0,'Données projet'!$E$13+1,1))-AVERAGE(OFFSET($H$3,0,0,'Données projet'!$E$13+1,1))</f>
        <v>163.16040389635825</v>
      </c>
      <c r="CZ54" s="59">
        <f t="shared" si="42"/>
        <v>138.57856782158811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2.8640765787088549</v>
      </c>
      <c r="DH54" s="21">
        <f>EXP(-LN(2)/2)*DH53+(1-EXP(-LN(2)/2))/(LN(2)/2)*DB54*DE54*VLOOKUP('Données projet'!$B$13,Paramètres!$A$1:$I$89,3,0)*0.475*44/12</f>
        <v>1.1555158627246631</v>
      </c>
      <c r="DI54" s="22">
        <f t="shared" si="15"/>
        <v>4.0195924414335185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396.35</v>
      </c>
      <c r="DM54" s="12">
        <f>VLOOKUP(A54,'Données projet'!$A$165:$I$185,9,0)</f>
        <v>7.7715686274509812</v>
      </c>
      <c r="DN54" s="12">
        <f t="array" ref="DN54">INDEX(DM:DM,MIN(IF(ISNUMBER(DM54:DM250),ROW(DM54:DM250),"")))</f>
        <v>7.7715686274509812</v>
      </c>
      <c r="DO54" s="12">
        <f>IF('Données projet'!$A$166&gt;35,DO53+DN54-DW53,IF(A54&lt;'Données projet'!$A$166,$DL$205^A54,IF(A54='Données projet'!$A$166,'Données projet'!$B$166,DO53+DN54-DW53)))</f>
        <v>396.34999999999974</v>
      </c>
      <c r="DP54" s="17">
        <f>DO54*VLOOKUP('Données projet'!$B$14,Paramètres!$A$1:$I$89,3,0)*VLOOKUP('Données projet'!$B$14,Paramètres!$A$1:$I$89,5,0)</f>
        <v>185.49179999999987</v>
      </c>
      <c r="DQ54" s="13">
        <f t="shared" si="43"/>
        <v>46.541865157318107</v>
      </c>
      <c r="DR54" s="20">
        <f t="shared" si="16"/>
        <v>404.12530014899545</v>
      </c>
      <c r="DS54" s="59">
        <f t="shared" si="17"/>
        <v>691.075226484214</v>
      </c>
      <c r="DT54" s="59">
        <f ca="1">AVERAGE(OFFSET($DS$3,0,0,'Données projet'!$E$14+1,1))-AVERAGE(OFFSET($H$3,0,0,'Données projet'!$E$14+1,1))</f>
        <v>343.44193069803498</v>
      </c>
      <c r="DU54" s="59">
        <f t="shared" si="44"/>
        <v>280.67367019483481</v>
      </c>
      <c r="DV54" s="15">
        <f>IF(ISNA(VLOOKUP(A54,'Données projet'!$A$165:$I$185,3,0)),0,VLOOKUP(A54,'Données projet'!$A$165:$I$185,3,0))</f>
        <v>1</v>
      </c>
      <c r="DW54" s="15">
        <f>IF(ISNA(VLOOKUP(A54,'Données projet'!$A$165:$I$185,4,0)),0,VLOOKUP(A54,'Données projet'!$A$165:$I$185,4,0))</f>
        <v>173.97000000000003</v>
      </c>
      <c r="DX54" s="16">
        <f>IF(ISNA(VLOOKUP(A54,'Données projet'!$A$165:$I$185,5,0)),0%,VLOOKUP(A54,'Données projet'!$A$165:$I$185,5,0)*VLOOKUP('Données projet'!$B$14,Paramètres!$A$1:$I$89,7,0))</f>
        <v>0.13750000000000001</v>
      </c>
      <c r="DY54" s="16">
        <f>IF(ISNA(VLOOKUP(A54,'Données projet'!$A$165:$I$185,6,0)),0%,VLOOKUP(A54,'Données projet'!$A$165:$I$185,6,0)*VLOOKUP('Données projet'!$B$14,Paramètres!$A$1:$I$89,7,0))</f>
        <v>0.20350000000000001</v>
      </c>
      <c r="DZ54" s="16">
        <f>IF(ISNA(VLOOKUP(A54,'Données projet'!$A$165:$I$185,7,0)),0%,VLOOKUP(A54,'Données projet'!$A$165:$I$185,7,0))</f>
        <v>0.38</v>
      </c>
      <c r="EA54" s="21">
        <f>EXP(-LN(2)/35)*EA53+(1-EXP(-LN(2)/35))/(LN(2)/35)*DW54*DX54*VLOOKUP('Données projet'!$B$14,Paramètres!$A$1:$I$89,3,0)*0.475*44/12</f>
        <v>14.850848618429765</v>
      </c>
      <c r="EB54" s="21">
        <f>EXP(-LN(2)/25)*EB53+(1-EXP(-LN(2)/25))/(LN(2)/25)*Calculateur!DW54*Calculateur!DY54*VLOOKUP('Données projet'!$B$14,Paramètres!$A$1:$I$89,3,0)*0.475*44/12</f>
        <v>21.892715249827038</v>
      </c>
      <c r="EC54" s="21">
        <f>EXP(-LN(2)/2)*EC53+(1-EXP(-LN(2)/2))/(LN(2)/2)*DW54*DZ54*VLOOKUP('Données projet'!$B$14,Paramètres!$A$1:$I$89,3,0)*0.475*44/12</f>
        <v>35.029936686072809</v>
      </c>
      <c r="ED54" s="22">
        <f t="shared" si="18"/>
        <v>71.773500554329615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4.6153846153846159</v>
      </c>
      <c r="EJ54" s="12">
        <f>IF('Données projet'!$A$192&gt;35,EJ53+EI54-ER53,IF(A54&lt;'Données projet'!$A$192,$EG$205^A54,IF(A54='Données projet'!$A$192,'Données projet'!$B$192,EJ53+EI54-ER53)))</f>
        <v>100.12820512820512</v>
      </c>
      <c r="EK54" s="17">
        <f>EJ54*VLOOKUP('Données projet'!$B$15,Paramètres!$A$1:$I$89,3,0)*VLOOKUP('Données projet'!$B$15,Paramètres!$A$1:$I$89,5,0)</f>
        <v>101.53</v>
      </c>
      <c r="EL54" s="13">
        <f t="shared" si="45"/>
        <v>27.326176209436877</v>
      </c>
      <c r="EM54" s="20">
        <f t="shared" si="19"/>
        <v>224.42450689810255</v>
      </c>
      <c r="EN54" s="59">
        <f t="shared" si="20"/>
        <v>511.37443323332116</v>
      </c>
      <c r="EO54" s="59">
        <f ca="1">AVERAGE(OFFSET($EN$3,0,0,'Données projet'!$E$15+1,1))-AVERAGE(OFFSET($H$3,0,0,'Données projet'!$E$15+1,1))</f>
        <v>270.0029254736703</v>
      </c>
      <c r="EP54" s="59">
        <f t="shared" si="46"/>
        <v>183.80022202211441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21.559187354966312</v>
      </c>
      <c r="EX54" s="21">
        <f>EXP(-LN(2)/2)*EX53+(1-EXP(-LN(2)/2))/(LN(2)/2)*ER54*EU54*VLOOKUP('Données projet'!$B$15,Paramètres!$A$1:$I$89,3,0)*0.475*44/12</f>
        <v>2.2951020774103545</v>
      </c>
      <c r="EY54" s="22">
        <f t="shared" si="21"/>
        <v>23.854289432376667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</v>
      </c>
      <c r="FE54" s="12">
        <f>IF('Données projet'!$A$218&gt;35,FE53+FD54-FM53,IF(A54&lt;'Données projet'!$A$218,$FB$205^A54,IF(A54='Données projet'!$A$218,'Données projet'!$B$218,FE53+FD54-FM53)))</f>
        <v>207.99999999999989</v>
      </c>
      <c r="FF54" s="17">
        <f>FE54*VLOOKUP('Données projet'!$B$16,Paramètres!$A$1:$I$89,3,0)*VLOOKUP('Données projet'!$B$16,Paramètres!$A$1:$I$89,5,0)</f>
        <v>181.70879999999991</v>
      </c>
      <c r="FG54" s="13">
        <f t="shared" si="47"/>
        <v>45.702153370067769</v>
      </c>
      <c r="FH54" s="20">
        <f t="shared" si="22"/>
        <v>396.07407711953448</v>
      </c>
      <c r="FI54" s="59">
        <f t="shared" si="23"/>
        <v>683.02400345475303</v>
      </c>
      <c r="FJ54" s="59">
        <f ca="1">AVERAGE(OFFSET($FI$3,0,0,'Données projet'!$E$16+1,1))-AVERAGE(OFFSET($H$3,0,0,'Données projet'!$E$16+1,1))</f>
        <v>328.93328163316073</v>
      </c>
      <c r="FK54" s="59">
        <f t="shared" si="48"/>
        <v>320.27831321887072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10.123813855400709</v>
      </c>
      <c r="FR54" s="21">
        <f>EXP(-LN(2)/25)*FR53+(1-EXP(-LN(2)/25))/(LN(2)/25)*Calculateur!FM54*Calculateur!FO54*VLOOKUP('Données projet'!$B$16,Paramètres!$A$1:$I$89,3,0)*0.475*44/12</f>
        <v>15.347479423052301</v>
      </c>
      <c r="FS54" s="21">
        <f>EXP(-LN(2)/2)*FS53+(1-EXP(-LN(2)/2))/(LN(2)/2)*FM54*FP54*VLOOKUP('Données projet'!$B$16,Paramètres!$A$1:$I$89,3,0)*0.475*44/12</f>
        <v>3.1986273435185071</v>
      </c>
      <c r="FT54" s="22">
        <f t="shared" si="24"/>
        <v>28.669920621971517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4.6153846153846159</v>
      </c>
      <c r="FZ54" s="12">
        <f>IF('Données projet'!$A$244&gt;35,FZ53+FY54-GH53,IF(A54&lt;'Données projet'!$A$244,$FW$205^A54,IF(A54='Données projet'!$A$244,'Données projet'!$B$244,FZ53+FY54-GH53)))</f>
        <v>100.12820512820512</v>
      </c>
      <c r="GA54" s="17">
        <f>FZ54*VLOOKUP('Données projet'!$B$17,Paramètres!$A$1:$I$89,3,0)*VLOOKUP('Données projet'!$B$17,Paramètres!$A$1:$I$89,5,0)</f>
        <v>67.165999999999997</v>
      </c>
      <c r="GB54" s="13">
        <f t="shared" si="49"/>
        <v>18.967991655907035</v>
      </c>
      <c r="GC54" s="20">
        <f t="shared" si="25"/>
        <v>150.01670213403807</v>
      </c>
      <c r="GD54" s="59">
        <f t="shared" si="26"/>
        <v>436.96662846925665</v>
      </c>
      <c r="GE54" s="59">
        <f ca="1">AVERAGE(OFFSET($GD$3,0,0,'Données projet'!$E$17+1,1))-AVERAGE(OFFSET($H$3,0,0,'Données projet'!$E$17+1,1))</f>
        <v>192.88444860121191</v>
      </c>
      <c r="GF54" s="59">
        <f t="shared" si="50"/>
        <v>136.13737493732751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17.579029689434069</v>
      </c>
      <c r="GN54" s="21">
        <f>EXP(-LN(2)/2)*GN53+(1-EXP(-LN(2)/2))/(LN(2)/2)*GH54*GK54*VLOOKUP('Données projet'!$B$17,Paramètres!$A$1:$I$89,3,0)*0.475*44/12</f>
        <v>1.5182982973637729</v>
      </c>
      <c r="GO54" s="21">
        <f t="shared" si="27"/>
        <v>19.097327986797843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68.259070818695989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0.85000000000000009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3.1166666666666671</v>
      </c>
      <c r="H55" s="67">
        <f t="shared" si="1"/>
        <v>244.19999999999996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665.19386953832873</v>
      </c>
      <c r="S55" s="59">
        <f ca="1">AVERAGE(OFFSET($R$3,0,0,'Données projet'!$E$9+1,1))-AVERAGE(OFFSET($H$3,0,0,'Données projet'!$E$9+1,1))</f>
        <v>643.492472896403</v>
      </c>
      <c r="T55" s="59">
        <f t="shared" si="34"/>
        <v>285.0259479655341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8.1999999999999993</v>
      </c>
      <c r="AI55" s="13">
        <f>IF('Données projet'!$A$62&gt;35,AI54+AH55-AQ54,IF(A55&lt;'Données projet'!$A$62,$AF$205^A55,IF(A55='Données projet'!$A$62,'Données projet'!$B$62,AI54+AH55-AQ54)))</f>
        <v>239.39999999999998</v>
      </c>
      <c r="AJ55" s="13">
        <f>AI55*VLOOKUP('Données projet'!$B$10,Paramètres!$A$1:$I$89,3,0)*VLOOKUP('Données projet'!$B$10,Paramètres!$A$1:$I$89,5,0)</f>
        <v>186.732</v>
      </c>
      <c r="AK55" s="13">
        <f t="shared" si="35"/>
        <v>46.81671651923142</v>
      </c>
      <c r="AL55" s="20">
        <f t="shared" si="4"/>
        <v>406.764014604328</v>
      </c>
      <c r="AM55" s="59">
        <f t="shared" si="5"/>
        <v>693.82467877980378</v>
      </c>
      <c r="AN55" s="59">
        <f ca="1">AVERAGE(OFFSET($AM$3,0,0,'Données projet'!$E$10+1,1))-AVERAGE(OFFSET($H$3,0,0,'Données projet'!$E$10+1,1))</f>
        <v>289.89907502443873</v>
      </c>
      <c r="AO55" s="59">
        <f t="shared" si="36"/>
        <v>267.42183550360301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2.6728200348462443</v>
      </c>
      <c r="AV55" s="21">
        <f>EXP(-LN(2)/25)*AV54+(1-EXP(-LN(2)/25))/(LN(2)/25)*Calculateur!AQ55*Calculateur!AS55*VLOOKUP('Données projet'!$B$10,Paramètres!$A$1:$I$89,3,0)*0.475*44/12</f>
        <v>11.580615769211843</v>
      </c>
      <c r="AW55" s="21">
        <f>EXP(-LN(2)/2)*AW54+(1-EXP(-LN(2)/2))/(LN(2)/2)*AQ55*AT55*VLOOKUP('Données projet'!$B$10,Paramètres!$A$1:$I$89,3,0)*0.475*44/12</f>
        <v>3.37316420001904</v>
      </c>
      <c r="AX55" s="21">
        <f t="shared" si="6"/>
        <v>17.626600004077126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2.5641025641025634</v>
      </c>
      <c r="BD55" s="12">
        <f>IF('Données projet'!$A$88&gt;35,BD54+BC55-BL54,IF(A55&lt;'Données projet'!$A$88,$BA$205^A55,IF(A55='Données projet'!$A$88,'Données projet'!$B$88,BD54+BC55-BL54)))</f>
        <v>60.256410256410241</v>
      </c>
      <c r="BE55" s="13">
        <f>BD55*VLOOKUP('Données projet'!$B$11,Paramètres!$A$1:$I$89,3,0)*VLOOKUP('Données projet'!$B$11,Paramètres!$A$1:$I$89,5,0)</f>
        <v>58.279999999999987</v>
      </c>
      <c r="BF55" s="13">
        <f t="shared" si="37"/>
        <v>16.732665651028569</v>
      </c>
      <c r="BG55" s="20">
        <f t="shared" si="7"/>
        <v>130.64705934220805</v>
      </c>
      <c r="BH55" s="59">
        <f t="shared" si="8"/>
        <v>417.7077235176838</v>
      </c>
      <c r="BI55" s="59">
        <f ca="1">AVERAGE(OFFSET($BH$3,0,0,'Données projet'!$E$11+1,1))-AVERAGE(OFFSET($H$3,0,0,'Données projet'!$E$11+1,1))</f>
        <v>177.54241137663234</v>
      </c>
      <c r="BJ55" s="59">
        <f t="shared" si="38"/>
        <v>114.71095021456071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8.8178666915204769</v>
      </c>
      <c r="BR55" s="21">
        <f>EXP(-LN(2)/2)*BR54+(1-EXP(-LN(2)/2))/(LN(2)/2)*BL55*BO55*VLOOKUP('Données projet'!$B$11,Paramètres!$A$1:$I$89,3,0)*0.475*44/12</f>
        <v>0.69796662281494026</v>
      </c>
      <c r="BS55" s="22">
        <f t="shared" si="9"/>
        <v>9.515833314335417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2.5641025641025634</v>
      </c>
      <c r="BY55" s="12">
        <f>IF('Données projet'!$A$114&gt;35,BY54+BX55-CG54,IF(A55&lt;'Données projet'!$A$114,$BV$205^A55,IF(A55='Données projet'!$A$114,'Données projet'!$B$114,BY54+BX55-CG54)))</f>
        <v>60.256410256410241</v>
      </c>
      <c r="BZ55" s="13">
        <f>BY55*VLOOKUP('Données projet'!$B$12,Paramètres!$A$1:$I$89,3,0)*VLOOKUP('Données projet'!$B$12,Paramètres!$A$1:$I$89,5,0)</f>
        <v>64.859999999999985</v>
      </c>
      <c r="CA55" s="13">
        <f t="shared" si="39"/>
        <v>18.391404353016956</v>
      </c>
      <c r="CB55" s="20">
        <f t="shared" si="10"/>
        <v>144.99619591483781</v>
      </c>
      <c r="CC55" s="59">
        <f t="shared" si="11"/>
        <v>432.05686009031359</v>
      </c>
      <c r="CD55" s="59">
        <f ca="1">AVERAGE(OFFSET($CC$3,0,0,'Données projet'!$E$12+1,1))-AVERAGE(OFFSET($H$3,0,0,'Données projet'!$E$12+1,1))</f>
        <v>192.88977161349993</v>
      </c>
      <c r="CE55" s="59">
        <f t="shared" si="40"/>
        <v>122.91376861456772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9.8134322857243994</v>
      </c>
      <c r="CM55" s="21">
        <f>EXP(-LN(2)/2)*CM54+(1-EXP(-LN(2)/2))/(LN(2)/2)*CG55*CJ55*VLOOKUP('Données projet'!$B$12,Paramètres!$A$1:$I$89,3,0)*0.475*44/12</f>
        <v>0.77676930603598171</v>
      </c>
      <c r="CN55" s="22">
        <f t="shared" si="12"/>
        <v>10.590201591760382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2.8205128205128234</v>
      </c>
      <c r="CT55" s="12">
        <f>IF('Données projet'!$A$140&gt;35,CT54+CS55-DB54,IF(A55&lt;'Données projet'!$A$140,$CQ$205^A55,IF(A55='Données projet'!$A$140,'Données projet'!$B$140,CT54+CS55-DB54)))</f>
        <v>87.692307692307679</v>
      </c>
      <c r="CU55" s="17">
        <f>CT55*VLOOKUP('Données projet'!$B$13,Paramètres!$A$1:$I$89,3,0)*VLOOKUP('Données projet'!$B$13,Paramètres!$A$1:$I$89,5,0)</f>
        <v>71.135999999999996</v>
      </c>
      <c r="CV55" s="13">
        <f t="shared" si="41"/>
        <v>19.955301551927469</v>
      </c>
      <c r="CW55" s="20">
        <f t="shared" si="13"/>
        <v>158.65068353627368</v>
      </c>
      <c r="CX55" s="59">
        <f t="shared" si="14"/>
        <v>445.71134771174945</v>
      </c>
      <c r="CY55" s="59">
        <f ca="1">AVERAGE(OFFSET($CX$3,0,0,'Données projet'!$E$13+1,1))-AVERAGE(OFFSET($H$3,0,0,'Données projet'!$E$13+1,1))</f>
        <v>163.16040389635825</v>
      </c>
      <c r="CZ55" s="59">
        <f t="shared" si="42"/>
        <v>138.57856782158811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2.7857582540488197</v>
      </c>
      <c r="DH55" s="21">
        <f>EXP(-LN(2)/2)*DH54+(1-EXP(-LN(2)/2))/(LN(2)/2)*DB55*DE55*VLOOKUP('Données projet'!$B$13,Paramètres!$A$1:$I$89,3,0)*0.475*44/12</f>
        <v>0.81707310230123309</v>
      </c>
      <c r="DI55" s="22">
        <f t="shared" si="15"/>
        <v>3.6028313563500527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12.999000000000001</v>
      </c>
      <c r="DO55" s="12">
        <f>IF('Données projet'!$A$166&gt;35,DO54+DN55-DW54,IF(A55&lt;'Données projet'!$A$166,$DL$205^A55,IF(A55='Données projet'!$A$166,'Données projet'!$B$166,DO54+DN55-DW54)))</f>
        <v>235.37899999999973</v>
      </c>
      <c r="DP55" s="17">
        <f>DO55*VLOOKUP('Données projet'!$B$14,Paramètres!$A$1:$I$89,3,0)*VLOOKUP('Données projet'!$B$14,Paramètres!$A$1:$I$89,5,0)</f>
        <v>110.15737199999988</v>
      </c>
      <c r="DQ55" s="13">
        <f t="shared" si="43"/>
        <v>29.36805955758571</v>
      </c>
      <c r="DR55" s="20">
        <f t="shared" si="16"/>
        <v>243.00679329612822</v>
      </c>
      <c r="DS55" s="59">
        <f t="shared" si="17"/>
        <v>530.06745747160403</v>
      </c>
      <c r="DT55" s="59">
        <f ca="1">AVERAGE(OFFSET($DS$3,0,0,'Données projet'!$E$14+1,1))-AVERAGE(OFFSET($H$3,0,0,'Données projet'!$E$14+1,1))</f>
        <v>343.44193069803498</v>
      </c>
      <c r="DU55" s="59">
        <f t="shared" si="44"/>
        <v>280.67367019483481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14.5596325351456</v>
      </c>
      <c r="EB55" s="21">
        <f>EXP(-LN(2)/25)*EB54+(1-EXP(-LN(2)/25))/(LN(2)/25)*Calculateur!DW55*Calculateur!DY55*VLOOKUP('Données projet'!$B$14,Paramètres!$A$1:$I$89,3,0)*0.475*44/12</f>
        <v>21.294057800032657</v>
      </c>
      <c r="EC55" s="21">
        <f>EXP(-LN(2)/2)*EC54+(1-EXP(-LN(2)/2))/(LN(2)/2)*DW55*DZ55*VLOOKUP('Données projet'!$B$14,Paramètres!$A$1:$I$89,3,0)*0.475*44/12</f>
        <v>24.769905775257502</v>
      </c>
      <c r="ED55" s="22">
        <f t="shared" si="18"/>
        <v>60.623596110435756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4.6153846153846159</v>
      </c>
      <c r="EJ55" s="12">
        <f>IF('Données projet'!$A$192&gt;35,EJ54+EI55-ER54,IF(A55&lt;'Données projet'!$A$192,$EG$205^A55,IF(A55='Données projet'!$A$192,'Données projet'!$B$192,EJ54+EI55-ER54)))</f>
        <v>104.74358974358974</v>
      </c>
      <c r="EK55" s="17">
        <f>EJ55*VLOOKUP('Données projet'!$B$15,Paramètres!$A$1:$I$89,3,0)*VLOOKUP('Données projet'!$B$15,Paramètres!$A$1:$I$89,5,0)</f>
        <v>106.21</v>
      </c>
      <c r="EL55" s="13">
        <f t="shared" si="45"/>
        <v>28.436217026228483</v>
      </c>
      <c r="EM55" s="20">
        <f t="shared" si="19"/>
        <v>234.5088279873479</v>
      </c>
      <c r="EN55" s="59">
        <f t="shared" si="20"/>
        <v>521.56949216282374</v>
      </c>
      <c r="EO55" s="59">
        <f ca="1">AVERAGE(OFFSET($EN$3,0,0,'Données projet'!$E$15+1,1))-AVERAGE(OFFSET($H$3,0,0,'Données projet'!$E$15+1,1))</f>
        <v>270.0029254736703</v>
      </c>
      <c r="EP55" s="59">
        <f t="shared" si="46"/>
        <v>183.80022202211441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20.969650242996369</v>
      </c>
      <c r="EX55" s="21">
        <f>EXP(-LN(2)/2)*EX54+(1-EXP(-LN(2)/2))/(LN(2)/2)*ER55*EU55*VLOOKUP('Données projet'!$B$15,Paramètres!$A$1:$I$89,3,0)*0.475*44/12</f>
        <v>1.6228822424521943</v>
      </c>
      <c r="EY55" s="22">
        <f t="shared" si="21"/>
        <v>22.592532485448565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</v>
      </c>
      <c r="FE55" s="12">
        <f>IF('Données projet'!$A$218&gt;35,FE54+FD55-FM54,IF(A55&lt;'Données projet'!$A$218,$FB$205^A55,IF(A55='Données projet'!$A$218,'Données projet'!$B$218,FE54+FD55-FM54)))</f>
        <v>213.99999999999989</v>
      </c>
      <c r="FF55" s="17">
        <f>FE55*VLOOKUP('Données projet'!$B$16,Paramètres!$A$1:$I$89,3,0)*VLOOKUP('Données projet'!$B$16,Paramètres!$A$1:$I$89,5,0)</f>
        <v>186.95039999999992</v>
      </c>
      <c r="FG55" s="13">
        <f t="shared" si="47"/>
        <v>46.86509597661761</v>
      </c>
      <c r="FH55" s="20">
        <f t="shared" si="22"/>
        <v>407.22865549260882</v>
      </c>
      <c r="FI55" s="59">
        <f t="shared" si="23"/>
        <v>694.28931966808454</v>
      </c>
      <c r="FJ55" s="59">
        <f ca="1">AVERAGE(OFFSET($FI$3,0,0,'Données projet'!$E$16+1,1))-AVERAGE(OFFSET($H$3,0,0,'Données projet'!$E$16+1,1))</f>
        <v>328.93328163316073</v>
      </c>
      <c r="FK55" s="59">
        <f t="shared" si="48"/>
        <v>320.27831321887072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9.9252920406130301</v>
      </c>
      <c r="FR55" s="21">
        <f>EXP(-LN(2)/25)*FR54+(1-EXP(-LN(2)/25))/(LN(2)/25)*Calculateur!FM55*Calculateur!FO55*VLOOKUP('Données projet'!$B$16,Paramètres!$A$1:$I$89,3,0)*0.475*44/12</f>
        <v>14.92780179114007</v>
      </c>
      <c r="FS55" s="21">
        <f>EXP(-LN(2)/2)*FS54+(1-EXP(-LN(2)/2))/(LN(2)/2)*FM55*FP55*VLOOKUP('Données projet'!$B$16,Paramètres!$A$1:$I$89,3,0)*0.475*44/12</f>
        <v>2.2617710850906487</v>
      </c>
      <c r="FT55" s="22">
        <f t="shared" si="24"/>
        <v>27.11486491684375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4.6153846153846159</v>
      </c>
      <c r="FZ55" s="12">
        <f>IF('Données projet'!$A$244&gt;35,FZ54+FY55-GH54,IF(A55&lt;'Données projet'!$A$244,$FW$205^A55,IF(A55='Données projet'!$A$244,'Données projet'!$B$244,FZ54+FY55-GH54)))</f>
        <v>104.74358974358974</v>
      </c>
      <c r="GA55" s="17">
        <f>FZ55*VLOOKUP('Données projet'!$B$17,Paramètres!$A$1:$I$89,3,0)*VLOOKUP('Données projet'!$B$17,Paramètres!$A$1:$I$89,5,0)</f>
        <v>70.262</v>
      </c>
      <c r="GB55" s="13">
        <f t="shared" si="49"/>
        <v>19.738507251987695</v>
      </c>
      <c r="GC55" s="20">
        <f t="shared" si="25"/>
        <v>156.75088346387858</v>
      </c>
      <c r="GD55" s="59">
        <f t="shared" si="26"/>
        <v>443.81154763935433</v>
      </c>
      <c r="GE55" s="59">
        <f ca="1">AVERAGE(OFFSET($GD$3,0,0,'Données projet'!$E$17+1,1))-AVERAGE(OFFSET($H$3,0,0,'Données projet'!$E$17+1,1))</f>
        <v>192.88444860121191</v>
      </c>
      <c r="GF55" s="59">
        <f t="shared" si="50"/>
        <v>136.13737493732751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17.0983301981355</v>
      </c>
      <c r="GN55" s="21">
        <f>EXP(-LN(2)/2)*GN54+(1-EXP(-LN(2)/2))/(LN(2)/2)*GH55*GK55*VLOOKUP('Données projet'!$B$17,Paramètres!$A$1:$I$89,3,0)*0.475*44/12</f>
        <v>1.0735990219299132</v>
      </c>
      <c r="GO55" s="21">
        <f t="shared" si="27"/>
        <v>18.171929220065412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68.28927204785704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0.85000000000000009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3.1166666666666671</v>
      </c>
      <c r="H56" s="67">
        <f t="shared" si="1"/>
        <v>244.19999999999996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685.27288051767152</v>
      </c>
      <c r="S56" s="59">
        <f ca="1">AVERAGE(OFFSET($R$3,0,0,'Données projet'!$E$9+1,1))-AVERAGE(OFFSET($H$3,0,0,'Données projet'!$E$9+1,1))</f>
        <v>643.492472896403</v>
      </c>
      <c r="T56" s="59">
        <f t="shared" si="34"/>
        <v>285.0259479655341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8.1999999999999993</v>
      </c>
      <c r="AI56" s="13">
        <f>IF('Données projet'!$A$62&gt;35,AI55+AH56-AQ55,IF(A56&lt;'Données projet'!$A$62,$AF$205^A56,IF(A56='Données projet'!$A$62,'Données projet'!$B$62,AI55+AH56-AQ55)))</f>
        <v>247.59999999999997</v>
      </c>
      <c r="AJ56" s="13">
        <f>AI56*VLOOKUP('Données projet'!$B$10,Paramètres!$A$1:$I$89,3,0)*VLOOKUP('Données projet'!$B$10,Paramètres!$A$1:$I$89,5,0)</f>
        <v>193.12799999999999</v>
      </c>
      <c r="AK56" s="13">
        <f t="shared" si="35"/>
        <v>48.230850644982517</v>
      </c>
      <c r="AL56" s="20">
        <f t="shared" si="4"/>
        <v>420.36666487334452</v>
      </c>
      <c r="AM56" s="59">
        <f t="shared" si="5"/>
        <v>707.53614583512183</v>
      </c>
      <c r="AN56" s="59">
        <f ca="1">AVERAGE(OFFSET($AM$3,0,0,'Données projet'!$E$10+1,1))-AVERAGE(OFFSET($H$3,0,0,'Données projet'!$E$10+1,1))</f>
        <v>289.89907502443873</v>
      </c>
      <c r="AO56" s="59">
        <f t="shared" si="36"/>
        <v>267.42183550360301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2.6204076642221561</v>
      </c>
      <c r="AV56" s="21">
        <f>EXP(-LN(2)/25)*AV55+(1-EXP(-LN(2)/25))/(LN(2)/25)*Calculateur!AQ56*Calculateur!AS56*VLOOKUP('Données projet'!$B$10,Paramètres!$A$1:$I$89,3,0)*0.475*44/12</f>
        <v>11.263943222004629</v>
      </c>
      <c r="AW56" s="21">
        <f>EXP(-LN(2)/2)*AW55+(1-EXP(-LN(2)/2))/(LN(2)/2)*AQ56*AT56*VLOOKUP('Données projet'!$B$10,Paramètres!$A$1:$I$89,3,0)*0.475*44/12</f>
        <v>2.3851872798891591</v>
      </c>
      <c r="AX56" s="21">
        <f t="shared" si="6"/>
        <v>16.269538166115943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2.5641025641025634</v>
      </c>
      <c r="BD56" s="12">
        <f>IF('Données projet'!$A$88&gt;35,BD55+BC56-BL55,IF(A56&lt;'Données projet'!$A$88,$BA$205^A56,IF(A56='Données projet'!$A$88,'Données projet'!$B$88,BD55+BC56-BL55)))</f>
        <v>62.820512820512803</v>
      </c>
      <c r="BE56" s="13">
        <f>BD56*VLOOKUP('Données projet'!$B$11,Paramètres!$A$1:$I$89,3,0)*VLOOKUP('Données projet'!$B$11,Paramètres!$A$1:$I$89,5,0)</f>
        <v>60.759999999999977</v>
      </c>
      <c r="BF56" s="13">
        <f t="shared" si="37"/>
        <v>17.360279866424648</v>
      </c>
      <c r="BG56" s="20">
        <f t="shared" si="7"/>
        <v>136.05948743402288</v>
      </c>
      <c r="BH56" s="59">
        <f t="shared" si="8"/>
        <v>423.22896839580017</v>
      </c>
      <c r="BI56" s="59">
        <f ca="1">AVERAGE(OFFSET($BH$3,0,0,'Données projet'!$E$11+1,1))-AVERAGE(OFFSET($H$3,0,0,'Données projet'!$E$11+1,1))</f>
        <v>177.54241137663234</v>
      </c>
      <c r="BJ56" s="59">
        <f t="shared" si="38"/>
        <v>114.71095021456071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8.5767416631293933</v>
      </c>
      <c r="BR56" s="21">
        <f>EXP(-LN(2)/2)*BR55+(1-EXP(-LN(2)/2))/(LN(2)/2)*BL56*BO56*VLOOKUP('Données projet'!$B$11,Paramètres!$A$1:$I$89,3,0)*0.475*44/12</f>
        <v>0.49353693203431753</v>
      </c>
      <c r="BS56" s="22">
        <f t="shared" si="9"/>
        <v>9.0702785951637104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2.5641025641025634</v>
      </c>
      <c r="BY56" s="12">
        <f>IF('Données projet'!$A$114&gt;35,BY55+BX56-CG55,IF(A56&lt;'Données projet'!$A$114,$BV$205^A56,IF(A56='Données projet'!$A$114,'Données projet'!$B$114,BY55+BX56-CG55)))</f>
        <v>62.820512820512803</v>
      </c>
      <c r="BZ56" s="13">
        <f>BY56*VLOOKUP('Données projet'!$B$12,Paramètres!$A$1:$I$89,3,0)*VLOOKUP('Données projet'!$B$12,Paramètres!$A$1:$I$89,5,0)</f>
        <v>67.619999999999976</v>
      </c>
      <c r="CA56" s="13">
        <f t="shared" si="39"/>
        <v>19.081235074181293</v>
      </c>
      <c r="CB56" s="20">
        <f t="shared" si="10"/>
        <v>151.00465108753238</v>
      </c>
      <c r="CC56" s="59">
        <f t="shared" si="11"/>
        <v>438.17413204930972</v>
      </c>
      <c r="CD56" s="59">
        <f ca="1">AVERAGE(OFFSET($CC$3,0,0,'Données projet'!$E$12+1,1))-AVERAGE(OFFSET($H$3,0,0,'Données projet'!$E$12+1,1))</f>
        <v>192.88977161349993</v>
      </c>
      <c r="CE56" s="59">
        <f t="shared" si="40"/>
        <v>122.91376861456772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9.545083463805291</v>
      </c>
      <c r="CM56" s="21">
        <f>EXP(-LN(2)/2)*CM55+(1-EXP(-LN(2)/2))/(LN(2)/2)*CG56*CJ56*VLOOKUP('Données projet'!$B$12,Paramètres!$A$1:$I$89,3,0)*0.475*44/12</f>
        <v>0.54925884371561129</v>
      </c>
      <c r="CN56" s="22">
        <f t="shared" si="12"/>
        <v>10.094342307520902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2.8205128205128234</v>
      </c>
      <c r="CT56" s="12">
        <f>IF('Données projet'!$A$140&gt;35,CT55+CS56-DB55,IF(A56&lt;'Données projet'!$A$140,$CQ$205^A56,IF(A56='Données projet'!$A$140,'Données projet'!$B$140,CT55+CS56-DB55)))</f>
        <v>90.512820512820497</v>
      </c>
      <c r="CU56" s="17">
        <f>CT56*VLOOKUP('Données projet'!$B$13,Paramètres!$A$1:$I$89,3,0)*VLOOKUP('Données projet'!$B$13,Paramètres!$A$1:$I$89,5,0)</f>
        <v>73.423999999999992</v>
      </c>
      <c r="CV56" s="13">
        <f t="shared" si="41"/>
        <v>20.521379760278482</v>
      </c>
      <c r="CW56" s="20">
        <f t="shared" si="13"/>
        <v>163.62153641581833</v>
      </c>
      <c r="CX56" s="59">
        <f t="shared" si="14"/>
        <v>450.79101737759561</v>
      </c>
      <c r="CY56" s="59">
        <f ca="1">AVERAGE(OFFSET($CX$3,0,0,'Données projet'!$E$13+1,1))-AVERAGE(OFFSET($H$3,0,0,'Données projet'!$E$13+1,1))</f>
        <v>163.16040389635825</v>
      </c>
      <c r="CZ56" s="59">
        <f t="shared" si="42"/>
        <v>138.57856782158811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2.709581548095195</v>
      </c>
      <c r="DH56" s="21">
        <f>EXP(-LN(2)/2)*DH55+(1-EXP(-LN(2)/2))/(LN(2)/2)*DB56*DE56*VLOOKUP('Données projet'!$B$13,Paramètres!$A$1:$I$89,3,0)*0.475*44/12</f>
        <v>0.57775793136233167</v>
      </c>
      <c r="DI56" s="22">
        <f t="shared" si="15"/>
        <v>3.2873394794575268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12.999000000000001</v>
      </c>
      <c r="DO56" s="12">
        <f>IF('Données projet'!$A$166&gt;35,DO55+DN56-DW55,IF(A56&lt;'Données projet'!$A$166,$DL$205^A56,IF(A56='Données projet'!$A$166,'Données projet'!$B$166,DO55+DN56-DW55)))</f>
        <v>248.37799999999973</v>
      </c>
      <c r="DP56" s="17">
        <f>DO56*VLOOKUP('Données projet'!$B$14,Paramètres!$A$1:$I$89,3,0)*VLOOKUP('Données projet'!$B$14,Paramètres!$A$1:$I$89,5,0)</f>
        <v>116.24090399999987</v>
      </c>
      <c r="DQ56" s="13">
        <f t="shared" si="43"/>
        <v>30.796634482547404</v>
      </c>
      <c r="DR56" s="20">
        <f t="shared" si="16"/>
        <v>256.09037952376985</v>
      </c>
      <c r="DS56" s="59">
        <f t="shared" si="17"/>
        <v>543.25986048554716</v>
      </c>
      <c r="DT56" s="59">
        <f ca="1">AVERAGE(OFFSET($DS$3,0,0,'Données projet'!$E$14+1,1))-AVERAGE(OFFSET($H$3,0,0,'Données projet'!$E$14+1,1))</f>
        <v>343.44193069803498</v>
      </c>
      <c r="DU56" s="59">
        <f t="shared" si="44"/>
        <v>280.67367019483481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14.274127021630365</v>
      </c>
      <c r="EB56" s="21">
        <f>EXP(-LN(2)/25)*EB55+(1-EXP(-LN(2)/25))/(LN(2)/25)*Calculateur!DW56*Calculateur!DY56*VLOOKUP('Données projet'!$B$14,Paramètres!$A$1:$I$89,3,0)*0.475*44/12</f>
        <v>20.711770669684935</v>
      </c>
      <c r="EC56" s="21">
        <f>EXP(-LN(2)/2)*EC55+(1-EXP(-LN(2)/2))/(LN(2)/2)*DW56*DZ56*VLOOKUP('Données projet'!$B$14,Paramètres!$A$1:$I$89,3,0)*0.475*44/12</f>
        <v>17.514968343036408</v>
      </c>
      <c r="ED56" s="22">
        <f t="shared" si="18"/>
        <v>52.500866034351709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4.6153846153846159</v>
      </c>
      <c r="EJ56" s="12">
        <f>IF('Données projet'!$A$192&gt;35,EJ55+EI56-ER55,IF(A56&lt;'Données projet'!$A$192,$EG$205^A56,IF(A56='Données projet'!$A$192,'Données projet'!$B$192,EJ55+EI56-ER55)))</f>
        <v>109.35897435897435</v>
      </c>
      <c r="EK56" s="17">
        <f>EJ56*VLOOKUP('Données projet'!$B$15,Paramètres!$A$1:$I$89,3,0)*VLOOKUP('Données projet'!$B$15,Paramètres!$A$1:$I$89,5,0)</f>
        <v>110.89</v>
      </c>
      <c r="EL56" s="13">
        <f t="shared" si="45"/>
        <v>29.540577068778795</v>
      </c>
      <c r="EM56" s="20">
        <f t="shared" si="19"/>
        <v>244.58325506145638</v>
      </c>
      <c r="EN56" s="59">
        <f t="shared" si="20"/>
        <v>531.75273602323364</v>
      </c>
      <c r="EO56" s="59">
        <f ca="1">AVERAGE(OFFSET($EN$3,0,0,'Données projet'!$E$15+1,1))-AVERAGE(OFFSET($H$3,0,0,'Données projet'!$E$15+1,1))</f>
        <v>270.0029254736703</v>
      </c>
      <c r="EP56" s="59">
        <f t="shared" si="46"/>
        <v>183.80022202211441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20.396234054355656</v>
      </c>
      <c r="EX56" s="21">
        <f>EXP(-LN(2)/2)*EX55+(1-EXP(-LN(2)/2))/(LN(2)/2)*ER56*EU56*VLOOKUP('Données projet'!$B$15,Paramètres!$A$1:$I$89,3,0)*0.475*44/12</f>
        <v>1.1475510387051773</v>
      </c>
      <c r="EY56" s="22">
        <f t="shared" si="21"/>
        <v>21.543785093060833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</v>
      </c>
      <c r="FE56" s="12">
        <f>IF('Données projet'!$A$218&gt;35,FE55+FD56-FM55,IF(A56&lt;'Données projet'!$A$218,$FB$205^A56,IF(A56='Données projet'!$A$218,'Données projet'!$B$218,FE55+FD56-FM55)))</f>
        <v>219.99999999999989</v>
      </c>
      <c r="FF56" s="17">
        <f>FE56*VLOOKUP('Données projet'!$B$16,Paramètres!$A$1:$I$89,3,0)*VLOOKUP('Données projet'!$B$16,Paramètres!$A$1:$I$89,5,0)</f>
        <v>192.19199999999992</v>
      </c>
      <c r="FG56" s="13">
        <f t="shared" si="47"/>
        <v>48.02424892193244</v>
      </c>
      <c r="FH56" s="20">
        <f t="shared" si="22"/>
        <v>418.37663353903218</v>
      </c>
      <c r="FI56" s="59">
        <f t="shared" si="23"/>
        <v>705.54611450080949</v>
      </c>
      <c r="FJ56" s="59">
        <f ca="1">AVERAGE(OFFSET($FI$3,0,0,'Données projet'!$E$16+1,1))-AVERAGE(OFFSET($H$3,0,0,'Données projet'!$E$16+1,1))</f>
        <v>328.93328163316073</v>
      </c>
      <c r="FK56" s="59">
        <f t="shared" si="48"/>
        <v>320.27831321887072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9.7306631175269871</v>
      </c>
      <c r="FR56" s="21">
        <f>EXP(-LN(2)/25)*FR55+(1-EXP(-LN(2)/25))/(LN(2)/25)*Calculateur!FM56*Calculateur!FO56*VLOOKUP('Données projet'!$B$16,Paramètres!$A$1:$I$89,3,0)*0.475*44/12</f>
        <v>14.519600266142366</v>
      </c>
      <c r="FS56" s="21">
        <f>EXP(-LN(2)/2)*FS55+(1-EXP(-LN(2)/2))/(LN(2)/2)*FM56*FP56*VLOOKUP('Données projet'!$B$16,Paramètres!$A$1:$I$89,3,0)*0.475*44/12</f>
        <v>1.5993136717592535</v>
      </c>
      <c r="FT56" s="22">
        <f t="shared" si="24"/>
        <v>25.849577055428608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4.6153846153846159</v>
      </c>
      <c r="FZ56" s="12">
        <f>IF('Données projet'!$A$244&gt;35,FZ55+FY56-GH55,IF(A56&lt;'Données projet'!$A$244,$FW$205^A56,IF(A56='Données projet'!$A$244,'Données projet'!$B$244,FZ55+FY56-GH55)))</f>
        <v>109.35897435897435</v>
      </c>
      <c r="GA56" s="17">
        <f>FZ56*VLOOKUP('Données projet'!$B$17,Paramètres!$A$1:$I$89,3,0)*VLOOKUP('Données projet'!$B$17,Paramètres!$A$1:$I$89,5,0)</f>
        <v>73.35799999999999</v>
      </c>
      <c r="GB56" s="13">
        <f t="shared" si="49"/>
        <v>20.505079637076015</v>
      </c>
      <c r="GC56" s="20">
        <f t="shared" si="25"/>
        <v>163.47819703457404</v>
      </c>
      <c r="GD56" s="59">
        <f t="shared" si="26"/>
        <v>450.64767799635138</v>
      </c>
      <c r="GE56" s="59">
        <f ca="1">AVERAGE(OFFSET($GD$3,0,0,'Données projet'!$E$17+1,1))-AVERAGE(OFFSET($H$3,0,0,'Données projet'!$E$17+1,1))</f>
        <v>192.88444860121191</v>
      </c>
      <c r="GF56" s="59">
        <f t="shared" si="50"/>
        <v>136.13737493732751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16.630775459705379</v>
      </c>
      <c r="GN56" s="21">
        <f>EXP(-LN(2)/2)*GN55+(1-EXP(-LN(2)/2))/(LN(2)/2)*GH56*GK56*VLOOKUP('Données projet'!$B$17,Paramètres!$A$1:$I$89,3,0)*0.475*44/12</f>
        <v>0.75914914868188665</v>
      </c>
      <c r="GO56" s="21">
        <f t="shared" si="27"/>
        <v>17.389924608387265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68.318949353211991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0.85000000000000009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3.1166666666666671</v>
      </c>
      <c r="H57" s="67">
        <f t="shared" si="1"/>
        <v>244.19999999999996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705.32831744667055</v>
      </c>
      <c r="S57" s="59">
        <f ca="1">AVERAGE(OFFSET($R$3,0,0,'Données projet'!$E$9+1,1))-AVERAGE(OFFSET($H$3,0,0,'Données projet'!$E$9+1,1))</f>
        <v>643.492472896403</v>
      </c>
      <c r="T57" s="59">
        <f t="shared" si="34"/>
        <v>285.0259479655341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8.1999999999999993</v>
      </c>
      <c r="AI57" s="13">
        <f>IF('Données projet'!$A$62&gt;35,AI56+AH57-AQ56,IF(A57&lt;'Données projet'!$A$62,$AF$205^A57,IF(A57='Données projet'!$A$62,'Données projet'!$B$62,AI56+AH57-AQ56)))</f>
        <v>255.79999999999995</v>
      </c>
      <c r="AJ57" s="13">
        <f>AI57*VLOOKUP('Données projet'!$B$10,Paramètres!$A$1:$I$89,3,0)*VLOOKUP('Données projet'!$B$10,Paramètres!$A$1:$I$89,5,0)</f>
        <v>199.52399999999997</v>
      </c>
      <c r="AK57" s="13">
        <f t="shared" si="35"/>
        <v>49.639542829407041</v>
      </c>
      <c r="AL57" s="20">
        <f t="shared" si="4"/>
        <v>433.95983709455049</v>
      </c>
      <c r="AM57" s="59">
        <f t="shared" si="5"/>
        <v>721.23624711466482</v>
      </c>
      <c r="AN57" s="59">
        <f ca="1">AVERAGE(OFFSET($AM$3,0,0,'Données projet'!$E$10+1,1))-AVERAGE(OFFSET($H$3,0,0,'Données projet'!$E$10+1,1))</f>
        <v>289.89907502443873</v>
      </c>
      <c r="AO57" s="59">
        <f t="shared" si="36"/>
        <v>267.42183550360301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2.5690230682176165</v>
      </c>
      <c r="AV57" s="21">
        <f>EXP(-LN(2)/25)*AV56+(1-EXP(-LN(2)/25))/(LN(2)/25)*Calculateur!AQ57*Calculateur!AS57*VLOOKUP('Données projet'!$B$10,Paramètres!$A$1:$I$89,3,0)*0.475*44/12</f>
        <v>10.955930102253882</v>
      </c>
      <c r="AW57" s="21">
        <f>EXP(-LN(2)/2)*AW56+(1-EXP(-LN(2)/2))/(LN(2)/2)*AQ57*AT57*VLOOKUP('Données projet'!$B$10,Paramètres!$A$1:$I$89,3,0)*0.475*44/12</f>
        <v>1.6865821000095202</v>
      </c>
      <c r="AX57" s="21">
        <f t="shared" si="6"/>
        <v>15.211535270481019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2.5641025641025634</v>
      </c>
      <c r="BD57" s="12">
        <f>IF('Données projet'!$A$88&gt;35,BD56+BC57-BL56,IF(A57&lt;'Données projet'!$A$88,$BA$205^A57,IF(A57='Données projet'!$A$88,'Données projet'!$B$88,BD56+BC57-BL56)))</f>
        <v>65.384615384615373</v>
      </c>
      <c r="BE57" s="13">
        <f>BD57*VLOOKUP('Données projet'!$B$11,Paramètres!$A$1:$I$89,3,0)*VLOOKUP('Données projet'!$B$11,Paramètres!$A$1:$I$89,5,0)</f>
        <v>63.239999999999995</v>
      </c>
      <c r="BF57" s="13">
        <f t="shared" si="37"/>
        <v>17.984918473409312</v>
      </c>
      <c r="BG57" s="20">
        <f t="shared" si="7"/>
        <v>141.46673300785451</v>
      </c>
      <c r="BH57" s="59">
        <f t="shared" si="8"/>
        <v>428.74314302796893</v>
      </c>
      <c r="BI57" s="59">
        <f ca="1">AVERAGE(OFFSET($BH$3,0,0,'Données projet'!$E$11+1,1))-AVERAGE(OFFSET($H$3,0,0,'Données projet'!$E$11+1,1))</f>
        <v>177.54241137663234</v>
      </c>
      <c r="BJ57" s="59">
        <f t="shared" si="38"/>
        <v>114.71095021456071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8.3422102113198786</v>
      </c>
      <c r="BR57" s="21">
        <f>EXP(-LN(2)/2)*BR56+(1-EXP(-LN(2)/2))/(LN(2)/2)*BL57*BO57*VLOOKUP('Données projet'!$B$11,Paramètres!$A$1:$I$89,3,0)*0.475*44/12</f>
        <v>0.34898331140747019</v>
      </c>
      <c r="BS57" s="22">
        <f t="shared" si="9"/>
        <v>8.6911935227273496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2.5641025641025634</v>
      </c>
      <c r="BY57" s="12">
        <f>IF('Données projet'!$A$114&gt;35,BY56+BX57-CG56,IF(A57&lt;'Données projet'!$A$114,$BV$205^A57,IF(A57='Données projet'!$A$114,'Données projet'!$B$114,BY56+BX57-CG56)))</f>
        <v>65.384615384615373</v>
      </c>
      <c r="BZ57" s="13">
        <f>BY57*VLOOKUP('Données projet'!$B$12,Paramètres!$A$1:$I$89,3,0)*VLOOKUP('Données projet'!$B$12,Paramètres!$A$1:$I$89,5,0)</f>
        <v>70.379999999999981</v>
      </c>
      <c r="CA57" s="13">
        <f t="shared" si="39"/>
        <v>19.767795209616359</v>
      </c>
      <c r="CB57" s="20">
        <f t="shared" si="10"/>
        <v>157.00740999008178</v>
      </c>
      <c r="CC57" s="59">
        <f t="shared" si="11"/>
        <v>444.28382001019617</v>
      </c>
      <c r="CD57" s="59">
        <f ca="1">AVERAGE(OFFSET($CC$3,0,0,'Données projet'!$E$12+1,1))-AVERAGE(OFFSET($H$3,0,0,'Données projet'!$E$12+1,1))</f>
        <v>192.88977161349993</v>
      </c>
      <c r="CE57" s="59">
        <f t="shared" si="40"/>
        <v>122.91376861456772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9.2840726545334125</v>
      </c>
      <c r="CM57" s="21">
        <f>EXP(-LN(2)/2)*CM56+(1-EXP(-LN(2)/2))/(LN(2)/2)*CG57*CJ57*VLOOKUP('Données projet'!$B$12,Paramètres!$A$1:$I$89,3,0)*0.475*44/12</f>
        <v>0.38838465301799086</v>
      </c>
      <c r="CN57" s="22">
        <f t="shared" si="12"/>
        <v>9.6724573075514026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2.8205128205128234</v>
      </c>
      <c r="CT57" s="12">
        <f>IF('Données projet'!$A$140&gt;35,CT56+CS57-DB56,IF(A57&lt;'Données projet'!$A$140,$CQ$205^A57,IF(A57='Données projet'!$A$140,'Données projet'!$B$140,CT56+CS57-DB56)))</f>
        <v>93.333333333333314</v>
      </c>
      <c r="CU57" s="17">
        <f>CT57*VLOOKUP('Données projet'!$B$13,Paramètres!$A$1:$I$89,3,0)*VLOOKUP('Données projet'!$B$13,Paramètres!$A$1:$I$89,5,0)</f>
        <v>75.711999999999989</v>
      </c>
      <c r="CV57" s="13">
        <f t="shared" si="41"/>
        <v>21.085408061126401</v>
      </c>
      <c r="CW57" s="20">
        <f t="shared" si="13"/>
        <v>168.58881903979511</v>
      </c>
      <c r="CX57" s="59">
        <f t="shared" si="14"/>
        <v>455.8652290599095</v>
      </c>
      <c r="CY57" s="59">
        <f ca="1">AVERAGE(OFFSET($CX$3,0,0,'Données projet'!$E$13+1,1))-AVERAGE(OFFSET($H$3,0,0,'Données projet'!$E$13+1,1))</f>
        <v>163.16040389635825</v>
      </c>
      <c r="CZ57" s="59">
        <f t="shared" si="42"/>
        <v>138.57856782158811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2.635487898171831</v>
      </c>
      <c r="DH57" s="21">
        <f>EXP(-LN(2)/2)*DH56+(1-EXP(-LN(2)/2))/(LN(2)/2)*DB57*DE57*VLOOKUP('Données projet'!$B$13,Paramètres!$A$1:$I$89,3,0)*0.475*44/12</f>
        <v>0.40853655115061666</v>
      </c>
      <c r="DI57" s="22">
        <f t="shared" si="15"/>
        <v>3.0440244493224475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12.999000000000001</v>
      </c>
      <c r="DO57" s="12">
        <f>IF('Données projet'!$A$166&gt;35,DO56+DN57-DW56,IF(A57&lt;'Données projet'!$A$166,$DL$205^A57,IF(A57='Données projet'!$A$166,'Données projet'!$B$166,DO56+DN57-DW56)))</f>
        <v>261.37699999999973</v>
      </c>
      <c r="DP57" s="17">
        <f>DO57*VLOOKUP('Données projet'!$B$14,Paramètres!$A$1:$I$89,3,0)*VLOOKUP('Données projet'!$B$14,Paramètres!$A$1:$I$89,5,0)</f>
        <v>122.32443599999988</v>
      </c>
      <c r="DQ57" s="13">
        <f t="shared" si="43"/>
        <v>32.216529002111294</v>
      </c>
      <c r="DR57" s="20">
        <f t="shared" si="16"/>
        <v>269.15884737867697</v>
      </c>
      <c r="DS57" s="59">
        <f t="shared" si="17"/>
        <v>556.43525739879135</v>
      </c>
      <c r="DT57" s="59">
        <f ca="1">AVERAGE(OFFSET($DS$3,0,0,'Données projet'!$E$14+1,1))-AVERAGE(OFFSET($H$3,0,0,'Données projet'!$E$14+1,1))</f>
        <v>343.44193069803498</v>
      </c>
      <c r="DU57" s="59">
        <f t="shared" si="44"/>
        <v>280.67367019483481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13.994220097093995</v>
      </c>
      <c r="EB57" s="21">
        <f>EXP(-LN(2)/25)*EB56+(1-EXP(-LN(2)/25))/(LN(2)/25)*Calculateur!DW57*Calculateur!DY57*VLOOKUP('Données projet'!$B$14,Paramètres!$A$1:$I$89,3,0)*0.475*44/12</f>
        <v>20.145406211537718</v>
      </c>
      <c r="EC57" s="21">
        <f>EXP(-LN(2)/2)*EC56+(1-EXP(-LN(2)/2))/(LN(2)/2)*DW57*DZ57*VLOOKUP('Données projet'!$B$14,Paramètres!$A$1:$I$89,3,0)*0.475*44/12</f>
        <v>12.384952887628753</v>
      </c>
      <c r="ED57" s="22">
        <f t="shared" si="18"/>
        <v>46.524579196260461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4.6153846153846159</v>
      </c>
      <c r="EJ57" s="12">
        <f>IF('Données projet'!$A$192&gt;35,EJ56+EI57-ER56,IF(A57&lt;'Données projet'!$A$192,$EG$205^A57,IF(A57='Données projet'!$A$192,'Données projet'!$B$192,EJ56+EI57-ER56)))</f>
        <v>113.97435897435896</v>
      </c>
      <c r="EK57" s="17">
        <f>EJ57*VLOOKUP('Données projet'!$B$15,Paramètres!$A$1:$I$89,3,0)*VLOOKUP('Données projet'!$B$15,Paramètres!$A$1:$I$89,5,0)</f>
        <v>115.57</v>
      </c>
      <c r="EL57" s="13">
        <f t="shared" si="45"/>
        <v>30.639523500892796</v>
      </c>
      <c r="EM57" s="20">
        <f t="shared" si="19"/>
        <v>254.64825343072164</v>
      </c>
      <c r="EN57" s="59">
        <f t="shared" si="20"/>
        <v>541.92466345083608</v>
      </c>
      <c r="EO57" s="59">
        <f ca="1">AVERAGE(OFFSET($EN$3,0,0,'Données projet'!$E$15+1,1))-AVERAGE(OFFSET($H$3,0,0,'Données projet'!$E$15+1,1))</f>
        <v>270.0029254736703</v>
      </c>
      <c r="EP57" s="59">
        <f t="shared" si="46"/>
        <v>183.80022202211441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19.838497961547969</v>
      </c>
      <c r="EX57" s="21">
        <f>EXP(-LN(2)/2)*EX56+(1-EXP(-LN(2)/2))/(LN(2)/2)*ER57*EU57*VLOOKUP('Données projet'!$B$15,Paramètres!$A$1:$I$89,3,0)*0.475*44/12</f>
        <v>0.81144112122609713</v>
      </c>
      <c r="EY57" s="22">
        <f t="shared" si="21"/>
        <v>20.649939082774065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</v>
      </c>
      <c r="FE57" s="12">
        <f>IF('Données projet'!$A$218&gt;35,FE56+FD57-FM56,IF(A57&lt;'Données projet'!$A$218,$FB$205^A57,IF(A57='Données projet'!$A$218,'Données projet'!$B$218,FE56+FD57-FM56)))</f>
        <v>225.99999999999989</v>
      </c>
      <c r="FF57" s="17">
        <f>FE57*VLOOKUP('Données projet'!$B$16,Paramètres!$A$1:$I$89,3,0)*VLOOKUP('Données projet'!$B$16,Paramètres!$A$1:$I$89,5,0)</f>
        <v>197.43359999999993</v>
      </c>
      <c r="FG57" s="13">
        <f t="shared" si="47"/>
        <v>49.179727436837609</v>
      </c>
      <c r="FH57" s="20">
        <f t="shared" si="22"/>
        <v>429.51821195249204</v>
      </c>
      <c r="FI57" s="59">
        <f t="shared" si="23"/>
        <v>716.79462197260636</v>
      </c>
      <c r="FJ57" s="59">
        <f ca="1">AVERAGE(OFFSET($FI$3,0,0,'Données projet'!$E$16+1,1))-AVERAGE(OFFSET($H$3,0,0,'Données projet'!$E$16+1,1))</f>
        <v>328.93328163316073</v>
      </c>
      <c r="FK57" s="59">
        <f t="shared" si="48"/>
        <v>320.27831321887072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9.5398507489107409</v>
      </c>
      <c r="FR57" s="21">
        <f>EXP(-LN(2)/25)*FR56+(1-EXP(-LN(2)/25))/(LN(2)/25)*Calculateur!FM57*Calculateur!FO57*VLOOKUP('Données projet'!$B$16,Paramètres!$A$1:$I$89,3,0)*0.475*44/12</f>
        <v>14.12256103331211</v>
      </c>
      <c r="FS57" s="21">
        <f>EXP(-LN(2)/2)*FS56+(1-EXP(-LN(2)/2))/(LN(2)/2)*FM57*FP57*VLOOKUP('Données projet'!$B$16,Paramètres!$A$1:$I$89,3,0)*0.475*44/12</f>
        <v>1.1308855425453244</v>
      </c>
      <c r="FT57" s="22">
        <f t="shared" si="24"/>
        <v>24.793297324768176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4.6153846153846159</v>
      </c>
      <c r="FZ57" s="12">
        <f>IF('Données projet'!$A$244&gt;35,FZ56+FY57-GH56,IF(A57&lt;'Données projet'!$A$244,$FW$205^A57,IF(A57='Données projet'!$A$244,'Données projet'!$B$244,FZ56+FY57-GH56)))</f>
        <v>113.97435897435896</v>
      </c>
      <c r="GA57" s="17">
        <f>FZ57*VLOOKUP('Données projet'!$B$17,Paramètres!$A$1:$I$89,3,0)*VLOOKUP('Données projet'!$B$17,Paramètres!$A$1:$I$89,5,0)</f>
        <v>76.453999999999994</v>
      </c>
      <c r="GB57" s="13">
        <f t="shared" si="49"/>
        <v>21.267894258297272</v>
      </c>
      <c r="GC57" s="20">
        <f t="shared" si="25"/>
        <v>170.19896583320107</v>
      </c>
      <c r="GD57" s="59">
        <f t="shared" si="26"/>
        <v>457.47537585331543</v>
      </c>
      <c r="GE57" s="59">
        <f ca="1">AVERAGE(OFFSET($GD$3,0,0,'Données projet'!$E$17+1,1))-AVERAGE(OFFSET($H$3,0,0,'Données projet'!$E$17+1,1))</f>
        <v>192.88444860121191</v>
      </c>
      <c r="GF57" s="59">
        <f t="shared" si="50"/>
        <v>136.13737493732751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16.176006030185263</v>
      </c>
      <c r="GN57" s="21">
        <f>EXP(-LN(2)/2)*GN56+(1-EXP(-LN(2)/2))/(LN(2)/2)*GH57*GK57*VLOOKUP('Données projet'!$B$17,Paramètres!$A$1:$I$89,3,0)*0.475*44/12</f>
        <v>0.53679951096495671</v>
      </c>
      <c r="GO57" s="21">
        <f t="shared" si="27"/>
        <v>16.712805541150221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68.348111823667551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0.85000000000000009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3.1166666666666671</v>
      </c>
      <c r="H58" s="67">
        <f t="shared" si="1"/>
        <v>244.19999999999996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725.36139286393882</v>
      </c>
      <c r="S58" s="59">
        <f ca="1">AVERAGE(OFFSET($R$3,0,0,'Données projet'!$E$9+1,1))-AVERAGE(OFFSET($H$3,0,0,'Données projet'!$E$9+1,1))</f>
        <v>643.492472896403</v>
      </c>
      <c r="T58" s="59">
        <f t="shared" si="34"/>
        <v>285.0259479655341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264</v>
      </c>
      <c r="AG58" s="12">
        <f>VLOOKUP(A58,'Données projet'!$A$61:$I$81,9,0)</f>
        <v>8.1999999999999993</v>
      </c>
      <c r="AH58" s="12">
        <f t="array" ref="AH58">INDEX(AG:AG,MIN(IF(ISNUMBER(AG58:AG254),ROW(AG58:AG254),"")))</f>
        <v>8.1999999999999993</v>
      </c>
      <c r="AI58" s="13">
        <f>IF('Données projet'!$A$62&gt;35,AI57+AH58-AQ57,IF(A58&lt;'Données projet'!$A$62,$AF$205^A58,IF(A58='Données projet'!$A$62,'Données projet'!$B$62,AI57+AH58-AQ57)))</f>
        <v>263.99999999999994</v>
      </c>
      <c r="AJ58" s="13">
        <f>AI58*VLOOKUP('Données projet'!$B$10,Paramètres!$A$1:$I$89,3,0)*VLOOKUP('Données projet'!$B$10,Paramètres!$A$1:$I$89,5,0)</f>
        <v>205.91999999999996</v>
      </c>
      <c r="AK58" s="13">
        <f t="shared" si="35"/>
        <v>51.042987531485686</v>
      </c>
      <c r="AL58" s="20">
        <f t="shared" si="4"/>
        <v>447.5438699506708</v>
      </c>
      <c r="AM58" s="59">
        <f t="shared" si="5"/>
        <v>734.92535404901764</v>
      </c>
      <c r="AN58" s="59">
        <f ca="1">AVERAGE(OFFSET($AM$3,0,0,'Données projet'!$E$10+1,1))-AVERAGE(OFFSET($H$3,0,0,'Données projet'!$E$10+1,1))</f>
        <v>289.89907502443873</v>
      </c>
      <c r="AO58" s="59">
        <f t="shared" si="36"/>
        <v>267.42183550360301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30</v>
      </c>
      <c r="AR58" s="16">
        <f>IF(ISNA(VLOOKUP(A58,'Données projet'!$A$61:$I$81,5,0)),0%,VLOOKUP(A58,'Données projet'!$A$61:$I$81,5,0)*VLOOKUP('Données projet'!$B$10,Paramètres!$A$1:$I$89,7,0))</f>
        <v>0.1075</v>
      </c>
      <c r="AS58" s="16">
        <f>IF(ISNA(VLOOKUP(A58,'Données projet'!$A$61:$I$81,6,0)),0%,VLOOKUP(A58,'Données projet'!$A$61:$I$81,6,0)*VLOOKUP('Données projet'!$B$10,Paramètres!$A$1:$I$89,7,0))</f>
        <v>0.1075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5.2994568325143536</v>
      </c>
      <c r="AV58" s="21">
        <f>EXP(-LN(2)/25)*AV57+(1-EXP(-LN(2)/25))/(LN(2)/25)*Calculateur!AQ58*Calculateur!AS58*VLOOKUP('Données projet'!$B$10,Paramètres!$A$1:$I$89,3,0)*0.475*44/12</f>
        <v>13.426201245721341</v>
      </c>
      <c r="AW58" s="21">
        <f>EXP(-LN(2)/2)*AW57+(1-EXP(-LN(2)/2))/(LN(2)/2)*AQ58*AT58*VLOOKUP('Données projet'!$B$10,Paramètres!$A$1:$I$89,3,0)*0.475*44/12</f>
        <v>6.7122260903861006</v>
      </c>
      <c r="AX58" s="21">
        <f t="shared" si="6"/>
        <v>25.437884168621796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67.948717948717942</v>
      </c>
      <c r="BB58" s="12">
        <f>VLOOKUP(A58,'Données projet'!$A$87:$I$107,9,0)</f>
        <v>2.5641025641025634</v>
      </c>
      <c r="BC58" s="12">
        <f t="array" ref="BC58">INDEX(BB:BB,MIN(IF(ISNUMBER(BB58:BB254),ROW(BB58:BB254),"")))</f>
        <v>2.5641025641025634</v>
      </c>
      <c r="BD58" s="12">
        <f>IF('Données projet'!$A$88&gt;35,BD57+BC58-BL57,IF(A58&lt;'Données projet'!$A$88,$BA$205^A58,IF(A58='Données projet'!$A$88,'Données projet'!$B$88,BD57+BC58-BL57)))</f>
        <v>67.948717948717942</v>
      </c>
      <c r="BE58" s="13">
        <f>BD58*VLOOKUP('Données projet'!$B$11,Paramètres!$A$1:$I$89,3,0)*VLOOKUP('Données projet'!$B$11,Paramètres!$A$1:$I$89,5,0)</f>
        <v>65.72</v>
      </c>
      <c r="BF58" s="13">
        <f t="shared" si="37"/>
        <v>18.606711516306749</v>
      </c>
      <c r="BG58" s="20">
        <f t="shared" si="7"/>
        <v>146.86902255756758</v>
      </c>
      <c r="BH58" s="59">
        <f t="shared" si="8"/>
        <v>434.25050665591436</v>
      </c>
      <c r="BI58" s="59">
        <f ca="1">AVERAGE(OFFSET($BH$3,0,0,'Données projet'!$E$11+1,1))-AVERAGE(OFFSET($H$3,0,0,'Données projet'!$E$11+1,1))</f>
        <v>177.54241137663234</v>
      </c>
      <c r="BJ58" s="59">
        <f t="shared" si="38"/>
        <v>114.71095021456071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6.4102564102564097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0.34400000000000003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10.462555910662653</v>
      </c>
      <c r="BR58" s="21">
        <f>EXP(-LN(2)/2)*BR57+(1-EXP(-LN(2)/2))/(LN(2)/2)*BL58*BO58*VLOOKUP('Données projet'!$B$11,Paramètres!$A$1:$I$89,3,0)*0.475*44/12</f>
        <v>1.4167418401278402</v>
      </c>
      <c r="BS58" s="22">
        <f t="shared" si="9"/>
        <v>11.879297750790492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67.948717948717942</v>
      </c>
      <c r="BW58" s="12">
        <f>VLOOKUP(A58,'Données projet'!$A$113:$I$133,9,0)</f>
        <v>2.5641025641025634</v>
      </c>
      <c r="BX58" s="12">
        <f t="array" ref="BX58">INDEX(BW:BW,MIN(IF(ISNUMBER(BW58:BW254),ROW(BW58:BW254),"")))</f>
        <v>2.5641025641025634</v>
      </c>
      <c r="BY58" s="12">
        <f>IF('Données projet'!$A$114&gt;35,BY57+BX58-CG57,IF(A58&lt;'Données projet'!$A$114,$BV$205^A58,IF(A58='Données projet'!$A$114,'Données projet'!$B$114,BY57+BX58-CG57)))</f>
        <v>67.948717948717942</v>
      </c>
      <c r="BZ58" s="13">
        <f>BY58*VLOOKUP('Données projet'!$B$12,Paramètres!$A$1:$I$89,3,0)*VLOOKUP('Données projet'!$B$12,Paramètres!$A$1:$I$89,5,0)</f>
        <v>73.14</v>
      </c>
      <c r="CA58" s="13">
        <f t="shared" si="39"/>
        <v>20.451227695169951</v>
      </c>
      <c r="CB58" s="20">
        <f t="shared" si="10"/>
        <v>163.00472156908765</v>
      </c>
      <c r="CC58" s="59">
        <f t="shared" si="11"/>
        <v>450.38620566743441</v>
      </c>
      <c r="CD58" s="59">
        <f ca="1">AVERAGE(OFFSET($CC$3,0,0,'Données projet'!$E$12+1,1))-AVERAGE(OFFSET($H$3,0,0,'Données projet'!$E$12+1,1))</f>
        <v>192.88977161349993</v>
      </c>
      <c r="CE58" s="59">
        <f t="shared" si="40"/>
        <v>122.91376861456772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6.4102564102564097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0.34400000000000003</v>
      </c>
      <c r="CJ58" s="16">
        <f>IF(ISNA(VLOOKUP(A58,'Données projet'!$A$113:$I$133,7,0)),0%,VLOOKUP(A58,'Données projet'!$A$113:$I$133,7,0))</f>
        <v>0.2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11.643812223156822</v>
      </c>
      <c r="CM58" s="21">
        <f>EXP(-LN(2)/2)*CM57+(1-EXP(-LN(2)/2))/(LN(2)/2)*CG58*CJ58*VLOOKUP('Données projet'!$B$12,Paramètres!$A$1:$I$89,3,0)*0.475*44/12</f>
        <v>1.5766965640132411</v>
      </c>
      <c r="CN58" s="22">
        <f t="shared" si="12"/>
        <v>13.220508787170063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96.15384615384616</v>
      </c>
      <c r="CR58" s="12">
        <f>VLOOKUP(A58,'Données projet'!$A$139:$I$159,9,0)</f>
        <v>2.8205128205128234</v>
      </c>
      <c r="CS58" s="12">
        <f t="array" ref="CS58">INDEX(CR:CR,MIN(IF(ISNUMBER(CR58:CR254),ROW(CR58:CR254),"")))</f>
        <v>2.8205128205128234</v>
      </c>
      <c r="CT58" s="12">
        <f>IF('Données projet'!$A$140&gt;35,CT57+CS58-DB57,IF(A58&lt;'Données projet'!$A$140,$CQ$205^A58,IF(A58='Données projet'!$A$140,'Données projet'!$B$140,CT57+CS58-DB57)))</f>
        <v>96.153846153846132</v>
      </c>
      <c r="CU58" s="17">
        <f>CT58*VLOOKUP('Données projet'!$B$13,Paramètres!$A$1:$I$89,3,0)*VLOOKUP('Données projet'!$B$13,Paramètres!$A$1:$I$89,5,0)</f>
        <v>77.999999999999986</v>
      </c>
      <c r="CV58" s="13">
        <f t="shared" si="41"/>
        <v>21.647455512768612</v>
      </c>
      <c r="CW58" s="20">
        <f t="shared" si="13"/>
        <v>173.55265168473863</v>
      </c>
      <c r="CX58" s="59">
        <f t="shared" si="14"/>
        <v>460.93413578308542</v>
      </c>
      <c r="CY58" s="59">
        <f ca="1">AVERAGE(OFFSET($CX$3,0,0,'Données projet'!$E$13+1,1))-AVERAGE(OFFSET($H$3,0,0,'Données projet'!$E$13+1,1))</f>
        <v>163.16040389635825</v>
      </c>
      <c r="CZ58" s="59">
        <f t="shared" si="42"/>
        <v>138.57856782158811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7.0512820512820511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0.1075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3.2404976299102612</v>
      </c>
      <c r="DH58" s="21">
        <f>EXP(-LN(2)/2)*DH57+(1-EXP(-LN(2)/2))/(LN(2)/2)*DB58*DE58*VLOOKUP('Données projet'!$B$13,Paramètres!$A$1:$I$89,3,0)*0.475*44/12</f>
        <v>1.6381224535668713</v>
      </c>
      <c r="DI58" s="22">
        <f t="shared" si="15"/>
        <v>4.8786200834771325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12.999000000000001</v>
      </c>
      <c r="DO58" s="12">
        <f>IF('Données projet'!$A$166&gt;35,DO57+DN58-DW57,IF(A58&lt;'Données projet'!$A$166,$DL$205^A58,IF(A58='Données projet'!$A$166,'Données projet'!$B$166,DO57+DN58-DW57)))</f>
        <v>274.37599999999975</v>
      </c>
      <c r="DP58" s="17">
        <f>DO58*VLOOKUP('Données projet'!$B$14,Paramètres!$A$1:$I$89,3,0)*VLOOKUP('Données projet'!$B$14,Paramètres!$A$1:$I$89,5,0)</f>
        <v>128.4079679999999</v>
      </c>
      <c r="DQ58" s="13">
        <f t="shared" si="43"/>
        <v>33.628224080487712</v>
      </c>
      <c r="DR58" s="20">
        <f t="shared" si="16"/>
        <v>282.21303454018255</v>
      </c>
      <c r="DS58" s="59">
        <f t="shared" si="17"/>
        <v>569.59451863852928</v>
      </c>
      <c r="DT58" s="59">
        <f ca="1">AVERAGE(OFFSET($DS$3,0,0,'Données projet'!$E$14+1,1))-AVERAGE(OFFSET($H$3,0,0,'Données projet'!$E$14+1,1))</f>
        <v>343.44193069803498</v>
      </c>
      <c r="DU58" s="59">
        <f t="shared" si="44"/>
        <v>280.67367019483481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13.719801976621417</v>
      </c>
      <c r="EB58" s="21">
        <f>EXP(-LN(2)/25)*EB57+(1-EXP(-LN(2)/25))/(LN(2)/25)*Calculateur!DW58*Calculateur!DY58*VLOOKUP('Données projet'!$B$14,Paramètres!$A$1:$I$89,3,0)*0.475*44/12</f>
        <v>19.594529019282351</v>
      </c>
      <c r="EC58" s="21">
        <f>EXP(-LN(2)/2)*EC57+(1-EXP(-LN(2)/2))/(LN(2)/2)*DW58*DZ58*VLOOKUP('Données projet'!$B$14,Paramètres!$A$1:$I$89,3,0)*0.475*44/12</f>
        <v>8.7574841715182057</v>
      </c>
      <c r="ED58" s="22">
        <f t="shared" si="18"/>
        <v>42.071815167421974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118.58974358974359</v>
      </c>
      <c r="EH58" s="12">
        <f>VLOOKUP(A58,'Données projet'!$A$191:$I$211,9,0)</f>
        <v>4.6153846153846159</v>
      </c>
      <c r="EI58" s="12">
        <f t="array" ref="EI58">INDEX(EH:EH,MIN(IF(ISNUMBER(EH58:EH254),ROW(EH58:EH254),"")))</f>
        <v>4.6153846153846159</v>
      </c>
      <c r="EJ58" s="12">
        <f>IF('Données projet'!$A$192&gt;35,EJ57+EI58-ER57,IF(A58&lt;'Données projet'!$A$192,$EG$205^A58,IF(A58='Données projet'!$A$192,'Données projet'!$B$192,EJ57+EI58-ER57)))</f>
        <v>118.58974358974358</v>
      </c>
      <c r="EK58" s="17">
        <f>EJ58*VLOOKUP('Données projet'!$B$15,Paramètres!$A$1:$I$89,3,0)*VLOOKUP('Données projet'!$B$15,Paramètres!$A$1:$I$89,5,0)</f>
        <v>120.25</v>
      </c>
      <c r="EL58" s="13">
        <f t="shared" si="45"/>
        <v>31.733300624239234</v>
      </c>
      <c r="EM58" s="20">
        <f t="shared" si="19"/>
        <v>264.70424858721663</v>
      </c>
      <c r="EN58" s="59">
        <f t="shared" si="20"/>
        <v>552.08573268556347</v>
      </c>
      <c r="EO58" s="59">
        <f ca="1">AVERAGE(OFFSET($EN$3,0,0,'Données projet'!$E$15+1,1))-AVERAGE(OFFSET($H$3,0,0,'Données projet'!$E$15+1,1))</f>
        <v>270.0029254736703</v>
      </c>
      <c r="EP58" s="59">
        <f t="shared" si="46"/>
        <v>183.80022202211441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14.102564102564102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0.34400000000000003</v>
      </c>
      <c r="EU58" s="16">
        <f>IF(ISNA(VLOOKUP(A58,'Données projet'!$A$191:$I$211,7,0)),0%,VLOOKUP(A58,'Données projet'!$A$191:$I$211,7,0))</f>
        <v>0.2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24.712631486793963</v>
      </c>
      <c r="EX58" s="21">
        <f>EXP(-LN(2)/2)*EX57+(1-EXP(-LN(2)/2))/(LN(2)/2)*ER58*EU58*VLOOKUP('Données projet'!$B$15,Paramètres!$A$1:$I$89,3,0)*0.475*44/12</f>
        <v>3.2722624951239991</v>
      </c>
      <c r="EY58" s="22">
        <f t="shared" si="21"/>
        <v>27.984893981917963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232</v>
      </c>
      <c r="FC58" s="12">
        <f>VLOOKUP(A58,'Données projet'!$A$217:$I$237,9,0)</f>
        <v>6</v>
      </c>
      <c r="FD58" s="12">
        <f t="array" ref="FD58">INDEX(FC:FC,MIN(IF(ISNUMBER(FC58:FC254),ROW(FC58:FC254),"")))</f>
        <v>6</v>
      </c>
      <c r="FE58" s="12">
        <f>IF('Données projet'!$A$218&gt;35,FE57+FD58-FM57,IF(A58&lt;'Données projet'!$A$218,$FB$205^A58,IF(A58='Données projet'!$A$218,'Données projet'!$B$218,FE57+FD58-FM57)))</f>
        <v>231.99999999999989</v>
      </c>
      <c r="FF58" s="17">
        <f>FE58*VLOOKUP('Données projet'!$B$16,Paramètres!$A$1:$I$89,3,0)*VLOOKUP('Données projet'!$B$16,Paramètres!$A$1:$I$89,5,0)</f>
        <v>202.67519999999993</v>
      </c>
      <c r="FG58" s="13">
        <f t="shared" si="47"/>
        <v>50.33164028531364</v>
      </c>
      <c r="FH58" s="20">
        <f t="shared" si="22"/>
        <v>440.65358016358778</v>
      </c>
      <c r="FI58" s="59">
        <f t="shared" si="23"/>
        <v>728.03506426193462</v>
      </c>
      <c r="FJ58" s="59">
        <f ca="1">AVERAGE(OFFSET($FI$3,0,0,'Données projet'!$E$16+1,1))-AVERAGE(OFFSET($H$3,0,0,'Données projet'!$E$16+1,1))</f>
        <v>328.93328163316073</v>
      </c>
      <c r="FK58" s="59">
        <f t="shared" si="48"/>
        <v>320.27831321887072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0.13250000000000001</v>
      </c>
      <c r="FO58" s="16">
        <f>IF(ISNA(VLOOKUP(A58,'Données projet'!$A$217:$I$237,6,0)),0%,VLOOKUP(A58,'Données projet'!$A$217:$I$237,6,0)*VLOOKUP('Données projet'!$B$16,Paramètres!$A$1:$I$89,7,0))</f>
        <v>0.13250000000000001</v>
      </c>
      <c r="FP58" s="16">
        <f>IF(ISNA(VLOOKUP(A58,'Données projet'!$A$217:$I$237,7,0)),0%,VLOOKUP(A58,'Données projet'!$A$217:$I$237,7,0))</f>
        <v>0.25</v>
      </c>
      <c r="FQ58" s="21">
        <f>EXP(-LN(2)/35)*FQ57+(1-EXP(-LN(2)/35))/(LN(2)/35)*FM58*FN58*VLOOKUP('Données projet'!$B$16,Paramètres!$A$1:$I$89,3,0)*0.475*44/12</f>
        <v>11.01626539029108</v>
      </c>
      <c r="FR58" s="21">
        <f>EXP(-LN(2)/25)*FR57+(1-EXP(-LN(2)/25))/(LN(2)/25)*Calculateur!FM58*Calculateur!FO58*VLOOKUP('Données projet'!$B$16,Paramètres!$A$1:$I$89,3,0)*0.475*44/12</f>
        <v>15.393314379567776</v>
      </c>
      <c r="FS58" s="21">
        <f>EXP(-LN(2)/2)*FS57+(1-EXP(-LN(2)/2))/(LN(2)/2)*FM58*FP58*VLOOKUP('Données projet'!$B$16,Paramètres!$A$1:$I$89,3,0)*0.475*44/12</f>
        <v>3.4785184518272452</v>
      </c>
      <c r="FT58" s="22">
        <f t="shared" si="24"/>
        <v>29.888098221686104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118.58974358974359</v>
      </c>
      <c r="FX58" s="12">
        <f>VLOOKUP(A58,'Données projet'!$A$243:$I$263,9,0)</f>
        <v>4.6153846153846159</v>
      </c>
      <c r="FY58" s="12">
        <f t="array" ref="FY58">INDEX(FX:FX,MIN(IF(ISNUMBER(FX58:FX254),ROW(FX58:FX254),"")))</f>
        <v>4.6153846153846159</v>
      </c>
      <c r="FZ58" s="12">
        <f>IF('Données projet'!$A$244&gt;35,FZ57+FY58-GH57,IF(A58&lt;'Données projet'!$A$244,$FW$205^A58,IF(A58='Données projet'!$A$244,'Données projet'!$B$244,FZ57+FY58-GH57)))</f>
        <v>118.58974358974358</v>
      </c>
      <c r="GA58" s="17">
        <f>FZ58*VLOOKUP('Données projet'!$B$17,Paramètres!$A$1:$I$89,3,0)*VLOOKUP('Données projet'!$B$17,Paramètres!$A$1:$I$89,5,0)</f>
        <v>79.55</v>
      </c>
      <c r="GB58" s="13">
        <f t="shared" si="49"/>
        <v>22.027120693421143</v>
      </c>
      <c r="GC58" s="20">
        <f t="shared" si="25"/>
        <v>176.91348520770848</v>
      </c>
      <c r="GD58" s="59">
        <f t="shared" si="26"/>
        <v>464.29496930605524</v>
      </c>
      <c r="GE58" s="59">
        <f ca="1">AVERAGE(OFFSET($GD$3,0,0,'Données projet'!$E$17+1,1))-AVERAGE(OFFSET($H$3,0,0,'Données projet'!$E$17+1,1))</f>
        <v>192.88444860121191</v>
      </c>
      <c r="GF58" s="59">
        <f t="shared" si="50"/>
        <v>136.13737493732751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14.102564102564102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0.42400000000000004</v>
      </c>
      <c r="GK58" s="16">
        <f>IF(ISNA(VLOOKUP(A58,'Données projet'!$A$243:$I$263,7,0)),0%,VLOOKUP(A58,'Données projet'!$A$243:$I$263,7,0))</f>
        <v>0.2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20.15029952000123</v>
      </c>
      <c r="GN58" s="21">
        <f>EXP(-LN(2)/2)*GN57+(1-EXP(-LN(2)/2))/(LN(2)/2)*GH58*GK58*VLOOKUP('Données projet'!$B$17,Paramètres!$A$1:$I$89,3,0)*0.475*44/12</f>
        <v>2.1647274967743382</v>
      </c>
      <c r="GO58" s="21">
        <f t="shared" si="27"/>
        <v>22.315027016775566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68.37676839045821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0.85000000000000009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3.1166666666666671</v>
      </c>
      <c r="H59" s="67">
        <f t="shared" si="1"/>
        <v>244.19999999999996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745.3732026792369</v>
      </c>
      <c r="S59" s="59">
        <f ca="1">AVERAGE(OFFSET($R$3,0,0,'Données projet'!$E$9+1,1))-AVERAGE(OFFSET($H$3,0,0,'Données projet'!$E$9+1,1))</f>
        <v>643.492472896403</v>
      </c>
      <c r="T59" s="59">
        <f t="shared" si="34"/>
        <v>285.0259479655341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241.39999999999992</v>
      </c>
      <c r="AJ59" s="13">
        <f>AI59*VLOOKUP('Données projet'!$B$10,Paramètres!$A$1:$I$89,3,0)*VLOOKUP('Données projet'!$B$10,Paramètres!$A$1:$I$89,5,0)</f>
        <v>188.29199999999994</v>
      </c>
      <c r="AK59" s="13">
        <f t="shared" si="35"/>
        <v>47.162140074549235</v>
      </c>
      <c r="AL59" s="20">
        <f t="shared" si="4"/>
        <v>410.08262729650642</v>
      </c>
      <c r="AM59" s="59">
        <f t="shared" si="5"/>
        <v>697.56736267273868</v>
      </c>
      <c r="AN59" s="59">
        <f ca="1">AVERAGE(OFFSET($AM$3,0,0,'Données projet'!$E$10+1,1))-AVERAGE(OFFSET($H$3,0,0,'Données projet'!$E$10+1,1))</f>
        <v>289.89907502443873</v>
      </c>
      <c r="AO59" s="59">
        <f t="shared" si="36"/>
        <v>267.42183550360301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5.1955377163782472</v>
      </c>
      <c r="AV59" s="21">
        <f>EXP(-LN(2)/25)*AV58+(1-EXP(-LN(2)/25))/(LN(2)/25)*Calculateur!AQ59*Calculateur!AS59*VLOOKUP('Données projet'!$B$10,Paramètres!$A$1:$I$89,3,0)*0.475*44/12</f>
        <v>13.059061066603853</v>
      </c>
      <c r="AW59" s="21">
        <f>EXP(-LN(2)/2)*AW58+(1-EXP(-LN(2)/2))/(LN(2)/2)*AQ59*AT59*VLOOKUP('Données projet'!$B$10,Paramètres!$A$1:$I$89,3,0)*0.475*44/12</f>
        <v>4.7462605853692805</v>
      </c>
      <c r="AX59" s="21">
        <f t="shared" si="6"/>
        <v>23.000859368351382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2.4358974358974366</v>
      </c>
      <c r="BD59" s="12">
        <f>IF('Données projet'!$A$88&gt;35,BD58+BC59-BL58,IF(A59&lt;'Données projet'!$A$88,$BA$205^A59,IF(A59='Données projet'!$A$88,'Données projet'!$B$88,BD58+BC59-BL58)))</f>
        <v>63.974358974358964</v>
      </c>
      <c r="BE59" s="13">
        <f>BD59*VLOOKUP('Données projet'!$B$11,Paramètres!$A$1:$I$89,3,0)*VLOOKUP('Données projet'!$B$11,Paramètres!$A$1:$I$89,5,0)</f>
        <v>61.875999999999991</v>
      </c>
      <c r="BF59" s="13">
        <f t="shared" si="37"/>
        <v>17.641727437253664</v>
      </c>
      <c r="BG59" s="20">
        <f t="shared" si="7"/>
        <v>138.4933752865501</v>
      </c>
      <c r="BH59" s="59">
        <f t="shared" si="8"/>
        <v>425.97811066278246</v>
      </c>
      <c r="BI59" s="59">
        <f ca="1">AVERAGE(OFFSET($BH$3,0,0,'Données projet'!$E$11+1,1))-AVERAGE(OFFSET($H$3,0,0,'Données projet'!$E$11+1,1))</f>
        <v>177.54241137663234</v>
      </c>
      <c r="BJ59" s="59">
        <f t="shared" si="38"/>
        <v>114.71095021456071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10.17645676908368</v>
      </c>
      <c r="BR59" s="21">
        <f>EXP(-LN(2)/2)*BR58+(1-EXP(-LN(2)/2))/(LN(2)/2)*BL59*BO59*VLOOKUP('Données projet'!$B$11,Paramètres!$A$1:$I$89,3,0)*0.475*44/12</f>
        <v>1.0017877623451035</v>
      </c>
      <c r="BS59" s="22">
        <f t="shared" si="9"/>
        <v>11.178244531428783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2.4358974358974366</v>
      </c>
      <c r="BY59" s="12">
        <f>IF('Données projet'!$A$114&gt;35,BY58+BX59-CG58,IF(A59&lt;'Données projet'!$A$114,$BV$205^A59,IF(A59='Données projet'!$A$114,'Données projet'!$B$114,BY58+BX59-CG58)))</f>
        <v>63.974358974358964</v>
      </c>
      <c r="BZ59" s="13">
        <f>BY59*VLOOKUP('Données projet'!$B$12,Paramètres!$A$1:$I$89,3,0)*VLOOKUP('Données projet'!$B$12,Paramètres!$A$1:$I$89,5,0)</f>
        <v>68.861999999999981</v>
      </c>
      <c r="CA59" s="13">
        <f t="shared" si="39"/>
        <v>19.390583039845843</v>
      </c>
      <c r="CB59" s="20">
        <f t="shared" si="10"/>
        <v>153.70658212773148</v>
      </c>
      <c r="CC59" s="59">
        <f t="shared" si="11"/>
        <v>441.19131750396377</v>
      </c>
      <c r="CD59" s="59">
        <f ca="1">AVERAGE(OFFSET($CC$3,0,0,'Données projet'!$E$12+1,1))-AVERAGE(OFFSET($H$3,0,0,'Données projet'!$E$12+1,1))</f>
        <v>192.88977161349993</v>
      </c>
      <c r="CE59" s="59">
        <f t="shared" si="40"/>
        <v>122.91376861456772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11.325411565593125</v>
      </c>
      <c r="CM59" s="21">
        <f>EXP(-LN(2)/2)*CM58+(1-EXP(-LN(2)/2))/(LN(2)/2)*CG59*CJ59*VLOOKUP('Données projet'!$B$12,Paramètres!$A$1:$I$89,3,0)*0.475*44/12</f>
        <v>1.1148928322872922</v>
      </c>
      <c r="CN59" s="22">
        <f t="shared" si="12"/>
        <v>12.440304397880418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2.6923076923076907</v>
      </c>
      <c r="CT59" s="12">
        <f>IF('Données projet'!$A$140&gt;35,CT58+CS59-DB58,IF(A59&lt;'Données projet'!$A$140,$CQ$205^A59,IF(A59='Données projet'!$A$140,'Données projet'!$B$140,CT58+CS59-DB58)))</f>
        <v>91.794871794871767</v>
      </c>
      <c r="CU59" s="17">
        <f>CT59*VLOOKUP('Données projet'!$B$13,Paramètres!$A$1:$I$89,3,0)*VLOOKUP('Données projet'!$B$13,Paramètres!$A$1:$I$89,5,0)</f>
        <v>74.463999999999984</v>
      </c>
      <c r="CV59" s="13">
        <f t="shared" si="41"/>
        <v>20.778006126410563</v>
      </c>
      <c r="CW59" s="20">
        <f t="shared" si="13"/>
        <v>165.87982733683168</v>
      </c>
      <c r="CX59" s="59">
        <f t="shared" si="14"/>
        <v>453.364562713064</v>
      </c>
      <c r="CY59" s="59">
        <f ca="1">AVERAGE(OFFSET($CX$3,0,0,'Données projet'!$E$13+1,1))-AVERAGE(OFFSET($H$3,0,0,'Données projet'!$E$13+1,1))</f>
        <v>163.16040389635825</v>
      </c>
      <c r="CZ59" s="59">
        <f t="shared" si="42"/>
        <v>138.57856782158811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3.1518860518100009</v>
      </c>
      <c r="DH59" s="21">
        <f>EXP(-LN(2)/2)*DH58+(1-EXP(-LN(2)/2))/(LN(2)/2)*DB59*DE59*VLOOKUP('Données projet'!$B$13,Paramètres!$A$1:$I$89,3,0)*0.475*44/12</f>
        <v>1.15832749533108</v>
      </c>
      <c r="DI59" s="22">
        <f t="shared" si="15"/>
        <v>4.310213547141081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12.999000000000001</v>
      </c>
      <c r="DO59" s="12">
        <f>IF('Données projet'!$A$166&gt;35,DO58+DN59-DW58,IF(A59&lt;'Données projet'!$A$166,$DL$205^A59,IF(A59='Données projet'!$A$166,'Données projet'!$B$166,DO58+DN59-DW58)))</f>
        <v>287.37499999999977</v>
      </c>
      <c r="DP59" s="17">
        <f>DO59*VLOOKUP('Données projet'!$B$14,Paramètres!$A$1:$I$89,3,0)*VLOOKUP('Données projet'!$B$14,Paramètres!$A$1:$I$89,5,0)</f>
        <v>134.49149999999989</v>
      </c>
      <c r="DQ59" s="13">
        <f t="shared" si="43"/>
        <v>35.032152533778529</v>
      </c>
      <c r="DR59" s="20">
        <f t="shared" si="16"/>
        <v>295.25369482966408</v>
      </c>
      <c r="DS59" s="59">
        <f t="shared" si="17"/>
        <v>582.73843020589641</v>
      </c>
      <c r="DT59" s="59">
        <f ca="1">AVERAGE(OFFSET($DS$3,0,0,'Données projet'!$E$14+1,1))-AVERAGE(OFFSET($H$3,0,0,'Données projet'!$E$14+1,1))</f>
        <v>343.44193069803498</v>
      </c>
      <c r="DU59" s="59">
        <f t="shared" si="44"/>
        <v>280.67367019483481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13.45076502811278</v>
      </c>
      <c r="EB59" s="21">
        <f>EXP(-LN(2)/25)*EB58+(1-EXP(-LN(2)/25))/(LN(2)/25)*Calculateur!DW59*Calculateur!DY59*VLOOKUP('Données projet'!$B$14,Paramètres!$A$1:$I$89,3,0)*0.475*44/12</f>
        <v>19.058715592818579</v>
      </c>
      <c r="EC59" s="21">
        <f>EXP(-LN(2)/2)*EC58+(1-EXP(-LN(2)/2))/(LN(2)/2)*DW59*DZ59*VLOOKUP('Données projet'!$B$14,Paramètres!$A$1:$I$89,3,0)*0.475*44/12</f>
        <v>6.1924764438143773</v>
      </c>
      <c r="ED59" s="22">
        <f t="shared" si="18"/>
        <v>38.701957064745734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4.6153846153846132</v>
      </c>
      <c r="EJ59" s="12">
        <f>IF('Données projet'!$A$192&gt;35,EJ58+EI59-ER58,IF(A59&lt;'Données projet'!$A$192,$EG$205^A59,IF(A59='Données projet'!$A$192,'Données projet'!$B$192,EJ58+EI59-ER58)))</f>
        <v>109.10256410256409</v>
      </c>
      <c r="EK59" s="17">
        <f>EJ59*VLOOKUP('Données projet'!$B$15,Paramètres!$A$1:$I$89,3,0)*VLOOKUP('Données projet'!$B$15,Paramètres!$A$1:$I$89,5,0)</f>
        <v>110.63</v>
      </c>
      <c r="EL59" s="13">
        <f t="shared" si="45"/>
        <v>29.479368114771031</v>
      </c>
      <c r="EM59" s="20">
        <f t="shared" si="19"/>
        <v>244.02381613322621</v>
      </c>
      <c r="EN59" s="59">
        <f t="shared" si="20"/>
        <v>531.50855150945858</v>
      </c>
      <c r="EO59" s="59">
        <f ca="1">AVERAGE(OFFSET($EN$3,0,0,'Données projet'!$E$15+1,1))-AVERAGE(OFFSET($H$3,0,0,'Données projet'!$E$15+1,1))</f>
        <v>270.0029254736703</v>
      </c>
      <c r="EP59" s="59">
        <f t="shared" si="46"/>
        <v>183.80022202211441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24.036863279206774</v>
      </c>
      <c r="EX59" s="21">
        <f>EXP(-LN(2)/2)*EX58+(1-EXP(-LN(2)/2))/(LN(2)/2)*ER59*EU59*VLOOKUP('Données projet'!$B$15,Paramètres!$A$1:$I$89,3,0)*0.475*44/12</f>
        <v>2.3138390001245916</v>
      </c>
      <c r="EY59" s="22">
        <f t="shared" si="21"/>
        <v>26.350702279331365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5.2</v>
      </c>
      <c r="FE59" s="12">
        <f>IF('Données projet'!$A$218&gt;35,FE58+FD59-FM58,IF(A59&lt;'Données projet'!$A$218,$FB$205^A59,IF(A59='Données projet'!$A$218,'Données projet'!$B$218,FE58+FD59-FM58)))</f>
        <v>224.19999999999987</v>
      </c>
      <c r="FF59" s="17">
        <f>FE59*VLOOKUP('Données projet'!$B$16,Paramètres!$A$1:$I$89,3,0)*VLOOKUP('Données projet'!$B$16,Paramètres!$A$1:$I$89,5,0)</f>
        <v>195.86111999999991</v>
      </c>
      <c r="FG59" s="13">
        <f t="shared" si="47"/>
        <v>48.833463106716422</v>
      </c>
      <c r="FH59" s="20">
        <f t="shared" si="22"/>
        <v>426.17639891086424</v>
      </c>
      <c r="FI59" s="59">
        <f t="shared" si="23"/>
        <v>713.6611342870965</v>
      </c>
      <c r="FJ59" s="59">
        <f ca="1">AVERAGE(OFFSET($FI$3,0,0,'Données projet'!$E$16+1,1))-AVERAGE(OFFSET($H$3,0,0,'Données projet'!$E$16+1,1))</f>
        <v>328.93328163316073</v>
      </c>
      <c r="FK59" s="59">
        <f t="shared" si="48"/>
        <v>320.27831321887072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10.800243145245888</v>
      </c>
      <c r="FR59" s="21">
        <f>EXP(-LN(2)/25)*FR58+(1-EXP(-LN(2)/25))/(LN(2)/25)*Calculateur!FM59*Calculateur!FO59*VLOOKUP('Données projet'!$B$16,Paramètres!$A$1:$I$89,3,0)*0.475*44/12</f>
        <v>14.972383388359274</v>
      </c>
      <c r="FS59" s="21">
        <f>EXP(-LN(2)/2)*FS58+(1-EXP(-LN(2)/2))/(LN(2)/2)*FM59*FP59*VLOOKUP('Données projet'!$B$16,Paramètres!$A$1:$I$89,3,0)*0.475*44/12</f>
        <v>2.4596839857695763</v>
      </c>
      <c r="FT59" s="22">
        <f t="shared" si="24"/>
        <v>28.232310519374739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4.6153846153846132</v>
      </c>
      <c r="FZ59" s="12">
        <f>IF('Données projet'!$A$244&gt;35,FZ58+FY59-GH58,IF(A59&lt;'Données projet'!$A$244,$FW$205^A59,IF(A59='Données projet'!$A$244,'Données projet'!$B$244,FZ58+FY59-GH58)))</f>
        <v>109.10256410256409</v>
      </c>
      <c r="GA59" s="17">
        <f>FZ59*VLOOKUP('Données projet'!$B$17,Paramètres!$A$1:$I$89,3,0)*VLOOKUP('Données projet'!$B$17,Paramètres!$A$1:$I$89,5,0)</f>
        <v>73.185999999999993</v>
      </c>
      <c r="GB59" s="13">
        <f t="shared" si="49"/>
        <v>20.462592502396515</v>
      </c>
      <c r="GC59" s="20">
        <f t="shared" si="25"/>
        <v>163.10463194167394</v>
      </c>
      <c r="GD59" s="59">
        <f t="shared" si="26"/>
        <v>450.58936731790629</v>
      </c>
      <c r="GE59" s="59">
        <f ca="1">AVERAGE(OFFSET($GD$3,0,0,'Données projet'!$E$17+1,1))-AVERAGE(OFFSET($H$3,0,0,'Données projet'!$E$17+1,1))</f>
        <v>192.88444860121191</v>
      </c>
      <c r="GF59" s="59">
        <f t="shared" si="50"/>
        <v>136.13737493732751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19.599288519968599</v>
      </c>
      <c r="GN59" s="21">
        <f>EXP(-LN(2)/2)*GN58+(1-EXP(-LN(2)/2))/(LN(2)/2)*GH59*GK59*VLOOKUP('Données projet'!$B$17,Paramètres!$A$1:$I$89,3,0)*0.475*44/12</f>
        <v>1.5306934923901148</v>
      </c>
      <c r="GO59" s="21">
        <f t="shared" si="27"/>
        <v>21.129982012358713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68.404927829881544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0.85000000000000009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3.1166666666666671</v>
      </c>
      <c r="H60" s="67">
        <f t="shared" si="1"/>
        <v>244.19999999999996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765.36474225362758</v>
      </c>
      <c r="S60" s="59">
        <f ca="1">AVERAGE(OFFSET($R$3,0,0,'Données projet'!$E$9+1,1))-AVERAGE(OFFSET($H$3,0,0,'Données projet'!$E$9+1,1))</f>
        <v>643.492472896403</v>
      </c>
      <c r="T60" s="59">
        <f t="shared" si="34"/>
        <v>285.0259479655341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248.79999999999993</v>
      </c>
      <c r="AJ60" s="13">
        <f>AI60*VLOOKUP('Données projet'!$B$10,Paramètres!$A$1:$I$89,3,0)*VLOOKUP('Données projet'!$B$10,Paramètres!$A$1:$I$89,5,0)</f>
        <v>194.06399999999994</v>
      </c>
      <c r="AK60" s="13">
        <f t="shared" si="35"/>
        <v>48.437335849011056</v>
      </c>
      <c r="AL60" s="20">
        <f t="shared" si="4"/>
        <v>422.35649327036077</v>
      </c>
      <c r="AM60" s="59">
        <f t="shared" si="5"/>
        <v>709.94268874564261</v>
      </c>
      <c r="AN60" s="59">
        <f ca="1">AVERAGE(OFFSET($AM$3,0,0,'Données projet'!$E$10+1,1))-AVERAGE(OFFSET($H$3,0,0,'Données projet'!$E$10+1,1))</f>
        <v>289.89907502443873</v>
      </c>
      <c r="AO60" s="59">
        <f t="shared" si="36"/>
        <v>267.42183550360301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5.0936563907251671</v>
      </c>
      <c r="AV60" s="21">
        <f>EXP(-LN(2)/25)*AV59+(1-EXP(-LN(2)/25))/(LN(2)/25)*Calculateur!AQ60*Calculateur!AS60*VLOOKUP('Données projet'!$B$10,Paramètres!$A$1:$I$89,3,0)*0.475*44/12</f>
        <v>12.701960354991396</v>
      </c>
      <c r="AW60" s="21">
        <f>EXP(-LN(2)/2)*AW59+(1-EXP(-LN(2)/2))/(LN(2)/2)*AQ60*AT60*VLOOKUP('Données projet'!$B$10,Paramètres!$A$1:$I$89,3,0)*0.475*44/12</f>
        <v>3.3561130451930512</v>
      </c>
      <c r="AX60" s="21">
        <f t="shared" si="6"/>
        <v>21.151729790909616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2.4358974358974366</v>
      </c>
      <c r="BD60" s="12">
        <f>IF('Données projet'!$A$88&gt;35,BD59+BC60-BL59,IF(A60&lt;'Données projet'!$A$88,$BA$205^A60,IF(A60='Données projet'!$A$88,'Données projet'!$B$88,BD59+BC60-BL59)))</f>
        <v>66.410256410256395</v>
      </c>
      <c r="BE60" s="13">
        <f>BD60*VLOOKUP('Données projet'!$B$11,Paramètres!$A$1:$I$89,3,0)*VLOOKUP('Données projet'!$B$11,Paramètres!$A$1:$I$89,5,0)</f>
        <v>64.231999999999985</v>
      </c>
      <c r="BF60" s="13">
        <f t="shared" si="37"/>
        <v>18.233970237719333</v>
      </c>
      <c r="BG60" s="20">
        <f t="shared" si="7"/>
        <v>143.62823149736116</v>
      </c>
      <c r="BH60" s="59">
        <f t="shared" si="8"/>
        <v>431.21442697264297</v>
      </c>
      <c r="BI60" s="59">
        <f ca="1">AVERAGE(OFFSET($BH$3,0,0,'Données projet'!$E$11+1,1))-AVERAGE(OFFSET($H$3,0,0,'Données projet'!$E$11+1,1))</f>
        <v>177.54241137663234</v>
      </c>
      <c r="BJ60" s="59">
        <f t="shared" si="38"/>
        <v>114.71095021456071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9.898181023576484</v>
      </c>
      <c r="BR60" s="21">
        <f>EXP(-LN(2)/2)*BR59+(1-EXP(-LN(2)/2))/(LN(2)/2)*BL60*BO60*VLOOKUP('Données projet'!$B$11,Paramètres!$A$1:$I$89,3,0)*0.475*44/12</f>
        <v>0.70837092006392022</v>
      </c>
      <c r="BS60" s="22">
        <f t="shared" si="9"/>
        <v>10.606551943640405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2.4358974358974366</v>
      </c>
      <c r="BY60" s="12">
        <f>IF('Données projet'!$A$114&gt;35,BY59+BX60-CG59,IF(A60&lt;'Données projet'!$A$114,$BV$205^A60,IF(A60='Données projet'!$A$114,'Données projet'!$B$114,BY59+BX60-CG59)))</f>
        <v>66.410256410256395</v>
      </c>
      <c r="BZ60" s="13">
        <f>BY60*VLOOKUP('Données projet'!$B$12,Paramètres!$A$1:$I$89,3,0)*VLOOKUP('Données projet'!$B$12,Paramètres!$A$1:$I$89,5,0)</f>
        <v>71.48399999999998</v>
      </c>
      <c r="CA60" s="13">
        <f t="shared" si="39"/>
        <v>20.041535915238857</v>
      </c>
      <c r="CB60" s="20">
        <f t="shared" si="10"/>
        <v>159.40697505237429</v>
      </c>
      <c r="CC60" s="59">
        <f t="shared" si="11"/>
        <v>446.99317052765616</v>
      </c>
      <c r="CD60" s="59">
        <f ca="1">AVERAGE(OFFSET($CC$3,0,0,'Données projet'!$E$12+1,1))-AVERAGE(OFFSET($H$3,0,0,'Données projet'!$E$12+1,1))</f>
        <v>192.88977161349993</v>
      </c>
      <c r="CE60" s="59">
        <f t="shared" si="40"/>
        <v>122.91376861456772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11.015717590754472</v>
      </c>
      <c r="CM60" s="21">
        <f>EXP(-LN(2)/2)*CM59+(1-EXP(-LN(2)/2))/(LN(2)/2)*CG60*CJ60*VLOOKUP('Données projet'!$B$12,Paramètres!$A$1:$I$89,3,0)*0.475*44/12</f>
        <v>0.78834828200662055</v>
      </c>
      <c r="CN60" s="22">
        <f t="shared" si="12"/>
        <v>11.804065872761091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2.6923076923076907</v>
      </c>
      <c r="CT60" s="12">
        <f>IF('Données projet'!$A$140&gt;35,CT59+CS60-DB59,IF(A60&lt;'Données projet'!$A$140,$CQ$205^A60,IF(A60='Données projet'!$A$140,'Données projet'!$B$140,CT59+CS60-DB59)))</f>
        <v>94.487179487179461</v>
      </c>
      <c r="CU60" s="17">
        <f>CT60*VLOOKUP('Données projet'!$B$13,Paramètres!$A$1:$I$89,3,0)*VLOOKUP('Données projet'!$B$13,Paramètres!$A$1:$I$89,5,0)</f>
        <v>76.647999999999982</v>
      </c>
      <c r="CV60" s="13">
        <f t="shared" si="41"/>
        <v>21.315572215122746</v>
      </c>
      <c r="CW60" s="20">
        <f t="shared" si="13"/>
        <v>170.61988827467206</v>
      </c>
      <c r="CX60" s="59">
        <f t="shared" si="14"/>
        <v>458.2060837499539</v>
      </c>
      <c r="CY60" s="59">
        <f ca="1">AVERAGE(OFFSET($CX$3,0,0,'Données projet'!$E$13+1,1))-AVERAGE(OFFSET($H$3,0,0,'Données projet'!$E$13+1,1))</f>
        <v>163.16040389635825</v>
      </c>
      <c r="CZ60" s="59">
        <f t="shared" si="42"/>
        <v>138.57856782158811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3.0656975619727729</v>
      </c>
      <c r="DH60" s="21">
        <f>EXP(-LN(2)/2)*DH59+(1-EXP(-LN(2)/2))/(LN(2)/2)*DB60*DE60*VLOOKUP('Données projet'!$B$13,Paramètres!$A$1:$I$89,3,0)*0.475*44/12</f>
        <v>0.81906122678343574</v>
      </c>
      <c r="DI60" s="22">
        <f t="shared" si="15"/>
        <v>3.8847587887562085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12.999000000000001</v>
      </c>
      <c r="DO60" s="12">
        <f>IF('Données projet'!$A$166&gt;35,DO59+DN60-DW59,IF(A60&lt;'Données projet'!$A$166,$DL$205^A60,IF(A60='Données projet'!$A$166,'Données projet'!$B$166,DO59+DN60-DW59)))</f>
        <v>300.3739999999998</v>
      </c>
      <c r="DP60" s="17">
        <f>DO60*VLOOKUP('Données projet'!$B$14,Paramètres!$A$1:$I$89,3,0)*VLOOKUP('Données projet'!$B$14,Paramètres!$A$1:$I$89,5,0)</f>
        <v>140.57503199999991</v>
      </c>
      <c r="DQ60" s="13">
        <f t="shared" si="43"/>
        <v>36.42870580902472</v>
      </c>
      <c r="DR60" s="20">
        <f t="shared" si="16"/>
        <v>308.28151001738462</v>
      </c>
      <c r="DS60" s="59">
        <f t="shared" si="17"/>
        <v>595.86770549266646</v>
      </c>
      <c r="DT60" s="59">
        <f ca="1">AVERAGE(OFFSET($DS$3,0,0,'Données projet'!$E$14+1,1))-AVERAGE(OFFSET($H$3,0,0,'Données projet'!$E$14+1,1))</f>
        <v>343.44193069803498</v>
      </c>
      <c r="DU60" s="59">
        <f t="shared" si="44"/>
        <v>280.67367019483481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13.187003730068062</v>
      </c>
      <c r="EB60" s="21">
        <f>EXP(-LN(2)/25)*EB59+(1-EXP(-LN(2)/25))/(LN(2)/25)*Calculateur!DW60*Calculateur!DY60*VLOOKUP('Données projet'!$B$14,Paramètres!$A$1:$I$89,3,0)*0.475*44/12</f>
        <v>18.537554012678662</v>
      </c>
      <c r="EC60" s="21">
        <f>EXP(-LN(2)/2)*EC59+(1-EXP(-LN(2)/2))/(LN(2)/2)*DW60*DZ60*VLOOKUP('Données projet'!$B$14,Paramètres!$A$1:$I$89,3,0)*0.475*44/12</f>
        <v>4.3787420857591028</v>
      </c>
      <c r="ED60" s="22">
        <f t="shared" si="18"/>
        <v>36.103299828505826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4.6153846153846132</v>
      </c>
      <c r="EJ60" s="12">
        <f>IF('Données projet'!$A$192&gt;35,EJ59+EI60-ER59,IF(A60&lt;'Données projet'!$A$192,$EG$205^A60,IF(A60='Données projet'!$A$192,'Données projet'!$B$192,EJ59+EI60-ER59)))</f>
        <v>113.7179487179487</v>
      </c>
      <c r="EK60" s="17">
        <f>EJ60*VLOOKUP('Données projet'!$B$15,Paramètres!$A$1:$I$89,3,0)*VLOOKUP('Données projet'!$B$15,Paramètres!$A$1:$I$89,5,0)</f>
        <v>115.30999999999999</v>
      </c>
      <c r="EL60" s="13">
        <f t="shared" si="45"/>
        <v>30.578608696137529</v>
      </c>
      <c r="EM60" s="20">
        <f t="shared" si="19"/>
        <v>254.08932681243948</v>
      </c>
      <c r="EN60" s="59">
        <f t="shared" si="20"/>
        <v>541.67552228772138</v>
      </c>
      <c r="EO60" s="59">
        <f ca="1">AVERAGE(OFFSET($EN$3,0,0,'Données projet'!$E$15+1,1))-AVERAGE(OFFSET($H$3,0,0,'Données projet'!$E$15+1,1))</f>
        <v>270.0029254736703</v>
      </c>
      <c r="EP60" s="59">
        <f t="shared" si="46"/>
        <v>183.80022202211441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23.379573988793162</v>
      </c>
      <c r="EX60" s="21">
        <f>EXP(-LN(2)/2)*EX59+(1-EXP(-LN(2)/2))/(LN(2)/2)*ER60*EU60*VLOOKUP('Données projet'!$B$15,Paramètres!$A$1:$I$89,3,0)*0.475*44/12</f>
        <v>1.6361312475619996</v>
      </c>
      <c r="EY60" s="22">
        <f t="shared" si="21"/>
        <v>25.01570523635516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5.2</v>
      </c>
      <c r="FE60" s="12">
        <f>IF('Données projet'!$A$218&gt;35,FE59+FD60-FM59,IF(A60&lt;'Données projet'!$A$218,$FB$205^A60,IF(A60='Données projet'!$A$218,'Données projet'!$B$218,FE59+FD60-FM59)))</f>
        <v>229.39999999999986</v>
      </c>
      <c r="FF60" s="17">
        <f>FE60*VLOOKUP('Données projet'!$B$16,Paramètres!$A$1:$I$89,3,0)*VLOOKUP('Données projet'!$B$16,Paramètres!$A$1:$I$89,5,0)</f>
        <v>200.40383999999992</v>
      </c>
      <c r="FG60" s="13">
        <f t="shared" si="47"/>
        <v>49.832909112305636</v>
      </c>
      <c r="FH60" s="20">
        <f t="shared" si="22"/>
        <v>435.82900470393218</v>
      </c>
      <c r="FI60" s="59">
        <f t="shared" si="23"/>
        <v>723.41520017921403</v>
      </c>
      <c r="FJ60" s="59">
        <f ca="1">AVERAGE(OFFSET($FI$3,0,0,'Données projet'!$E$16+1,1))-AVERAGE(OFFSET($H$3,0,0,'Données projet'!$E$16+1,1))</f>
        <v>328.93328163316073</v>
      </c>
      <c r="FK60" s="59">
        <f t="shared" si="48"/>
        <v>320.27831321887072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10.588456964665474</v>
      </c>
      <c r="FR60" s="21">
        <f>EXP(-LN(2)/25)*FR59+(1-EXP(-LN(2)/25))/(LN(2)/25)*Calculateur!FM60*Calculateur!FO60*VLOOKUP('Données projet'!$B$16,Paramètres!$A$1:$I$89,3,0)*0.475*44/12</f>
        <v>14.562962777241168</v>
      </c>
      <c r="FS60" s="21">
        <f>EXP(-LN(2)/2)*FS59+(1-EXP(-LN(2)/2))/(LN(2)/2)*FM60*FP60*VLOOKUP('Données projet'!$B$16,Paramètres!$A$1:$I$89,3,0)*0.475*44/12</f>
        <v>1.739259225913623</v>
      </c>
      <c r="FT60" s="22">
        <f t="shared" si="24"/>
        <v>26.890678967820268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4.6153846153846132</v>
      </c>
      <c r="FZ60" s="12">
        <f>IF('Données projet'!$A$244&gt;35,FZ59+FY60-GH59,IF(A60&lt;'Données projet'!$A$244,$FW$205^A60,IF(A60='Données projet'!$A$244,'Données projet'!$B$244,FZ59+FY60-GH59)))</f>
        <v>113.7179487179487</v>
      </c>
      <c r="GA60" s="17">
        <f>FZ60*VLOOKUP('Données projet'!$B$17,Paramètres!$A$1:$I$89,3,0)*VLOOKUP('Données projet'!$B$17,Paramètres!$A$1:$I$89,5,0)</f>
        <v>76.281999999999982</v>
      </c>
      <c r="GB60" s="13">
        <f t="shared" si="49"/>
        <v>21.225611302223818</v>
      </c>
      <c r="GC60" s="20">
        <f t="shared" si="25"/>
        <v>169.82575635137312</v>
      </c>
      <c r="GD60" s="59">
        <f t="shared" si="26"/>
        <v>457.41195182665496</v>
      </c>
      <c r="GE60" s="59">
        <f ca="1">AVERAGE(OFFSET($GD$3,0,0,'Données projet'!$E$17+1,1))-AVERAGE(OFFSET($H$3,0,0,'Données projet'!$E$17+1,1))</f>
        <v>192.88444860121191</v>
      </c>
      <c r="GF60" s="59">
        <f t="shared" si="50"/>
        <v>136.13737493732751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19.06334494470827</v>
      </c>
      <c r="GN60" s="21">
        <f>EXP(-LN(2)/2)*GN59+(1-EXP(-LN(2)/2))/(LN(2)/2)*GH60*GK60*VLOOKUP('Données projet'!$B$17,Paramètres!$A$1:$I$89,3,0)*0.475*44/12</f>
        <v>1.0823637483871693</v>
      </c>
      <c r="GO60" s="21">
        <f t="shared" si="27"/>
        <v>20.14570869309544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68.432598765985958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0.85000000000000009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3.1166666666666671</v>
      </c>
      <c r="H61" s="67">
        <f t="shared" si="1"/>
        <v>244.19999999999996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785.33691966451067</v>
      </c>
      <c r="S61" s="59">
        <f ca="1">AVERAGE(OFFSET($R$3,0,0,'Données projet'!$E$9+1,1))-AVERAGE(OFFSET($H$3,0,0,'Données projet'!$E$9+1,1))</f>
        <v>643.492472896403</v>
      </c>
      <c r="T61" s="59">
        <f t="shared" si="34"/>
        <v>285.0259479655341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256.19999999999993</v>
      </c>
      <c r="AJ61" s="13">
        <f>AI61*VLOOKUP('Données projet'!$B$10,Paramètres!$A$1:$I$89,3,0)*VLOOKUP('Données projet'!$B$10,Paramètres!$A$1:$I$89,5,0)</f>
        <v>199.83599999999996</v>
      </c>
      <c r="AK61" s="13">
        <f t="shared" si="35"/>
        <v>49.708123768564604</v>
      </c>
      <c r="AL61" s="20">
        <f t="shared" si="4"/>
        <v>434.62268223024995</v>
      </c>
      <c r="AM61" s="59">
        <f t="shared" si="5"/>
        <v>722.30857769869363</v>
      </c>
      <c r="AN61" s="59">
        <f ca="1">AVERAGE(OFFSET($AM$3,0,0,'Données projet'!$E$10+1,1))-AVERAGE(OFFSET($H$3,0,0,'Données projet'!$E$10+1,1))</f>
        <v>289.89907502443873</v>
      </c>
      <c r="AO61" s="59">
        <f t="shared" si="36"/>
        <v>267.42183550360301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4.9937728957266714</v>
      </c>
      <c r="AV61" s="21">
        <f>EXP(-LN(2)/25)*AV60+(1-EXP(-LN(2)/25))/(LN(2)/25)*Calculateur!AQ61*Calculateur!AS61*VLOOKUP('Données projet'!$B$10,Paramètres!$A$1:$I$89,3,0)*0.475*44/12</f>
        <v>12.354624581117092</v>
      </c>
      <c r="AW61" s="21">
        <f>EXP(-LN(2)/2)*AW60+(1-EXP(-LN(2)/2))/(LN(2)/2)*AQ61*AT61*VLOOKUP('Données projet'!$B$10,Paramètres!$A$1:$I$89,3,0)*0.475*44/12</f>
        <v>2.3731302926846407</v>
      </c>
      <c r="AX61" s="21">
        <f t="shared" si="6"/>
        <v>19.721527769528407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2.4358974358974366</v>
      </c>
      <c r="BD61" s="12">
        <f>IF('Données projet'!$A$88&gt;35,BD60+BC61-BL60,IF(A61&lt;'Données projet'!$A$88,$BA$205^A61,IF(A61='Données projet'!$A$88,'Données projet'!$B$88,BD60+BC61-BL60)))</f>
        <v>68.846153846153825</v>
      </c>
      <c r="BE61" s="13">
        <f>BD61*VLOOKUP('Données projet'!$B$11,Paramètres!$A$1:$I$89,3,0)*VLOOKUP('Données projet'!$B$11,Paramètres!$A$1:$I$89,5,0)</f>
        <v>66.58799999999998</v>
      </c>
      <c r="BF61" s="13">
        <f t="shared" si="37"/>
        <v>18.823689251134553</v>
      </c>
      <c r="BG61" s="20">
        <f t="shared" si="7"/>
        <v>148.75869211239265</v>
      </c>
      <c r="BH61" s="59">
        <f t="shared" si="8"/>
        <v>436.44458758083636</v>
      </c>
      <c r="BI61" s="59">
        <f ca="1">AVERAGE(OFFSET($BH$3,0,0,'Données projet'!$E$11+1,1))-AVERAGE(OFFSET($H$3,0,0,'Données projet'!$E$11+1,1))</f>
        <v>177.54241137663234</v>
      </c>
      <c r="BJ61" s="59">
        <f t="shared" si="38"/>
        <v>114.71095021456071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9.6275147429640668</v>
      </c>
      <c r="BR61" s="21">
        <f>EXP(-LN(2)/2)*BR60+(1-EXP(-LN(2)/2))/(LN(2)/2)*BL61*BO61*VLOOKUP('Données projet'!$B$11,Paramètres!$A$1:$I$89,3,0)*0.475*44/12</f>
        <v>0.50089388117255185</v>
      </c>
      <c r="BS61" s="22">
        <f t="shared" si="9"/>
        <v>10.128408624136618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2.4358974358974366</v>
      </c>
      <c r="BY61" s="12">
        <f>IF('Données projet'!$A$114&gt;35,BY60+BX61-CG60,IF(A61&lt;'Données projet'!$A$114,$BV$205^A61,IF(A61='Données projet'!$A$114,'Données projet'!$B$114,BY60+BX61-CG60)))</f>
        <v>68.846153846153825</v>
      </c>
      <c r="BZ61" s="13">
        <f>BY61*VLOOKUP('Données projet'!$B$12,Paramètres!$A$1:$I$89,3,0)*VLOOKUP('Données projet'!$B$12,Paramètres!$A$1:$I$89,5,0)</f>
        <v>74.105999999999966</v>
      </c>
      <c r="CA61" s="13">
        <f t="shared" si="39"/>
        <v>20.68971481611322</v>
      </c>
      <c r="CB61" s="20">
        <f t="shared" si="10"/>
        <v>165.10253663806381</v>
      </c>
      <c r="CC61" s="59">
        <f t="shared" si="11"/>
        <v>452.78843210650746</v>
      </c>
      <c r="CD61" s="59">
        <f ca="1">AVERAGE(OFFSET($CC$3,0,0,'Données projet'!$E$12+1,1))-AVERAGE(OFFSET($H$3,0,0,'Données projet'!$E$12+1,1))</f>
        <v>192.88977161349993</v>
      </c>
      <c r="CE61" s="59">
        <f t="shared" si="40"/>
        <v>122.91376861456772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10.714492213943879</v>
      </c>
      <c r="CM61" s="21">
        <f>EXP(-LN(2)/2)*CM60+(1-EXP(-LN(2)/2))/(LN(2)/2)*CG61*CJ61*VLOOKUP('Données projet'!$B$12,Paramètres!$A$1:$I$89,3,0)*0.475*44/12</f>
        <v>0.5574464161436461</v>
      </c>
      <c r="CN61" s="22">
        <f t="shared" si="12"/>
        <v>11.271938630087526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2.6923076923076907</v>
      </c>
      <c r="CT61" s="12">
        <f>IF('Données projet'!$A$140&gt;35,CT60+CS61-DB60,IF(A61&lt;'Données projet'!$A$140,$CQ$205^A61,IF(A61='Données projet'!$A$140,'Données projet'!$B$140,CT60+CS61-DB60)))</f>
        <v>97.179487179487154</v>
      </c>
      <c r="CU61" s="17">
        <f>CT61*VLOOKUP('Données projet'!$B$13,Paramètres!$A$1:$I$89,3,0)*VLOOKUP('Données projet'!$B$13,Paramètres!$A$1:$I$89,5,0)</f>
        <v>78.831999999999994</v>
      </c>
      <c r="CV61" s="13">
        <f t="shared" si="41"/>
        <v>21.851358063068435</v>
      </c>
      <c r="CW61" s="20">
        <f t="shared" si="13"/>
        <v>175.35684862651081</v>
      </c>
      <c r="CX61" s="59">
        <f t="shared" si="14"/>
        <v>463.04274409495451</v>
      </c>
      <c r="CY61" s="59">
        <f ca="1">AVERAGE(OFFSET($CX$3,0,0,'Données projet'!$E$13+1,1))-AVERAGE(OFFSET($H$3,0,0,'Données projet'!$E$13+1,1))</f>
        <v>163.16040389635825</v>
      </c>
      <c r="CZ61" s="59">
        <f t="shared" si="42"/>
        <v>138.57856782158811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2.9818659009225992</v>
      </c>
      <c r="DH61" s="21">
        <f>EXP(-LN(2)/2)*DH60+(1-EXP(-LN(2)/2))/(LN(2)/2)*DB61*DE61*VLOOKUP('Données projet'!$B$13,Paramètres!$A$1:$I$89,3,0)*0.475*44/12</f>
        <v>0.57916374766554013</v>
      </c>
      <c r="DI61" s="22">
        <f t="shared" si="15"/>
        <v>3.5610296485881392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12.999000000000001</v>
      </c>
      <c r="DO61" s="12">
        <f>IF('Données projet'!$A$166&gt;35,DO60+DN61-DW60,IF(A61&lt;'Données projet'!$A$166,$DL$205^A61,IF(A61='Données projet'!$A$166,'Données projet'!$B$166,DO60+DN61-DW60)))</f>
        <v>313.37299999999982</v>
      </c>
      <c r="DP61" s="17">
        <f>DO61*VLOOKUP('Données projet'!$B$14,Paramètres!$A$1:$I$89,3,0)*VLOOKUP('Données projet'!$B$14,Paramètres!$A$1:$I$89,5,0)</f>
        <v>146.6585639999999</v>
      </c>
      <c r="DQ61" s="13">
        <f t="shared" si="43"/>
        <v>37.81823955666578</v>
      </c>
      <c r="DR61" s="20">
        <f t="shared" si="16"/>
        <v>321.29709952785942</v>
      </c>
      <c r="DS61" s="59">
        <f t="shared" si="17"/>
        <v>608.98299499630309</v>
      </c>
      <c r="DT61" s="59">
        <f ca="1">AVERAGE(OFFSET($DS$3,0,0,'Données projet'!$E$14+1,1))-AVERAGE(OFFSET($H$3,0,0,'Données projet'!$E$14+1,1))</f>
        <v>343.44193069803498</v>
      </c>
      <c r="DU61" s="59">
        <f t="shared" si="44"/>
        <v>280.67367019483481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12.928414630199494</v>
      </c>
      <c r="EB61" s="21">
        <f>EXP(-LN(2)/25)*EB60+(1-EXP(-LN(2)/25))/(LN(2)/25)*Calculateur!DW61*Calculateur!DY61*VLOOKUP('Données projet'!$B$14,Paramètres!$A$1:$I$89,3,0)*0.475*44/12</f>
        <v>18.030643623354365</v>
      </c>
      <c r="EC61" s="21">
        <f>EXP(-LN(2)/2)*EC60+(1-EXP(-LN(2)/2))/(LN(2)/2)*DW61*DZ61*VLOOKUP('Données projet'!$B$14,Paramètres!$A$1:$I$89,3,0)*0.475*44/12</f>
        <v>3.0962382219071887</v>
      </c>
      <c r="ED61" s="22">
        <f t="shared" si="18"/>
        <v>34.055296475461049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4.6153846153846132</v>
      </c>
      <c r="EJ61" s="12">
        <f>IF('Données projet'!$A$192&gt;35,EJ60+EI61-ER60,IF(A61&lt;'Données projet'!$A$192,$EG$205^A61,IF(A61='Données projet'!$A$192,'Données projet'!$B$192,EJ60+EI61-ER60)))</f>
        <v>118.33333333333331</v>
      </c>
      <c r="EK61" s="17">
        <f>EJ61*VLOOKUP('Données projet'!$B$15,Paramètres!$A$1:$I$89,3,0)*VLOOKUP('Données projet'!$B$15,Paramètres!$A$1:$I$89,5,0)</f>
        <v>119.99</v>
      </c>
      <c r="EL61" s="13">
        <f t="shared" si="45"/>
        <v>31.672666947029501</v>
      </c>
      <c r="EM61" s="20">
        <f t="shared" si="19"/>
        <v>264.14581159940968</v>
      </c>
      <c r="EN61" s="59">
        <f t="shared" si="20"/>
        <v>551.83170706785336</v>
      </c>
      <c r="EO61" s="59">
        <f ca="1">AVERAGE(OFFSET($EN$3,0,0,'Données projet'!$E$15+1,1))-AVERAGE(OFFSET($H$3,0,0,'Données projet'!$E$15+1,1))</f>
        <v>270.0029254736703</v>
      </c>
      <c r="EP61" s="59">
        <f t="shared" si="46"/>
        <v>183.80022202211441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22.740258308591251</v>
      </c>
      <c r="EX61" s="21">
        <f>EXP(-LN(2)/2)*EX60+(1-EXP(-LN(2)/2))/(LN(2)/2)*ER61*EU61*VLOOKUP('Données projet'!$B$15,Paramètres!$A$1:$I$89,3,0)*0.475*44/12</f>
        <v>1.1569195000622958</v>
      </c>
      <c r="EY61" s="22">
        <f t="shared" si="21"/>
        <v>23.897177808653545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5.2</v>
      </c>
      <c r="FE61" s="12">
        <f>IF('Données projet'!$A$218&gt;35,FE60+FD61-FM60,IF(A61&lt;'Données projet'!$A$218,$FB$205^A61,IF(A61='Données projet'!$A$218,'Données projet'!$B$218,FE60+FD61-FM60)))</f>
        <v>234.59999999999985</v>
      </c>
      <c r="FF61" s="17">
        <f>FE61*VLOOKUP('Données projet'!$B$16,Paramètres!$A$1:$I$89,3,0)*VLOOKUP('Données projet'!$B$16,Paramètres!$A$1:$I$89,5,0)</f>
        <v>204.94655999999989</v>
      </c>
      <c r="FG61" s="13">
        <f t="shared" si="47"/>
        <v>50.829721281867236</v>
      </c>
      <c r="FH61" s="20">
        <f t="shared" si="22"/>
        <v>445.47702323258522</v>
      </c>
      <c r="FI61" s="59">
        <f t="shared" si="23"/>
        <v>733.16291870102896</v>
      </c>
      <c r="FJ61" s="59">
        <f ca="1">AVERAGE(OFFSET($FI$3,0,0,'Données projet'!$E$16+1,1))-AVERAGE(OFFSET($H$3,0,0,'Données projet'!$E$16+1,1))</f>
        <v>328.93328163316073</v>
      </c>
      <c r="FK61" s="59">
        <f t="shared" si="48"/>
        <v>320.27831321887072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10.380823781909426</v>
      </c>
      <c r="FR61" s="21">
        <f>EXP(-LN(2)/25)*FR60+(1-EXP(-LN(2)/25))/(LN(2)/25)*Calculateur!FM61*Calculateur!FO61*VLOOKUP('Données projet'!$B$16,Paramètres!$A$1:$I$89,3,0)*0.475*44/12</f>
        <v>14.16473779426458</v>
      </c>
      <c r="FS61" s="21">
        <f>EXP(-LN(2)/2)*FS60+(1-EXP(-LN(2)/2))/(LN(2)/2)*FM61*FP61*VLOOKUP('Données projet'!$B$16,Paramètres!$A$1:$I$89,3,0)*0.475*44/12</f>
        <v>1.2298419928847883</v>
      </c>
      <c r="FT61" s="22">
        <f t="shared" si="24"/>
        <v>25.775403569058795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4.6153846153846132</v>
      </c>
      <c r="FZ61" s="12">
        <f>IF('Données projet'!$A$244&gt;35,FZ60+FY61-GH60,IF(A61&lt;'Données projet'!$A$244,$FW$205^A61,IF(A61='Données projet'!$A$244,'Données projet'!$B$244,FZ60+FY61-GH60)))</f>
        <v>118.33333333333331</v>
      </c>
      <c r="GA61" s="17">
        <f>FZ61*VLOOKUP('Données projet'!$B$17,Paramètres!$A$1:$I$89,3,0)*VLOOKUP('Données projet'!$B$17,Paramètres!$A$1:$I$89,5,0)</f>
        <v>79.377999999999986</v>
      </c>
      <c r="GB61" s="13">
        <f t="shared" si="49"/>
        <v>21.985032877161508</v>
      </c>
      <c r="GC61" s="20">
        <f t="shared" si="25"/>
        <v>176.54061559438958</v>
      </c>
      <c r="GD61" s="59">
        <f t="shared" si="26"/>
        <v>464.22651106283325</v>
      </c>
      <c r="GE61" s="59">
        <f ca="1">AVERAGE(OFFSET($GD$3,0,0,'Données projet'!$E$17+1,1))-AVERAGE(OFFSET($H$3,0,0,'Données projet'!$E$17+1,1))</f>
        <v>192.88444860121191</v>
      </c>
      <c r="GF61" s="59">
        <f t="shared" si="50"/>
        <v>136.13737493732751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18.542056774697482</v>
      </c>
      <c r="GN61" s="21">
        <f>EXP(-LN(2)/2)*GN60+(1-EXP(-LN(2)/2))/(LN(2)/2)*GH61*GK61*VLOOKUP('Données projet'!$B$17,Paramètres!$A$1:$I$89,3,0)*0.475*44/12</f>
        <v>0.7653467461950576</v>
      </c>
      <c r="GO61" s="21">
        <f t="shared" si="27"/>
        <v>19.307403520892539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68.459789673211915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0.85000000000000009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3.1166666666666671</v>
      </c>
      <c r="H62" s="67">
        <f t="shared" si="1"/>
        <v>244.19999999999996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713.09206386845131</v>
      </c>
      <c r="S62" s="59">
        <f ca="1">AVERAGE(OFFSET($R$3,0,0,'Données projet'!$E$9+1,1))-AVERAGE(OFFSET($H$3,0,0,'Données projet'!$E$9+1,1))</f>
        <v>643.492472896403</v>
      </c>
      <c r="T62" s="59">
        <f t="shared" si="34"/>
        <v>285.0259479655341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205.60799999999995</v>
      </c>
      <c r="AK62" s="13">
        <f t="shared" si="35"/>
        <v>50.97464576911181</v>
      </c>
      <c r="AL62" s="20">
        <f t="shared" si="4"/>
        <v>446.88144138120293</v>
      </c>
      <c r="AM62" s="59">
        <f t="shared" si="5"/>
        <v>734.66530727082284</v>
      </c>
      <c r="AN62" s="59">
        <f ca="1">AVERAGE(OFFSET($AM$3,0,0,'Données projet'!$E$10+1,1))-AVERAGE(OFFSET($H$3,0,0,'Données projet'!$E$10+1,1))</f>
        <v>289.89907502443873</v>
      </c>
      <c r="AO62" s="59">
        <f t="shared" si="36"/>
        <v>267.42183550360301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4.8958480551421797</v>
      </c>
      <c r="AV62" s="21">
        <f>EXP(-LN(2)/25)*AV61+(1-EXP(-LN(2)/25))/(LN(2)/25)*Calculateur!AQ62*Calculateur!AS62*VLOOKUP('Données projet'!$B$10,Paramètres!$A$1:$I$89,3,0)*0.475*44/12</f>
        <v>12.016786722244975</v>
      </c>
      <c r="AW62" s="21">
        <f>EXP(-LN(2)/2)*AW61+(1-EXP(-LN(2)/2))/(LN(2)/2)*AQ62*AT62*VLOOKUP('Données projet'!$B$10,Paramètres!$A$1:$I$89,3,0)*0.475*44/12</f>
        <v>1.6780565225965258</v>
      </c>
      <c r="AX62" s="21">
        <f t="shared" si="6"/>
        <v>18.590691299983682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2.4358974358974366</v>
      </c>
      <c r="BD62" s="12">
        <f>IF('Données projet'!$A$88&gt;35,BD61+BC62-BL61,IF(A62&lt;'Données projet'!$A$88,$BA$205^A62,IF(A62='Données projet'!$A$88,'Données projet'!$B$88,BD61+BC62-BL61)))</f>
        <v>71.282051282051256</v>
      </c>
      <c r="BE62" s="13">
        <f>BD62*VLOOKUP('Données projet'!$B$11,Paramètres!$A$1:$I$89,3,0)*VLOOKUP('Données projet'!$B$11,Paramètres!$A$1:$I$89,5,0)</f>
        <v>68.943999999999974</v>
      </c>
      <c r="BF62" s="13">
        <f t="shared" si="37"/>
        <v>19.410984004776843</v>
      </c>
      <c r="BG62" s="20">
        <f t="shared" si="7"/>
        <v>153.88493047498628</v>
      </c>
      <c r="BH62" s="59">
        <f t="shared" si="8"/>
        <v>441.66879636460618</v>
      </c>
      <c r="BI62" s="59">
        <f ca="1">AVERAGE(OFFSET($BH$3,0,0,'Données projet'!$E$11+1,1))-AVERAGE(OFFSET($H$3,0,0,'Données projet'!$E$11+1,1))</f>
        <v>177.54241137663234</v>
      </c>
      <c r="BJ62" s="59">
        <f t="shared" si="38"/>
        <v>114.71095021456071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9.3642498460287182</v>
      </c>
      <c r="BR62" s="21">
        <f>EXP(-LN(2)/2)*BR61+(1-EXP(-LN(2)/2))/(LN(2)/2)*BL62*BO62*VLOOKUP('Données projet'!$B$11,Paramètres!$A$1:$I$89,3,0)*0.475*44/12</f>
        <v>0.35418546003196016</v>
      </c>
      <c r="BS62" s="22">
        <f t="shared" si="9"/>
        <v>9.7184353060606785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2.4358974358974366</v>
      </c>
      <c r="BY62" s="12">
        <f>IF('Données projet'!$A$114&gt;35,BY61+BX62-CG61,IF(A62&lt;'Données projet'!$A$114,$BV$205^A62,IF(A62='Données projet'!$A$114,'Données projet'!$B$114,BY61+BX62-CG61)))</f>
        <v>71.282051282051256</v>
      </c>
      <c r="BZ62" s="13">
        <f>BY62*VLOOKUP('Données projet'!$B$12,Paramètres!$A$1:$I$89,3,0)*VLOOKUP('Données projet'!$B$12,Paramètres!$A$1:$I$89,5,0)</f>
        <v>76.727999999999966</v>
      </c>
      <c r="CA62" s="13">
        <f t="shared" si="39"/>
        <v>21.335229136061209</v>
      </c>
      <c r="CB62" s="20">
        <f t="shared" si="10"/>
        <v>170.79345741197324</v>
      </c>
      <c r="CC62" s="59">
        <f t="shared" si="11"/>
        <v>458.57732330159314</v>
      </c>
      <c r="CD62" s="59">
        <f ca="1">AVERAGE(OFFSET($CC$3,0,0,'Données projet'!$E$12+1,1))-AVERAGE(OFFSET($H$3,0,0,'Données projet'!$E$12+1,1))</f>
        <v>192.88977161349993</v>
      </c>
      <c r="CE62" s="59">
        <f t="shared" si="40"/>
        <v>122.91376861456772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10.421503860902927</v>
      </c>
      <c r="CM62" s="21">
        <f>EXP(-LN(2)/2)*CM61+(1-EXP(-LN(2)/2))/(LN(2)/2)*CG62*CJ62*VLOOKUP('Données projet'!$B$12,Paramètres!$A$1:$I$89,3,0)*0.475*44/12</f>
        <v>0.39417414100331027</v>
      </c>
      <c r="CN62" s="22">
        <f t="shared" si="12"/>
        <v>10.815678001906237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2.6923076923076907</v>
      </c>
      <c r="CT62" s="12">
        <f>IF('Données projet'!$A$140&gt;35,CT61+CS62-DB61,IF(A62&lt;'Données projet'!$A$140,$CQ$205^A62,IF(A62='Données projet'!$A$140,'Données projet'!$B$140,CT61+CS62-DB61)))</f>
        <v>99.871794871794847</v>
      </c>
      <c r="CU62" s="17">
        <f>CT62*VLOOKUP('Données projet'!$B$13,Paramètres!$A$1:$I$89,3,0)*VLOOKUP('Données projet'!$B$13,Paramètres!$A$1:$I$89,5,0)</f>
        <v>81.015999999999991</v>
      </c>
      <c r="CV62" s="13">
        <f t="shared" si="41"/>
        <v>22.385418657388872</v>
      </c>
      <c r="CW62" s="20">
        <f t="shared" si="13"/>
        <v>180.09080416161893</v>
      </c>
      <c r="CX62" s="59">
        <f t="shared" si="14"/>
        <v>467.87467005123881</v>
      </c>
      <c r="CY62" s="59">
        <f ca="1">AVERAGE(OFFSET($CX$3,0,0,'Données projet'!$E$13+1,1))-AVERAGE(OFFSET($H$3,0,0,'Données projet'!$E$13+1,1))</f>
        <v>163.16040389635825</v>
      </c>
      <c r="CZ62" s="59">
        <f t="shared" si="42"/>
        <v>138.57856782158811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2.9003266210523582</v>
      </c>
      <c r="DH62" s="21">
        <f>EXP(-LN(2)/2)*DH61+(1-EXP(-LN(2)/2))/(LN(2)/2)*DB62*DE62*VLOOKUP('Données projet'!$B$13,Paramètres!$A$1:$I$89,3,0)*0.475*44/12</f>
        <v>0.40953061339171792</v>
      </c>
      <c r="DI62" s="22">
        <f t="shared" si="15"/>
        <v>3.3098572344440762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12.999000000000001</v>
      </c>
      <c r="DO62" s="12">
        <f>IF('Données projet'!$A$166&gt;35,DO61+DN62-DW61,IF(A62&lt;'Données projet'!$A$166,$DL$205^A62,IF(A62='Données projet'!$A$166,'Données projet'!$B$166,DO61+DN62-DW61)))</f>
        <v>326.37199999999984</v>
      </c>
      <c r="DP62" s="17">
        <f>DO62*VLOOKUP('Données projet'!$B$14,Paramètres!$A$1:$I$89,3,0)*VLOOKUP('Données projet'!$B$14,Paramètres!$A$1:$I$89,5,0)</f>
        <v>152.74209599999995</v>
      </c>
      <c r="DQ62" s="13">
        <f t="shared" si="43"/>
        <v>39.201078252346029</v>
      </c>
      <c r="DR62" s="20">
        <f t="shared" si="16"/>
        <v>334.30102848950258</v>
      </c>
      <c r="DS62" s="59">
        <f t="shared" si="17"/>
        <v>622.08489437912249</v>
      </c>
      <c r="DT62" s="59">
        <f ca="1">AVERAGE(OFFSET($DS$3,0,0,'Données projet'!$E$14+1,1))-AVERAGE(OFFSET($H$3,0,0,'Données projet'!$E$14+1,1))</f>
        <v>343.44193069803498</v>
      </c>
      <c r="DU62" s="59">
        <f t="shared" si="44"/>
        <v>280.67367019483481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12.674896304855572</v>
      </c>
      <c r="EB62" s="21">
        <f>EXP(-LN(2)/25)*EB61+(1-EXP(-LN(2)/25))/(LN(2)/25)*Calculateur!DW62*Calculateur!DY62*VLOOKUP('Données projet'!$B$14,Paramètres!$A$1:$I$89,3,0)*0.475*44/12</f>
        <v>17.537594725283402</v>
      </c>
      <c r="EC62" s="21">
        <f>EXP(-LN(2)/2)*EC61+(1-EXP(-LN(2)/2))/(LN(2)/2)*DW62*DZ62*VLOOKUP('Données projet'!$B$14,Paramètres!$A$1:$I$89,3,0)*0.475*44/12</f>
        <v>2.1893710428795514</v>
      </c>
      <c r="ED62" s="22">
        <f t="shared" si="18"/>
        <v>32.401862073018528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4.6153846153846132</v>
      </c>
      <c r="EJ62" s="12">
        <f>IF('Données projet'!$A$192&gt;35,EJ61+EI62-ER61,IF(A62&lt;'Données projet'!$A$192,$EG$205^A62,IF(A62='Données projet'!$A$192,'Données projet'!$B$192,EJ61+EI62-ER61)))</f>
        <v>122.94871794871793</v>
      </c>
      <c r="EK62" s="17">
        <f>EJ62*VLOOKUP('Données projet'!$B$15,Paramètres!$A$1:$I$89,3,0)*VLOOKUP('Données projet'!$B$15,Paramètres!$A$1:$I$89,5,0)</f>
        <v>124.66999999999999</v>
      </c>
      <c r="EL62" s="13">
        <f t="shared" si="45"/>
        <v>32.7617681277165</v>
      </c>
      <c r="EM62" s="20">
        <f t="shared" si="19"/>
        <v>274.19366282243953</v>
      </c>
      <c r="EN62" s="59">
        <f t="shared" si="20"/>
        <v>561.97752871205944</v>
      </c>
      <c r="EO62" s="59">
        <f ca="1">AVERAGE(OFFSET($EN$3,0,0,'Données projet'!$E$15+1,1))-AVERAGE(OFFSET($H$3,0,0,'Données projet'!$E$15+1,1))</f>
        <v>270.0029254736703</v>
      </c>
      <c r="EP62" s="59">
        <f t="shared" si="46"/>
        <v>183.80022202211441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22.118424749284614</v>
      </c>
      <c r="EX62" s="21">
        <f>EXP(-LN(2)/2)*EX61+(1-EXP(-LN(2)/2))/(LN(2)/2)*ER62*EU62*VLOOKUP('Données projet'!$B$15,Paramètres!$A$1:$I$89,3,0)*0.475*44/12</f>
        <v>0.81806562378099978</v>
      </c>
      <c r="EY62" s="22">
        <f t="shared" si="21"/>
        <v>22.936490373065613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5.2</v>
      </c>
      <c r="FE62" s="12">
        <f>IF('Données projet'!$A$218&gt;35,FE61+FD62-FM61,IF(A62&lt;'Données projet'!$A$218,$FB$205^A62,IF(A62='Données projet'!$A$218,'Données projet'!$B$218,FE61+FD62-FM61)))</f>
        <v>239.79999999999984</v>
      </c>
      <c r="FF62" s="17">
        <f>FE62*VLOOKUP('Données projet'!$B$16,Paramètres!$A$1:$I$89,3,0)*VLOOKUP('Données projet'!$B$16,Paramètres!$A$1:$I$89,5,0)</f>
        <v>209.48927999999989</v>
      </c>
      <c r="FG62" s="13">
        <f t="shared" si="47"/>
        <v>51.823964717594365</v>
      </c>
      <c r="FH62" s="20">
        <f t="shared" si="22"/>
        <v>455.12056788314334</v>
      </c>
      <c r="FI62" s="59">
        <f t="shared" si="23"/>
        <v>742.90443377276324</v>
      </c>
      <c r="FJ62" s="59">
        <f ca="1">AVERAGE(OFFSET($FI$3,0,0,'Données projet'!$E$16+1,1))-AVERAGE(OFFSET($H$3,0,0,'Données projet'!$E$16+1,1))</f>
        <v>328.93328163316073</v>
      </c>
      <c r="FK62" s="59">
        <f t="shared" si="48"/>
        <v>320.27831321887072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10.177262159223487</v>
      </c>
      <c r="FR62" s="21">
        <f>EXP(-LN(2)/25)*FR61+(1-EXP(-LN(2)/25))/(LN(2)/25)*Calculateur!FM62*Calculateur!FO62*VLOOKUP('Données projet'!$B$16,Paramètres!$A$1:$I$89,3,0)*0.475*44/12</f>
        <v>13.777402294389228</v>
      </c>
      <c r="FS62" s="21">
        <f>EXP(-LN(2)/2)*FS61+(1-EXP(-LN(2)/2))/(LN(2)/2)*FM62*FP62*VLOOKUP('Données projet'!$B$16,Paramètres!$A$1:$I$89,3,0)*0.475*44/12</f>
        <v>0.86962961295681163</v>
      </c>
      <c r="FT62" s="22">
        <f t="shared" si="24"/>
        <v>24.824294066569525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4.6153846153846132</v>
      </c>
      <c r="FZ62" s="12">
        <f>IF('Données projet'!$A$244&gt;35,FZ61+FY62-GH61,IF(A62&lt;'Données projet'!$A$244,$FW$205^A62,IF(A62='Données projet'!$A$244,'Données projet'!$B$244,FZ61+FY62-GH61)))</f>
        <v>122.94871794871793</v>
      </c>
      <c r="GA62" s="17">
        <f>FZ62*VLOOKUP('Données projet'!$B$17,Paramètres!$A$1:$I$89,3,0)*VLOOKUP('Données projet'!$B$17,Paramètres!$A$1:$I$89,5,0)</f>
        <v>82.47399999999999</v>
      </c>
      <c r="GB62" s="13">
        <f t="shared" si="49"/>
        <v>22.741013587721927</v>
      </c>
      <c r="GC62" s="20">
        <f t="shared" si="25"/>
        <v>183.24948199861566</v>
      </c>
      <c r="GD62" s="59">
        <f t="shared" si="26"/>
        <v>471.03334788823554</v>
      </c>
      <c r="GE62" s="59">
        <f ca="1">AVERAGE(OFFSET($GD$3,0,0,'Données projet'!$E$17+1,1))-AVERAGE(OFFSET($H$3,0,0,'Données projet'!$E$17+1,1))</f>
        <v>192.88444860121191</v>
      </c>
      <c r="GF62" s="59">
        <f t="shared" si="50"/>
        <v>136.13737493732751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18.035023257108993</v>
      </c>
      <c r="GN62" s="21">
        <f>EXP(-LN(2)/2)*GN61+(1-EXP(-LN(2)/2))/(LN(2)/2)*GH62*GK62*VLOOKUP('Données projet'!$B$17,Paramètres!$A$1:$I$89,3,0)*0.475*44/12</f>
        <v>0.54118187419358477</v>
      </c>
      <c r="GO62" s="21">
        <f t="shared" si="27"/>
        <v>18.576205131302576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68.486508878987252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0.85000000000000009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3.1166666666666671</v>
      </c>
      <c r="H63" s="67">
        <f t="shared" si="1"/>
        <v>244.19999999999996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732.61682122078503</v>
      </c>
      <c r="S63" s="59">
        <f ca="1">AVERAGE(OFFSET($R$3,0,0,'Données projet'!$E$9+1,1))-AVERAGE(OFFSET($H$3,0,0,'Données projet'!$E$9+1,1))</f>
        <v>643.492472896403</v>
      </c>
      <c r="T63" s="59">
        <f t="shared" si="34"/>
        <v>285.0259479655341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271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270.99999999999989</v>
      </c>
      <c r="AJ63" s="13">
        <f>AI63*VLOOKUP('Données projet'!$B$10,Paramètres!$A$1:$I$89,3,0)*VLOOKUP('Données projet'!$B$10,Paramètres!$A$1:$I$89,5,0)</f>
        <v>211.37999999999991</v>
      </c>
      <c r="AK63" s="13">
        <f t="shared" si="35"/>
        <v>52.237035364084207</v>
      </c>
      <c r="AL63" s="20">
        <f t="shared" si="4"/>
        <v>459.1330032591132</v>
      </c>
      <c r="AM63" s="59">
        <f t="shared" si="5"/>
        <v>747.01314000213097</v>
      </c>
      <c r="AN63" s="59">
        <f ca="1">AVERAGE(OFFSET($AM$3,0,0,'Données projet'!$E$10+1,1))-AVERAGE(OFFSET($H$3,0,0,'Données projet'!$E$10+1,1))</f>
        <v>289.89907502443873</v>
      </c>
      <c r="AO63" s="59">
        <f t="shared" si="36"/>
        <v>267.42183550360301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27</v>
      </c>
      <c r="AR63" s="16">
        <f>IF(ISNA(VLOOKUP(A63,'Données projet'!$A$61:$I$81,5,0)),0%,VLOOKUP(A63,'Données projet'!$A$61:$I$81,5,0)*VLOOKUP('Données projet'!$B$10,Paramètres!$A$1:$I$89,7,0))</f>
        <v>0.1075</v>
      </c>
      <c r="AS63" s="16">
        <f>IF(ISNA(VLOOKUP(A63,'Données projet'!$A$61:$I$81,6,0)),0%,VLOOKUP(A63,'Données projet'!$A$61:$I$81,6,0)*VLOOKUP('Données projet'!$B$10,Paramètres!$A$1:$I$89,7,0))</f>
        <v>0.1075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7.3025731266969176</v>
      </c>
      <c r="AV63" s="21">
        <f>EXP(-LN(2)/25)*AV62+(1-EXP(-LN(2)/25))/(LN(2)/25)*Calculateur!AQ63*Calculateur!AS63*VLOOKUP('Données projet'!$B$10,Paramètres!$A$1:$I$89,3,0)*0.475*44/12</f>
        <v>14.181062522824661</v>
      </c>
      <c r="AW63" s="21">
        <f>EXP(-LN(2)/2)*AW62+(1-EXP(-LN(2)/2))/(LN(2)/2)*AQ63*AT63*VLOOKUP('Données projet'!$B$10,Paramètres!$A$1:$I$89,3,0)*0.475*44/12</f>
        <v>6.1542343517396905</v>
      </c>
      <c r="AX63" s="21">
        <f t="shared" si="6"/>
        <v>27.63787000126127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73.717948717948715</v>
      </c>
      <c r="BB63" s="12">
        <f>VLOOKUP(A63,'Données projet'!$A$87:$I$107,9,0)</f>
        <v>2.4358974358974366</v>
      </c>
      <c r="BC63" s="12">
        <f t="array" ref="BC63">INDEX(BB:BB,MIN(IF(ISNUMBER(BB63:BB259),ROW(BB63:BB259),"")))</f>
        <v>2.4358974358974366</v>
      </c>
      <c r="BD63" s="12">
        <f>IF('Données projet'!$A$88&gt;35,BD62+BC63-BL62,IF(A63&lt;'Données projet'!$A$88,$BA$205^A63,IF(A63='Données projet'!$A$88,'Données projet'!$B$88,BD62+BC63-BL62)))</f>
        <v>73.717948717948687</v>
      </c>
      <c r="BE63" s="13">
        <f>BD63*VLOOKUP('Données projet'!$B$11,Paramètres!$A$1:$I$89,3,0)*VLOOKUP('Données projet'!$B$11,Paramètres!$A$1:$I$89,5,0)</f>
        <v>71.299999999999969</v>
      </c>
      <c r="BF63" s="13">
        <f t="shared" si="37"/>
        <v>19.995946837849424</v>
      </c>
      <c r="BG63" s="20">
        <f t="shared" si="7"/>
        <v>159.00710740925433</v>
      </c>
      <c r="BH63" s="59">
        <f t="shared" si="8"/>
        <v>446.8872441522721</v>
      </c>
      <c r="BI63" s="59">
        <f ca="1">AVERAGE(OFFSET($BH$3,0,0,'Données projet'!$E$11+1,1))-AVERAGE(OFFSET($H$3,0,0,'Données projet'!$E$11+1,1))</f>
        <v>177.54241137663234</v>
      </c>
      <c r="BJ63" s="59">
        <f t="shared" si="38"/>
        <v>114.71095021456071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6.4102564102564097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0.34400000000000003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11.45664781781365</v>
      </c>
      <c r="BR63" s="21">
        <f>EXP(-LN(2)/2)*BR62+(1-EXP(-LN(2)/2))/(LN(2)/2)*BL63*BO63*VLOOKUP('Données projet'!$B$11,Paramètres!$A$1:$I$89,3,0)*0.475*44/12</f>
        <v>1.4204203146969574</v>
      </c>
      <c r="BS63" s="22">
        <f t="shared" si="9"/>
        <v>12.877068132510608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73.717948717948715</v>
      </c>
      <c r="BW63" s="12">
        <f>VLOOKUP(A63,'Données projet'!$A$113:$I$133,9,0)</f>
        <v>2.4358974358974366</v>
      </c>
      <c r="BX63" s="12">
        <f t="array" ref="BX63">INDEX(BW:BW,MIN(IF(ISNUMBER(BW63:BW259),ROW(BW63:BW259),"")))</f>
        <v>2.4358974358974366</v>
      </c>
      <c r="BY63" s="12">
        <f>IF('Données projet'!$A$114&gt;35,BY62+BX63-CG62,IF(A63&lt;'Données projet'!$A$114,$BV$205^A63,IF(A63='Données projet'!$A$114,'Données projet'!$B$114,BY62+BX63-CG62)))</f>
        <v>73.717948717948687</v>
      </c>
      <c r="BZ63" s="13">
        <f>BY63*VLOOKUP('Données projet'!$B$12,Paramètres!$A$1:$I$89,3,0)*VLOOKUP('Données projet'!$B$12,Paramètres!$A$1:$I$89,5,0)</f>
        <v>79.349999999999966</v>
      </c>
      <c r="CA63" s="13">
        <f t="shared" si="39"/>
        <v>21.978180368034391</v>
      </c>
      <c r="CB63" s="20">
        <f t="shared" si="10"/>
        <v>176.47991414099315</v>
      </c>
      <c r="CC63" s="59">
        <f t="shared" si="11"/>
        <v>464.36005088401089</v>
      </c>
      <c r="CD63" s="59">
        <f ca="1">AVERAGE(OFFSET($CC$3,0,0,'Données projet'!$E$12+1,1))-AVERAGE(OFFSET($H$3,0,0,'Données projet'!$E$12+1,1))</f>
        <v>192.88977161349993</v>
      </c>
      <c r="CE63" s="59">
        <f t="shared" si="40"/>
        <v>122.91376861456772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6.4102564102564097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0.34400000000000003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12.750140313373254</v>
      </c>
      <c r="CM63" s="21">
        <f>EXP(-LN(2)/2)*CM62+(1-EXP(-LN(2)/2))/(LN(2)/2)*CG63*CJ63*VLOOKUP('Données projet'!$B$12,Paramètres!$A$1:$I$89,3,0)*0.475*44/12</f>
        <v>1.5807903502272587</v>
      </c>
      <c r="CN63" s="22">
        <f t="shared" si="12"/>
        <v>14.330930663600514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102.56410256410257</v>
      </c>
      <c r="CR63" s="12">
        <f>VLOOKUP(A63,'Données projet'!$A$139:$I$159,9,0)</f>
        <v>2.6923076923076907</v>
      </c>
      <c r="CS63" s="12">
        <f t="array" ref="CS63">INDEX(CR:CR,MIN(IF(ISNUMBER(CR63:CR259),ROW(CR63:CR259),"")))</f>
        <v>2.6923076923076907</v>
      </c>
      <c r="CT63" s="12">
        <f>IF('Données projet'!$A$140&gt;35,CT62+CS63-DB62,IF(A63&lt;'Données projet'!$A$140,$CQ$205^A63,IF(A63='Données projet'!$A$140,'Données projet'!$B$140,CT62+CS63-DB62)))</f>
        <v>102.56410256410254</v>
      </c>
      <c r="CU63" s="17">
        <f>CT63*VLOOKUP('Données projet'!$B$13,Paramètres!$A$1:$I$89,3,0)*VLOOKUP('Données projet'!$B$13,Paramètres!$A$1:$I$89,5,0)</f>
        <v>83.199999999999989</v>
      </c>
      <c r="CV63" s="13">
        <f t="shared" si="41"/>
        <v>22.917805851806389</v>
      </c>
      <c r="CW63" s="20">
        <f t="shared" si="13"/>
        <v>184.82184519189613</v>
      </c>
      <c r="CX63" s="59">
        <f t="shared" si="14"/>
        <v>472.70198193491387</v>
      </c>
      <c r="CY63" s="59">
        <f ca="1">AVERAGE(OFFSET($CX$3,0,0,'Données projet'!$E$13+1,1))-AVERAGE(OFFSET($H$3,0,0,'Données projet'!$E$13+1,1))</f>
        <v>163.16040389635825</v>
      </c>
      <c r="CZ63" s="59">
        <f t="shared" si="42"/>
        <v>138.57856782158811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7.0512820512820511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0.1075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3.4980943239863573</v>
      </c>
      <c r="DH63" s="21">
        <f>EXP(-LN(2)/2)*DH62+(1-EXP(-LN(2)/2))/(LN(2)/2)*DB63*DE63*VLOOKUP('Données projet'!$B$13,Paramètres!$A$1:$I$89,3,0)*0.475*44/12</f>
        <v>1.6388253617184754</v>
      </c>
      <c r="DI63" s="22">
        <f t="shared" si="15"/>
        <v>5.1369196857048323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12.999000000000001</v>
      </c>
      <c r="DO63" s="12">
        <f>IF('Données projet'!$A$166&gt;35,DO62+DN63-DW62,IF(A63&lt;'Données projet'!$A$166,$DL$205^A63,IF(A63='Données projet'!$A$166,'Données projet'!$B$166,DO62+DN63-DW62)))</f>
        <v>339.37099999999987</v>
      </c>
      <c r="DP63" s="17">
        <f>DO63*VLOOKUP('Données projet'!$B$14,Paramètres!$A$1:$I$89,3,0)*VLOOKUP('Données projet'!$B$14,Paramètres!$A$1:$I$89,5,0)</f>
        <v>158.82562799999994</v>
      </c>
      <c r="DQ63" s="13">
        <f t="shared" si="43"/>
        <v>40.577519061672213</v>
      </c>
      <c r="DR63" s="20">
        <f t="shared" si="16"/>
        <v>347.2938144657457</v>
      </c>
      <c r="DS63" s="59">
        <f t="shared" si="17"/>
        <v>635.17395120876347</v>
      </c>
      <c r="DT63" s="59">
        <f ca="1">AVERAGE(OFFSET($DS$3,0,0,'Données projet'!$E$14+1,1))-AVERAGE(OFFSET($H$3,0,0,'Données projet'!$E$14+1,1))</f>
        <v>343.44193069803498</v>
      </c>
      <c r="DU63" s="59">
        <f t="shared" si="44"/>
        <v>280.67367019483481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12.426349319240735</v>
      </c>
      <c r="EB63" s="21">
        <f>EXP(-LN(2)/25)*EB62+(1-EXP(-LN(2)/25))/(LN(2)/25)*Calculateur!DW63*Calculateur!DY63*VLOOKUP('Données projet'!$B$14,Paramètres!$A$1:$I$89,3,0)*0.475*44/12</f>
        <v>17.058028275258504</v>
      </c>
      <c r="EC63" s="21">
        <f>EXP(-LN(2)/2)*EC62+(1-EXP(-LN(2)/2))/(LN(2)/2)*DW63*DZ63*VLOOKUP('Données projet'!$B$14,Paramètres!$A$1:$I$89,3,0)*0.475*44/12</f>
        <v>1.5481191109535943</v>
      </c>
      <c r="ED63" s="22">
        <f t="shared" si="18"/>
        <v>31.032496705452832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127.56410256410255</v>
      </c>
      <c r="EH63" s="12">
        <f>VLOOKUP(A63,'Données projet'!$A$191:$I$211,9,0)</f>
        <v>4.6153846153846132</v>
      </c>
      <c r="EI63" s="12">
        <f t="array" ref="EI63">INDEX(EH:EH,MIN(IF(ISNUMBER(EH63:EH259),ROW(EH63:EH259),"")))</f>
        <v>4.6153846153846132</v>
      </c>
      <c r="EJ63" s="12">
        <f>IF('Données projet'!$A$192&gt;35,EJ62+EI63-ER62,IF(A63&lt;'Données projet'!$A$192,$EG$205^A63,IF(A63='Données projet'!$A$192,'Données projet'!$B$192,EJ62+EI63-ER62)))</f>
        <v>127.56410256410254</v>
      </c>
      <c r="EK63" s="17">
        <f>EJ63*VLOOKUP('Données projet'!$B$15,Paramètres!$A$1:$I$89,3,0)*VLOOKUP('Données projet'!$B$15,Paramètres!$A$1:$I$89,5,0)</f>
        <v>129.35</v>
      </c>
      <c r="EL63" s="13">
        <f t="shared" si="45"/>
        <v>33.846119628268021</v>
      </c>
      <c r="EM63" s="20">
        <f t="shared" si="19"/>
        <v>284.23324168590011</v>
      </c>
      <c r="EN63" s="59">
        <f t="shared" si="20"/>
        <v>572.11337842891794</v>
      </c>
      <c r="EO63" s="59">
        <f ca="1">AVERAGE(OFFSET($EN$3,0,0,'Données projet'!$E$15+1,1))-AVERAGE(OFFSET($H$3,0,0,'Données projet'!$E$15+1,1))</f>
        <v>270.0029254736703</v>
      </c>
      <c r="EP63" s="59">
        <f t="shared" si="46"/>
        <v>183.80022202211441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14.102564102564102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0.34400000000000003</v>
      </c>
      <c r="EU63" s="16">
        <f>IF(ISNA(VLOOKUP(A63,'Données projet'!$A$191:$I$211,7,0)),0%,VLOOKUP(A63,'Données projet'!$A$191:$I$211,7,0))</f>
        <v>0.2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26.930213556623812</v>
      </c>
      <c r="EX63" s="21">
        <f>EXP(-LN(2)/2)*EX62+(1-EXP(-LN(2)/2))/(LN(2)/2)*ER63*EU63*VLOOKUP('Données projet'!$B$15,Paramètres!$A$1:$I$89,3,0)*0.475*44/12</f>
        <v>3.2769467258025586</v>
      </c>
      <c r="EY63" s="22">
        <f t="shared" si="21"/>
        <v>30.207160282426372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245</v>
      </c>
      <c r="FC63" s="12">
        <f>VLOOKUP(A63,'Données projet'!$A$217:$I$237,9,0)</f>
        <v>5.2</v>
      </c>
      <c r="FD63" s="12">
        <f t="array" ref="FD63">INDEX(FC:FC,MIN(IF(ISNUMBER(FC63:FC259),ROW(FC63:FC259),"")))</f>
        <v>5.2</v>
      </c>
      <c r="FE63" s="12">
        <f>IF('Données projet'!$A$218&gt;35,FE62+FD63-FM62,IF(A63&lt;'Données projet'!$A$218,$FB$205^A63,IF(A63='Données projet'!$A$218,'Données projet'!$B$218,FE62+FD63-FM62)))</f>
        <v>244.99999999999983</v>
      </c>
      <c r="FF63" s="17">
        <f>FE63*VLOOKUP('Données projet'!$B$16,Paramètres!$A$1:$I$89,3,0)*VLOOKUP('Données projet'!$B$16,Paramètres!$A$1:$I$89,5,0)</f>
        <v>214.03199999999987</v>
      </c>
      <c r="FG63" s="13">
        <f t="shared" si="47"/>
        <v>52.815701536972192</v>
      </c>
      <c r="FH63" s="20">
        <f t="shared" si="22"/>
        <v>464.7597468435597</v>
      </c>
      <c r="FI63" s="59">
        <f t="shared" si="23"/>
        <v>752.63988358657753</v>
      </c>
      <c r="FJ63" s="59">
        <f ca="1">AVERAGE(OFFSET($FI$3,0,0,'Données projet'!$E$16+1,1))-AVERAGE(OFFSET($H$3,0,0,'Données projet'!$E$16+1,1))</f>
        <v>328.93328163316073</v>
      </c>
      <c r="FK63" s="59">
        <f t="shared" si="48"/>
        <v>320.27831321887072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0.13250000000000001</v>
      </c>
      <c r="FO63" s="16">
        <f>IF(ISNA(VLOOKUP(A63,'Données projet'!$A$217:$I$237,6,0)),0%,VLOOKUP(A63,'Données projet'!$A$217:$I$237,6,0)*VLOOKUP('Données projet'!$B$16,Paramètres!$A$1:$I$89,7,0))</f>
        <v>0.13250000000000001</v>
      </c>
      <c r="FP63" s="16">
        <f>IF(ISNA(VLOOKUP(A63,'Données projet'!$A$217:$I$237,7,0)),0%,VLOOKUP(A63,'Données projet'!$A$217:$I$237,7,0))</f>
        <v>0.25</v>
      </c>
      <c r="FQ63" s="21">
        <f>EXP(-LN(2)/35)*FQ62+(1-EXP(-LN(2)/35))/(LN(2)/35)*FM63*FN63*VLOOKUP('Données projet'!$B$16,Paramètres!$A$1:$I$89,3,0)*0.475*44/12</f>
        <v>11.513217144258466</v>
      </c>
      <c r="FR63" s="21">
        <f>EXP(-LN(2)/25)*FR62+(1-EXP(-LN(2)/25))/(LN(2)/25)*Calculateur!FM63*Calculateur!FO63*VLOOKUP('Données projet'!$B$16,Paramètres!$A$1:$I$89,3,0)*0.475*44/12</f>
        <v>14.930137446020712</v>
      </c>
      <c r="FS63" s="21">
        <f>EXP(-LN(2)/2)*FS62+(1-EXP(-LN(2)/2))/(LN(2)/2)*FM63*FP63*VLOOKUP('Données projet'!$B$16,Paramètres!$A$1:$I$89,3,0)*0.475*44/12</f>
        <v>3.0877163342401959</v>
      </c>
      <c r="FT63" s="22">
        <f t="shared" si="24"/>
        <v>29.531070924519373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127.56410256410255</v>
      </c>
      <c r="FX63" s="12">
        <f>VLOOKUP(A63,'Données projet'!$A$243:$I$263,9,0)</f>
        <v>4.6153846153846132</v>
      </c>
      <c r="FY63" s="12">
        <f t="array" ref="FY63">INDEX(FX:FX,MIN(IF(ISNUMBER(FX63:FX259),ROW(FX63:FX259),"")))</f>
        <v>4.6153846153846132</v>
      </c>
      <c r="FZ63" s="12">
        <f>IF('Données projet'!$A$244&gt;35,FZ62+FY63-GH62,IF(A63&lt;'Données projet'!$A$244,$FW$205^A63,IF(A63='Données projet'!$A$244,'Données projet'!$B$244,FZ62+FY63-GH62)))</f>
        <v>127.56410256410254</v>
      </c>
      <c r="GA63" s="17">
        <f>FZ63*VLOOKUP('Données projet'!$B$17,Paramètres!$A$1:$I$89,3,0)*VLOOKUP('Données projet'!$B$17,Paramètres!$A$1:$I$89,5,0)</f>
        <v>85.57</v>
      </c>
      <c r="GB63" s="13">
        <f t="shared" si="49"/>
        <v>23.493697390127796</v>
      </c>
      <c r="GC63" s="20">
        <f t="shared" si="25"/>
        <v>189.95260628780591</v>
      </c>
      <c r="GD63" s="59">
        <f t="shared" si="26"/>
        <v>477.83274303082368</v>
      </c>
      <c r="GE63" s="59">
        <f ca="1">AVERAGE(OFFSET($GD$3,0,0,'Données projet'!$E$17+1,1))-AVERAGE(OFFSET($H$3,0,0,'Données projet'!$E$17+1,1))</f>
        <v>192.88444860121191</v>
      </c>
      <c r="GF63" s="59">
        <f t="shared" si="50"/>
        <v>136.13737493732751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14.102564102564102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0.42400000000000004</v>
      </c>
      <c r="GK63" s="16">
        <f>IF(ISNA(VLOOKUP(A63,'Données projet'!$A$243:$I$263,7,0)),0%,VLOOKUP(A63,'Données projet'!$A$243:$I$263,7,0))</f>
        <v>0.2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21.958481823093262</v>
      </c>
      <c r="GN63" s="21">
        <f>EXP(-LN(2)/2)*GN62+(1-EXP(-LN(2)/2))/(LN(2)/2)*GH63*GK63*VLOOKUP('Données projet'!$B$17,Paramètres!$A$1:$I$89,3,0)*0.475*44/12</f>
        <v>2.1678262955309235</v>
      </c>
      <c r="GO63" s="21">
        <f t="shared" si="27"/>
        <v>24.126308118624184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68.512764566277582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0.85000000000000009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3.1166666666666671</v>
      </c>
      <c r="H64" s="67">
        <f t="shared" si="1"/>
        <v>244.19999999999996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752.12173662959594</v>
      </c>
      <c r="S64" s="59">
        <f ca="1">AVERAGE(OFFSET($R$3,0,0,'Données projet'!$E$9+1,1))-AVERAGE(OFFSET($H$3,0,0,'Données projet'!$E$9+1,1))</f>
        <v>643.492472896403</v>
      </c>
      <c r="T64" s="59">
        <f t="shared" si="34"/>
        <v>285.0259479655341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6.4</v>
      </c>
      <c r="AI64" s="13">
        <f>IF('Données projet'!$A$62&gt;35,AI63+AH64-AQ63,IF(A64&lt;'Données projet'!$A$62,$AF$205^A64,IF(A64='Données projet'!$A$62,'Données projet'!$B$62,AI63+AH64-AQ63)))</f>
        <v>250.39999999999986</v>
      </c>
      <c r="AJ64" s="13">
        <f>AI64*VLOOKUP('Données projet'!$B$10,Paramètres!$A$1:$I$89,3,0)*VLOOKUP('Données projet'!$B$10,Paramètres!$A$1:$I$89,5,0)</f>
        <v>195.3119999999999</v>
      </c>
      <c r="AK64" s="13">
        <f t="shared" si="35"/>
        <v>48.712469285758459</v>
      </c>
      <c r="AL64" s="20">
        <f t="shared" si="4"/>
        <v>425.00928400602908</v>
      </c>
      <c r="AM64" s="59">
        <f t="shared" si="5"/>
        <v>712.98402151836774</v>
      </c>
      <c r="AN64" s="59">
        <f ca="1">AVERAGE(OFFSET($AM$3,0,0,'Données projet'!$E$10+1,1))-AVERAGE(OFFSET($H$3,0,0,'Données projet'!$E$10+1,1))</f>
        <v>289.89907502443873</v>
      </c>
      <c r="AO64" s="59">
        <f t="shared" si="36"/>
        <v>267.42183550360301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7.1593741218121894</v>
      </c>
      <c r="AV64" s="21">
        <f>EXP(-LN(2)/25)*AV63+(1-EXP(-LN(2)/25))/(LN(2)/25)*Calculateur!AQ64*Calculateur!AS64*VLOOKUP('Données projet'!$B$10,Paramètres!$A$1:$I$89,3,0)*0.475*44/12</f>
        <v>13.793280622388354</v>
      </c>
      <c r="AW64" s="21">
        <f>EXP(-LN(2)/2)*AW63+(1-EXP(-LN(2)/2))/(LN(2)/2)*AQ64*AT64*VLOOKUP('Données projet'!$B$10,Paramètres!$A$1:$I$89,3,0)*0.475*44/12</f>
        <v>4.3517008431263315</v>
      </c>
      <c r="AX64" s="21">
        <f t="shared" si="6"/>
        <v>25.304355587326874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2.1794871794871797</v>
      </c>
      <c r="BD64" s="12">
        <f>IF('Données projet'!$A$88&gt;35,BD63+BC64-BL63,IF(A64&lt;'Données projet'!$A$88,$BA$205^A64,IF(A64='Données projet'!$A$88,'Données projet'!$B$88,BD63+BC64-BL63)))</f>
        <v>69.487179487179461</v>
      </c>
      <c r="BE64" s="13">
        <f>BD64*VLOOKUP('Données projet'!$B$11,Paramètres!$A$1:$I$89,3,0)*VLOOKUP('Données projet'!$B$11,Paramètres!$A$1:$I$89,5,0)</f>
        <v>67.207999999999984</v>
      </c>
      <c r="BF64" s="13">
        <f t="shared" si="37"/>
        <v>18.97847165054225</v>
      </c>
      <c r="BG64" s="20">
        <f t="shared" si="7"/>
        <v>150.10810479136106</v>
      </c>
      <c r="BH64" s="59">
        <f t="shared" si="8"/>
        <v>438.08284230369975</v>
      </c>
      <c r="BI64" s="59">
        <f ca="1">AVERAGE(OFFSET($BH$3,0,0,'Données projet'!$E$11+1,1))-AVERAGE(OFFSET($H$3,0,0,'Données projet'!$E$11+1,1))</f>
        <v>177.54241137663234</v>
      </c>
      <c r="BJ64" s="59">
        <f t="shared" si="38"/>
        <v>114.71095021456071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11.143365180756611</v>
      </c>
      <c r="BR64" s="21">
        <f>EXP(-LN(2)/2)*BR63+(1-EXP(-LN(2)/2))/(LN(2)/2)*BL64*BO64*VLOOKUP('Données projet'!$B$11,Paramètres!$A$1:$I$89,3,0)*0.475*44/12</f>
        <v>1.0043888366573486</v>
      </c>
      <c r="BS64" s="22">
        <f t="shared" si="9"/>
        <v>12.147754017413959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2.1794871794871797</v>
      </c>
      <c r="BY64" s="12">
        <f>IF('Données projet'!$A$114&gt;35,BY63+BX64-CG63,IF(A64&lt;'Données projet'!$A$114,$BV$205^A64,IF(A64='Données projet'!$A$114,'Données projet'!$B$114,BY63+BX64-CG63)))</f>
        <v>69.487179487179461</v>
      </c>
      <c r="BZ64" s="13">
        <f>BY64*VLOOKUP('Données projet'!$B$12,Paramètres!$A$1:$I$89,3,0)*VLOOKUP('Données projet'!$B$12,Paramètres!$A$1:$I$89,5,0)</f>
        <v>74.795999999999978</v>
      </c>
      <c r="CA64" s="13">
        <f t="shared" si="39"/>
        <v>20.859841068176475</v>
      </c>
      <c r="CB64" s="20">
        <f t="shared" si="10"/>
        <v>166.60058986040733</v>
      </c>
      <c r="CC64" s="59">
        <f t="shared" si="11"/>
        <v>454.57532737274596</v>
      </c>
      <c r="CD64" s="59">
        <f ca="1">AVERAGE(OFFSET($CC$3,0,0,'Données projet'!$E$12+1,1))-AVERAGE(OFFSET($H$3,0,0,'Données projet'!$E$12+1,1))</f>
        <v>192.88977161349993</v>
      </c>
      <c r="CE64" s="59">
        <f t="shared" si="40"/>
        <v>122.91376861456772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12.401487056003324</v>
      </c>
      <c r="CM64" s="21">
        <f>EXP(-LN(2)/2)*CM63+(1-EXP(-LN(2)/2))/(LN(2)/2)*CG64*CJ64*VLOOKUP('Données projet'!$B$12,Paramètres!$A$1:$I$89,3,0)*0.475*44/12</f>
        <v>1.1177875762799521</v>
      </c>
      <c r="CN64" s="22">
        <f t="shared" si="12"/>
        <v>13.519274632283276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2.5641025641025634</v>
      </c>
      <c r="CT64" s="12">
        <f>IF('Données projet'!$A$140&gt;35,CT63+CS64-DB63,IF(A64&lt;'Données projet'!$A$140,$CQ$205^A64,IF(A64='Données projet'!$A$140,'Données projet'!$B$140,CT63+CS64-DB63)))</f>
        <v>98.076923076923066</v>
      </c>
      <c r="CU64" s="17">
        <f>CT64*VLOOKUP('Données projet'!$B$13,Paramètres!$A$1:$I$89,3,0)*VLOOKUP('Données projet'!$B$13,Paramètres!$A$1:$I$89,5,0)</f>
        <v>79.559999999999988</v>
      </c>
      <c r="CV64" s="13">
        <f t="shared" si="41"/>
        <v>22.029567333453311</v>
      </c>
      <c r="CW64" s="20">
        <f t="shared" si="13"/>
        <v>176.93516310576447</v>
      </c>
      <c r="CX64" s="59">
        <f t="shared" si="14"/>
        <v>464.90990061810317</v>
      </c>
      <c r="CY64" s="59">
        <f ca="1">AVERAGE(OFFSET($CX$3,0,0,'Données projet'!$E$13+1,1))-AVERAGE(OFFSET($H$3,0,0,'Données projet'!$E$13+1,1))</f>
        <v>163.16040389635825</v>
      </c>
      <c r="CZ64" s="59">
        <f t="shared" si="42"/>
        <v>138.57856782158811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3.4024387507401648</v>
      </c>
      <c r="DH64" s="21">
        <f>EXP(-LN(2)/2)*DH63+(1-EXP(-LN(2)/2))/(LN(2)/2)*DB64*DE64*VLOOKUP('Données projet'!$B$13,Paramètres!$A$1:$I$89,3,0)*0.475*44/12</f>
        <v>1.1588245264516306</v>
      </c>
      <c r="DI64" s="22">
        <f t="shared" si="15"/>
        <v>4.5612632771917951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>
        <f>VLOOKUP(A64,'Données projet'!$A$165:$I$185,2,0)</f>
        <v>352.37</v>
      </c>
      <c r="DM64" s="12">
        <f>VLOOKUP(A64,'Données projet'!$A$165:$I$185,9,0)</f>
        <v>12.999000000000001</v>
      </c>
      <c r="DN64" s="12">
        <f t="array" ref="DN64">INDEX(DM:DM,MIN(IF(ISNUMBER(DM64:DM260),ROW(DM64:DM260),"")))</f>
        <v>12.999000000000001</v>
      </c>
      <c r="DO64" s="12">
        <f>IF('Données projet'!$A$166&gt;35,DO63+DN64-DW63,IF(A64&lt;'Données projet'!$A$166,$DL$205^A64,IF(A64='Données projet'!$A$166,'Données projet'!$B$166,DO63+DN64-DW63)))</f>
        <v>352.36999999999989</v>
      </c>
      <c r="DP64" s="17">
        <f>DO64*VLOOKUP('Données projet'!$B$14,Paramètres!$A$1:$I$89,3,0)*VLOOKUP('Données projet'!$B$14,Paramètres!$A$1:$I$89,5,0)</f>
        <v>164.90915999999996</v>
      </c>
      <c r="DQ64" s="13">
        <f t="shared" si="43"/>
        <v>41.947835096187085</v>
      </c>
      <c r="DR64" s="20">
        <f t="shared" si="16"/>
        <v>360.27593312585913</v>
      </c>
      <c r="DS64" s="59">
        <f t="shared" si="17"/>
        <v>648.25067063819779</v>
      </c>
      <c r="DT64" s="59">
        <f ca="1">AVERAGE(OFFSET($DS$3,0,0,'Données projet'!$E$14+1,1))-AVERAGE(OFFSET($H$3,0,0,'Données projet'!$E$14+1,1))</f>
        <v>343.44193069803498</v>
      </c>
      <c r="DU64" s="59">
        <f t="shared" si="44"/>
        <v>280.67367019483481</v>
      </c>
      <c r="DV64" s="15">
        <f>IF(ISNA(VLOOKUP(A64,'Données projet'!$A$165:$I$185,3,0)),0,VLOOKUP(A64,'Données projet'!$A$165:$I$185,3,0))</f>
        <v>2</v>
      </c>
      <c r="DW64" s="15">
        <f>IF(ISNA(VLOOKUP(A64,'Données projet'!$A$165:$I$185,4,0)),0,VLOOKUP(A64,'Données projet'!$A$165:$I$185,4,0))</f>
        <v>101.36000000000001</v>
      </c>
      <c r="DX64" s="16">
        <f>IF(ISNA(VLOOKUP(A64,'Données projet'!$A$165:$I$185,5,0)),0%,VLOOKUP(A64,'Données projet'!$A$165:$I$185,5,0)*VLOOKUP('Données projet'!$B$14,Paramètres!$A$1:$I$89,7,0))</f>
        <v>0.33</v>
      </c>
      <c r="DY64" s="16">
        <f>IF(ISNA(VLOOKUP(A64,'Données projet'!$A$165:$I$185,6,0)),0%,VLOOKUP(A64,'Données projet'!$A$165:$I$185,6,0)*VLOOKUP('Données projet'!$B$14,Paramètres!$A$1:$I$89,7,0))</f>
        <v>0.11000000000000001</v>
      </c>
      <c r="DZ64" s="16">
        <f>IF(ISNA(VLOOKUP(A64,'Données projet'!$A$165:$I$185,7,0)),0%,VLOOKUP(A64,'Données projet'!$A$165:$I$185,7,0))</f>
        <v>0.2</v>
      </c>
      <c r="EA64" s="21">
        <f>EXP(-LN(2)/35)*EA63+(1-EXP(-LN(2)/35))/(LN(2)/35)*DW64*DX64*VLOOKUP('Données projet'!$B$14,Paramètres!$A$1:$I$89,3,0)*0.475*44/12</f>
        <v>32.948767113940768</v>
      </c>
      <c r="EB64" s="21">
        <f>EXP(-LN(2)/25)*EB63+(1-EXP(-LN(2)/25))/(LN(2)/25)*Calculateur!DW64*Calculateur!DY64*VLOOKUP('Données projet'!$B$14,Paramètres!$A$1:$I$89,3,0)*0.475*44/12</f>
        <v>23.486351232712469</v>
      </c>
      <c r="EC64" s="21">
        <f>EXP(-LN(2)/2)*EC63+(1-EXP(-LN(2)/2))/(LN(2)/2)*DW64*DZ64*VLOOKUP('Données projet'!$B$14,Paramètres!$A$1:$I$89,3,0)*0.475*44/12</f>
        <v>11.836508468833424</v>
      </c>
      <c r="ED64" s="22">
        <f t="shared" si="18"/>
        <v>68.27162681548667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4.4871794871794917</v>
      </c>
      <c r="EJ64" s="12">
        <f>IF('Données projet'!$A$192&gt;35,EJ63+EI64-ER63,IF(A64&lt;'Données projet'!$A$192,$EG$205^A64,IF(A64='Données projet'!$A$192,'Données projet'!$B$192,EJ63+EI64-ER63)))</f>
        <v>117.94871794871794</v>
      </c>
      <c r="EK64" s="17">
        <f>EJ64*VLOOKUP('Données projet'!$B$15,Paramètres!$A$1:$I$89,3,0)*VLOOKUP('Données projet'!$B$15,Paramètres!$A$1:$I$89,5,0)</f>
        <v>119.60000000000001</v>
      </c>
      <c r="EL64" s="13">
        <f t="shared" si="45"/>
        <v>31.581687741452708</v>
      </c>
      <c r="EM64" s="20">
        <f t="shared" si="19"/>
        <v>263.30810614969681</v>
      </c>
      <c r="EN64" s="59">
        <f t="shared" si="20"/>
        <v>551.28284366203548</v>
      </c>
      <c r="EO64" s="59">
        <f ca="1">AVERAGE(OFFSET($EN$3,0,0,'Données projet'!$E$15+1,1))-AVERAGE(OFFSET($H$3,0,0,'Données projet'!$E$15+1,1))</f>
        <v>270.0029254736703</v>
      </c>
      <c r="EP64" s="59">
        <f t="shared" si="46"/>
        <v>183.80022202211441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26.193805450719552</v>
      </c>
      <c r="EX64" s="21">
        <f>EXP(-LN(2)/2)*EX63+(1-EXP(-LN(2)/2))/(LN(2)/2)*ER64*EU64*VLOOKUP('Données projet'!$B$15,Paramètres!$A$1:$I$89,3,0)*0.475*44/12</f>
        <v>2.3171512514020431</v>
      </c>
      <c r="EY64" s="22">
        <f t="shared" si="21"/>
        <v>28.510956702121597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4.4000000000000004</v>
      </c>
      <c r="FE64" s="12">
        <f>IF('Données projet'!$A$218&gt;35,FE63+FD64-FM63,IF(A64&lt;'Données projet'!$A$218,$FB$205^A64,IF(A64='Données projet'!$A$218,'Données projet'!$B$218,FE63+FD64-FM63)))</f>
        <v>237.39999999999984</v>
      </c>
      <c r="FF64" s="17">
        <f>FE64*VLOOKUP('Données projet'!$B$16,Paramètres!$A$1:$I$89,3,0)*VLOOKUP('Données projet'!$B$16,Paramètres!$A$1:$I$89,5,0)</f>
        <v>207.39263999999989</v>
      </c>
      <c r="FG64" s="13">
        <f t="shared" si="47"/>
        <v>51.365398298247158</v>
      </c>
      <c r="FH64" s="20">
        <f t="shared" si="22"/>
        <v>450.67025003611349</v>
      </c>
      <c r="FI64" s="59">
        <f t="shared" si="23"/>
        <v>738.64498754845215</v>
      </c>
      <c r="FJ64" s="59">
        <f ca="1">AVERAGE(OFFSET($FI$3,0,0,'Données projet'!$E$16+1,1))-AVERAGE(OFFSET($H$3,0,0,'Données projet'!$E$16+1,1))</f>
        <v>328.93328163316073</v>
      </c>
      <c r="FK64" s="59">
        <f t="shared" si="48"/>
        <v>320.27831321887072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11.287449978428613</v>
      </c>
      <c r="FR64" s="21">
        <f>EXP(-LN(2)/25)*FR63+(1-EXP(-LN(2)/25))/(LN(2)/25)*Calculateur!FM64*Calculateur!FO64*VLOOKUP('Données projet'!$B$16,Paramètres!$A$1:$I$89,3,0)*0.475*44/12</f>
        <v>14.521872052417471</v>
      </c>
      <c r="FS64" s="21">
        <f>EXP(-LN(2)/2)*FS63+(1-EXP(-LN(2)/2))/(LN(2)/2)*FM64*FP64*VLOOKUP('Données projet'!$B$16,Paramètres!$A$1:$I$89,3,0)*0.475*44/12</f>
        <v>2.1833451583217109</v>
      </c>
      <c r="FT64" s="22">
        <f t="shared" si="24"/>
        <v>27.992667189167793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4.4871794871794917</v>
      </c>
      <c r="FZ64" s="12">
        <f>IF('Données projet'!$A$244&gt;35,FZ63+FY64-GH63,IF(A64&lt;'Données projet'!$A$244,$FW$205^A64,IF(A64='Données projet'!$A$244,'Données projet'!$B$244,FZ63+FY64-GH63)))</f>
        <v>117.94871794871794</v>
      </c>
      <c r="GA64" s="17">
        <f>FZ64*VLOOKUP('Données projet'!$B$17,Paramètres!$A$1:$I$89,3,0)*VLOOKUP('Données projet'!$B$17,Paramètres!$A$1:$I$89,5,0)</f>
        <v>79.12</v>
      </c>
      <c r="GB64" s="13">
        <f t="shared" si="49"/>
        <v>21.921881238270821</v>
      </c>
      <c r="GC64" s="20">
        <f t="shared" si="25"/>
        <v>175.98127648998835</v>
      </c>
      <c r="GD64" s="59">
        <f t="shared" si="26"/>
        <v>463.95601400232704</v>
      </c>
      <c r="GE64" s="59">
        <f ca="1">AVERAGE(OFFSET($GD$3,0,0,'Données projet'!$E$17+1,1))-AVERAGE(OFFSET($H$3,0,0,'Données projet'!$E$17+1,1))</f>
        <v>192.88444860121191</v>
      </c>
      <c r="GF64" s="59">
        <f t="shared" si="50"/>
        <v>136.13737493732751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21.358025982894404</v>
      </c>
      <c r="GN64" s="21">
        <f>EXP(-LN(2)/2)*GN63+(1-EXP(-LN(2)/2))/(LN(2)/2)*GH64*GK64*VLOOKUP('Données projet'!$B$17,Paramètres!$A$1:$I$89,3,0)*0.475*44/12</f>
        <v>1.5328846740044288</v>
      </c>
      <c r="GO64" s="21">
        <f t="shared" si="27"/>
        <v>22.890910656898832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68.538564776092358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0.85000000000000009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3.1166666666666671</v>
      </c>
      <c r="H65" s="67">
        <f t="shared" si="1"/>
        <v>244.19999999999996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771.60770545580863</v>
      </c>
      <c r="S65" s="59">
        <f ca="1">AVERAGE(OFFSET($R$3,0,0,'Données projet'!$E$9+1,1))-AVERAGE(OFFSET($H$3,0,0,'Données projet'!$E$9+1,1))</f>
        <v>643.492472896403</v>
      </c>
      <c r="T65" s="59">
        <f t="shared" si="34"/>
        <v>285.0259479655341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6.4</v>
      </c>
      <c r="AI65" s="13">
        <f>IF('Données projet'!$A$62&gt;35,AI64+AH65-AQ64,IF(A65&lt;'Données projet'!$A$62,$AF$205^A65,IF(A65='Données projet'!$A$62,'Données projet'!$B$62,AI64+AH65-AQ64)))</f>
        <v>256.79999999999984</v>
      </c>
      <c r="AJ65" s="13">
        <f>AI65*VLOOKUP('Données projet'!$B$10,Paramètres!$A$1:$I$89,3,0)*VLOOKUP('Données projet'!$B$10,Paramètres!$A$1:$I$89,5,0)</f>
        <v>200.30399999999989</v>
      </c>
      <c r="AK65" s="13">
        <f t="shared" si="35"/>
        <v>49.810971817279096</v>
      </c>
      <c r="AL65" s="20">
        <f t="shared" si="4"/>
        <v>435.61690924842759</v>
      </c>
      <c r="AM65" s="59">
        <f t="shared" si="5"/>
        <v>723.68460641823503</v>
      </c>
      <c r="AN65" s="59">
        <f ca="1">AVERAGE(OFFSET($AM$3,0,0,'Données projet'!$E$10+1,1))-AVERAGE(OFFSET($H$3,0,0,'Données projet'!$E$10+1,1))</f>
        <v>289.89907502443873</v>
      </c>
      <c r="AO65" s="59">
        <f t="shared" si="36"/>
        <v>267.42183550360301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7.0189831620704819</v>
      </c>
      <c r="AV65" s="21">
        <f>EXP(-LN(2)/25)*AV64+(1-EXP(-LN(2)/25))/(LN(2)/25)*Calculateur!AQ65*Calculateur!AS65*VLOOKUP('Données projet'!$B$10,Paramètres!$A$1:$I$89,3,0)*0.475*44/12</f>
        <v>13.416102638412042</v>
      </c>
      <c r="AW65" s="21">
        <f>EXP(-LN(2)/2)*AW64+(1-EXP(-LN(2)/2))/(LN(2)/2)*AQ65*AT65*VLOOKUP('Données projet'!$B$10,Paramètres!$A$1:$I$89,3,0)*0.475*44/12</f>
        <v>3.0771171758698457</v>
      </c>
      <c r="AX65" s="21">
        <f t="shared" si="6"/>
        <v>23.51220297635237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2.1794871794871797</v>
      </c>
      <c r="BD65" s="12">
        <f>IF('Données projet'!$A$88&gt;35,BD64+BC65-BL64,IF(A65&lt;'Données projet'!$A$88,$BA$205^A65,IF(A65='Données projet'!$A$88,'Données projet'!$B$88,BD64+BC65-BL64)))</f>
        <v>71.666666666666643</v>
      </c>
      <c r="BE65" s="13">
        <f>BD65*VLOOKUP('Données projet'!$B$11,Paramètres!$A$1:$I$89,3,0)*VLOOKUP('Données projet'!$B$11,Paramètres!$A$1:$I$89,5,0)</f>
        <v>69.315999999999974</v>
      </c>
      <c r="BF65" s="13">
        <f t="shared" si="37"/>
        <v>19.503499311459137</v>
      </c>
      <c r="BG65" s="20">
        <f t="shared" si="7"/>
        <v>154.69396130079127</v>
      </c>
      <c r="BH65" s="59">
        <f t="shared" si="8"/>
        <v>442.76165847059866</v>
      </c>
      <c r="BI65" s="59">
        <f ca="1">AVERAGE(OFFSET($BH$3,0,0,'Données projet'!$E$11+1,1))-AVERAGE(OFFSET($H$3,0,0,'Données projet'!$E$11+1,1))</f>
        <v>177.54241137663234</v>
      </c>
      <c r="BJ65" s="59">
        <f t="shared" si="38"/>
        <v>114.71095021456071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10.838649273884714</v>
      </c>
      <c r="BR65" s="21">
        <f>EXP(-LN(2)/2)*BR64+(1-EXP(-LN(2)/2))/(LN(2)/2)*BL65*BO65*VLOOKUP('Données projet'!$B$11,Paramètres!$A$1:$I$89,3,0)*0.475*44/12</f>
        <v>0.71021015734847881</v>
      </c>
      <c r="BS65" s="22">
        <f t="shared" si="9"/>
        <v>11.548859431233193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2.1794871794871797</v>
      </c>
      <c r="BY65" s="12">
        <f>IF('Données projet'!$A$114&gt;35,BY64+BX65-CG64,IF(A65&lt;'Données projet'!$A$114,$BV$205^A65,IF(A65='Données projet'!$A$114,'Données projet'!$B$114,BY64+BX65-CG64)))</f>
        <v>71.666666666666643</v>
      </c>
      <c r="BZ65" s="13">
        <f>BY65*VLOOKUP('Données projet'!$B$12,Paramètres!$A$1:$I$89,3,0)*VLOOKUP('Données projet'!$B$12,Paramètres!$A$1:$I$89,5,0)</f>
        <v>77.141999999999967</v>
      </c>
      <c r="CA65" s="13">
        <f t="shared" si="39"/>
        <v>21.436915648510755</v>
      </c>
      <c r="CB65" s="20">
        <f t="shared" si="10"/>
        <v>171.69161142115618</v>
      </c>
      <c r="CC65" s="59">
        <f t="shared" si="11"/>
        <v>459.75930859096354</v>
      </c>
      <c r="CD65" s="59">
        <f ca="1">AVERAGE(OFFSET($CC$3,0,0,'Données projet'!$E$12+1,1))-AVERAGE(OFFSET($H$3,0,0,'Données projet'!$E$12+1,1))</f>
        <v>192.88977161349993</v>
      </c>
      <c r="CE65" s="59">
        <f t="shared" si="40"/>
        <v>122.91376861456772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12.062367740291053</v>
      </c>
      <c r="CM65" s="21">
        <f>EXP(-LN(2)/2)*CM64+(1-EXP(-LN(2)/2))/(LN(2)/2)*CG65*CJ65*VLOOKUP('Données projet'!$B$12,Paramètres!$A$1:$I$89,3,0)*0.475*44/12</f>
        <v>0.79039517511362944</v>
      </c>
      <c r="CN65" s="22">
        <f t="shared" si="12"/>
        <v>12.852762915404682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2.5641025641025634</v>
      </c>
      <c r="CT65" s="12">
        <f>IF('Données projet'!$A$140&gt;35,CT64+CS65-DB64,IF(A65&lt;'Données projet'!$A$140,$CQ$205^A65,IF(A65='Données projet'!$A$140,'Données projet'!$B$140,CT64+CS65-DB64)))</f>
        <v>100.64102564102564</v>
      </c>
      <c r="CU65" s="17">
        <f>CT65*VLOOKUP('Données projet'!$B$13,Paramètres!$A$1:$I$89,3,0)*VLOOKUP('Données projet'!$B$13,Paramètres!$A$1:$I$89,5,0)</f>
        <v>81.64</v>
      </c>
      <c r="CV65" s="13">
        <f t="shared" si="41"/>
        <v>22.537697845766751</v>
      </c>
      <c r="CW65" s="20">
        <f t="shared" si="13"/>
        <v>181.44282374804376</v>
      </c>
      <c r="CX65" s="59">
        <f t="shared" si="14"/>
        <v>469.51052091785118</v>
      </c>
      <c r="CY65" s="59">
        <f ca="1">AVERAGE(OFFSET($CX$3,0,0,'Données projet'!$E$13+1,1))-AVERAGE(OFFSET($H$3,0,0,'Données projet'!$E$13+1,1))</f>
        <v>163.16040389635825</v>
      </c>
      <c r="CZ65" s="59">
        <f t="shared" si="42"/>
        <v>138.57856782158811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3.3093988841746973</v>
      </c>
      <c r="DH65" s="21">
        <f>EXP(-LN(2)/2)*DH64+(1-EXP(-LN(2)/2))/(LN(2)/2)*DB65*DE65*VLOOKUP('Données projet'!$B$13,Paramètres!$A$1:$I$89,3,0)*0.475*44/12</f>
        <v>0.8194126808592378</v>
      </c>
      <c r="DI65" s="22">
        <f t="shared" si="15"/>
        <v>4.128811565033935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11.997500000000002</v>
      </c>
      <c r="DO65" s="12">
        <f>IF('Données projet'!$A$166&gt;35,DO64+DN65-DW64,IF(A65&lt;'Données projet'!$A$166,$DL$205^A65,IF(A65='Données projet'!$A$166,'Données projet'!$B$166,DO64+DN65-DW64)))</f>
        <v>263.00749999999988</v>
      </c>
      <c r="DP65" s="17">
        <f>DO65*VLOOKUP('Données projet'!$B$14,Paramètres!$A$1:$I$89,3,0)*VLOOKUP('Données projet'!$B$14,Paramètres!$A$1:$I$89,5,0)</f>
        <v>123.08750999999994</v>
      </c>
      <c r="DQ65" s="13">
        <f t="shared" si="43"/>
        <v>32.394042160547578</v>
      </c>
      <c r="DR65" s="20">
        <f t="shared" si="16"/>
        <v>270.79703667962025</v>
      </c>
      <c r="DS65" s="59">
        <f t="shared" si="17"/>
        <v>558.86473384942769</v>
      </c>
      <c r="DT65" s="59">
        <f ca="1">AVERAGE(OFFSET($DS$3,0,0,'Données projet'!$E$14+1,1))-AVERAGE(OFFSET($H$3,0,0,'Données projet'!$E$14+1,1))</f>
        <v>343.44193069803498</v>
      </c>
      <c r="DU65" s="59">
        <f t="shared" si="44"/>
        <v>280.67367019483481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32.302661887599939</v>
      </c>
      <c r="EB65" s="21">
        <f>EXP(-LN(2)/25)*EB64+(1-EXP(-LN(2)/25))/(LN(2)/25)*Calculateur!DW65*Calculateur!DY65*VLOOKUP('Données projet'!$B$14,Paramètres!$A$1:$I$89,3,0)*0.475*44/12</f>
        <v>22.844115723160414</v>
      </c>
      <c r="EC65" s="21">
        <f>EXP(-LN(2)/2)*EC64+(1-EXP(-LN(2)/2))/(LN(2)/2)*DW65*DZ65*VLOOKUP('Données projet'!$B$14,Paramètres!$A$1:$I$89,3,0)*0.475*44/12</f>
        <v>8.3696754038841128</v>
      </c>
      <c r="ED65" s="22">
        <f t="shared" si="18"/>
        <v>63.516453014644469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4.4871794871794917</v>
      </c>
      <c r="EJ65" s="12">
        <f>IF('Données projet'!$A$192&gt;35,EJ64+EI65-ER64,IF(A65&lt;'Données projet'!$A$192,$EG$205^A65,IF(A65='Données projet'!$A$192,'Données projet'!$B$192,EJ64+EI65-ER64)))</f>
        <v>122.43589743589743</v>
      </c>
      <c r="EK65" s="17">
        <f>EJ65*VLOOKUP('Données projet'!$B$15,Paramètres!$A$1:$I$89,3,0)*VLOOKUP('Données projet'!$B$15,Paramètres!$A$1:$I$89,5,0)</f>
        <v>124.14999999999999</v>
      </c>
      <c r="EL65" s="13">
        <f t="shared" si="45"/>
        <v>32.640995086916647</v>
      </c>
      <c r="EM65" s="20">
        <f t="shared" si="19"/>
        <v>273.07764977637981</v>
      </c>
      <c r="EN65" s="59">
        <f t="shared" si="20"/>
        <v>561.14534694618715</v>
      </c>
      <c r="EO65" s="59">
        <f ca="1">AVERAGE(OFFSET($EN$3,0,0,'Données projet'!$E$15+1,1))-AVERAGE(OFFSET($H$3,0,0,'Données projet'!$E$15+1,1))</f>
        <v>270.0029254736703</v>
      </c>
      <c r="EP65" s="59">
        <f t="shared" si="46"/>
        <v>183.80022202211441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25.477534463197262</v>
      </c>
      <c r="EX65" s="21">
        <f>EXP(-LN(2)/2)*EX64+(1-EXP(-LN(2)/2))/(LN(2)/2)*ER65*EU65*VLOOKUP('Données projet'!$B$15,Paramètres!$A$1:$I$89,3,0)*0.475*44/12</f>
        <v>1.6384733629012793</v>
      </c>
      <c r="EY65" s="22">
        <f t="shared" si="21"/>
        <v>27.116007826098542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4.4000000000000004</v>
      </c>
      <c r="FE65" s="12">
        <f>IF('Données projet'!$A$218&gt;35,FE64+FD65-FM64,IF(A65&lt;'Données projet'!$A$218,$FB$205^A65,IF(A65='Données projet'!$A$218,'Données projet'!$B$218,FE64+FD65-FM64)))</f>
        <v>241.79999999999984</v>
      </c>
      <c r="FF65" s="17">
        <f>FE65*VLOOKUP('Données projet'!$B$16,Paramètres!$A$1:$I$89,3,0)*VLOOKUP('Données projet'!$B$16,Paramètres!$A$1:$I$89,5,0)</f>
        <v>211.23647999999989</v>
      </c>
      <c r="FG65" s="13">
        <f t="shared" si="47"/>
        <v>52.205695296687686</v>
      </c>
      <c r="FH65" s="20">
        <f t="shared" si="22"/>
        <v>458.82845530839751</v>
      </c>
      <c r="FI65" s="59">
        <f t="shared" si="23"/>
        <v>746.89615247820484</v>
      </c>
      <c r="FJ65" s="59">
        <f ca="1">AVERAGE(OFFSET($FI$3,0,0,'Données projet'!$E$16+1,1))-AVERAGE(OFFSET($H$3,0,0,'Données projet'!$E$16+1,1))</f>
        <v>328.93328163316073</v>
      </c>
      <c r="FK65" s="59">
        <f t="shared" si="48"/>
        <v>320.27831321887072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11.066109969016312</v>
      </c>
      <c r="FR65" s="21">
        <f>EXP(-LN(2)/25)*FR64+(1-EXP(-LN(2)/25))/(LN(2)/25)*Calculateur!FM65*Calculateur!FO65*VLOOKUP('Données projet'!$B$16,Paramètres!$A$1:$I$89,3,0)*0.475*44/12</f>
        <v>14.124770697472055</v>
      </c>
      <c r="FS65" s="21">
        <f>EXP(-LN(2)/2)*FS64+(1-EXP(-LN(2)/2))/(LN(2)/2)*FM65*FP65*VLOOKUP('Données projet'!$B$16,Paramètres!$A$1:$I$89,3,0)*0.475*44/12</f>
        <v>1.5438581671200982</v>
      </c>
      <c r="FT65" s="22">
        <f t="shared" si="24"/>
        <v>26.734738833608468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4.4871794871794917</v>
      </c>
      <c r="FZ65" s="12">
        <f>IF('Données projet'!$A$244&gt;35,FZ64+FY65-GH64,IF(A65&lt;'Données projet'!$A$244,$FW$205^A65,IF(A65='Données projet'!$A$244,'Données projet'!$B$244,FZ64+FY65-GH64)))</f>
        <v>122.43589743589743</v>
      </c>
      <c r="GA65" s="17">
        <f>FZ65*VLOOKUP('Données projet'!$B$17,Paramètres!$A$1:$I$89,3,0)*VLOOKUP('Données projet'!$B$17,Paramètres!$A$1:$I$89,5,0)</f>
        <v>82.13000000000001</v>
      </c>
      <c r="GB65" s="13">
        <f t="shared" si="49"/>
        <v>22.657181074435304</v>
      </c>
      <c r="GC65" s="20">
        <f t="shared" si="25"/>
        <v>182.50434037130813</v>
      </c>
      <c r="GD65" s="59">
        <f t="shared" si="26"/>
        <v>470.57203754111549</v>
      </c>
      <c r="GE65" s="59">
        <f ca="1">AVERAGE(OFFSET($GD$3,0,0,'Données projet'!$E$17+1,1))-AVERAGE(OFFSET($H$3,0,0,'Données projet'!$E$17+1,1))</f>
        <v>192.88444860121191</v>
      </c>
      <c r="GF65" s="59">
        <f t="shared" si="50"/>
        <v>136.13737493732751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20.773989639222386</v>
      </c>
      <c r="GN65" s="21">
        <f>EXP(-LN(2)/2)*GN64+(1-EXP(-LN(2)/2))/(LN(2)/2)*GH65*GK65*VLOOKUP('Données projet'!$B$17,Paramètres!$A$1:$I$89,3,0)*0.475*44/12</f>
        <v>1.083913147765462</v>
      </c>
      <c r="GO65" s="21">
        <f t="shared" si="27"/>
        <v>21.857902786987847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68.563917409947464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0.85000000000000009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3.1166666666666671</v>
      </c>
      <c r="H66" s="67">
        <f t="shared" si="1"/>
        <v>244.19999999999996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791.07554743759943</v>
      </c>
      <c r="S66" s="59">
        <f ca="1">AVERAGE(OFFSET($R$3,0,0,'Données projet'!$E$9+1,1))-AVERAGE(OFFSET($H$3,0,0,'Données projet'!$E$9+1,1))</f>
        <v>643.492472896403</v>
      </c>
      <c r="T66" s="59">
        <f t="shared" si="34"/>
        <v>285.0259479655341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6.4</v>
      </c>
      <c r="AI66" s="13">
        <f>IF('Données projet'!$A$62&gt;35,AI65+AH66-AQ65,IF(A66&lt;'Données projet'!$A$62,$AF$205^A66,IF(A66='Données projet'!$A$62,'Données projet'!$B$62,AI65+AH66-AQ65)))</f>
        <v>263.19999999999982</v>
      </c>
      <c r="AJ66" s="13">
        <f>AI66*VLOOKUP('Données projet'!$B$10,Paramètres!$A$1:$I$89,3,0)*VLOOKUP('Données projet'!$B$10,Paramètres!$A$1:$I$89,5,0)</f>
        <v>205.29599999999988</v>
      </c>
      <c r="AK66" s="13">
        <f t="shared" si="35"/>
        <v>50.906291934375353</v>
      </c>
      <c r="AL66" s="20">
        <f t="shared" si="4"/>
        <v>446.21899178570357</v>
      </c>
      <c r="AM66" s="59">
        <f t="shared" si="5"/>
        <v>734.37803597074935</v>
      </c>
      <c r="AN66" s="59">
        <f ca="1">AVERAGE(OFFSET($AM$3,0,0,'Données projet'!$E$10+1,1))-AVERAGE(OFFSET($H$3,0,0,'Données projet'!$E$10+1,1))</f>
        <v>289.89907502443873</v>
      </c>
      <c r="AO66" s="59">
        <f t="shared" si="36"/>
        <v>267.42183550360301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6.8813451834192794</v>
      </c>
      <c r="AV66" s="21">
        <f>EXP(-LN(2)/25)*AV65+(1-EXP(-LN(2)/25))/(LN(2)/25)*Calculateur!AQ66*Calculateur!AS66*VLOOKUP('Données projet'!$B$10,Paramètres!$A$1:$I$89,3,0)*0.475*44/12</f>
        <v>13.04923860624249</v>
      </c>
      <c r="AW66" s="21">
        <f>EXP(-LN(2)/2)*AW65+(1-EXP(-LN(2)/2))/(LN(2)/2)*AQ66*AT66*VLOOKUP('Données projet'!$B$10,Paramètres!$A$1:$I$89,3,0)*0.475*44/12</f>
        <v>2.1758504215631662</v>
      </c>
      <c r="AX66" s="21">
        <f t="shared" si="6"/>
        <v>22.106434211224933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2.1794871794871797</v>
      </c>
      <c r="BD66" s="12">
        <f>IF('Données projet'!$A$88&gt;35,BD65+BC66-BL65,IF(A66&lt;'Données projet'!$A$88,$BA$205^A66,IF(A66='Données projet'!$A$88,'Données projet'!$B$88,BD65+BC66-BL65)))</f>
        <v>73.846153846153825</v>
      </c>
      <c r="BE66" s="13">
        <f>BD66*VLOOKUP('Données projet'!$B$11,Paramètres!$A$1:$I$89,3,0)*VLOOKUP('Données projet'!$B$11,Paramètres!$A$1:$I$89,5,0)</f>
        <v>71.423999999999978</v>
      </c>
      <c r="BF66" s="13">
        <f t="shared" si="37"/>
        <v>20.026671414251194</v>
      </c>
      <c r="BG66" s="20">
        <f t="shared" si="7"/>
        <v>159.27658604648744</v>
      </c>
      <c r="BH66" s="59">
        <f t="shared" si="8"/>
        <v>447.4356302315332</v>
      </c>
      <c r="BI66" s="59">
        <f ca="1">AVERAGE(OFFSET($BH$3,0,0,'Données projet'!$E$11+1,1))-AVERAGE(OFFSET($H$3,0,0,'Données projet'!$E$11+1,1))</f>
        <v>177.54241137663234</v>
      </c>
      <c r="BJ66" s="59">
        <f t="shared" si="38"/>
        <v>114.71095021456071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10.542265839510543</v>
      </c>
      <c r="BR66" s="21">
        <f>EXP(-LN(2)/2)*BR65+(1-EXP(-LN(2)/2))/(LN(2)/2)*BL66*BO66*VLOOKUP('Données projet'!$B$11,Paramètres!$A$1:$I$89,3,0)*0.475*44/12</f>
        <v>0.50219441832867429</v>
      </c>
      <c r="BS66" s="22">
        <f t="shared" si="9"/>
        <v>11.044460257839217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2.1794871794871797</v>
      </c>
      <c r="BY66" s="12">
        <f>IF('Données projet'!$A$114&gt;35,BY65+BX66-CG65,IF(A66&lt;'Données projet'!$A$114,$BV$205^A66,IF(A66='Données projet'!$A$114,'Données projet'!$B$114,BY65+BX66-CG65)))</f>
        <v>73.846153846153825</v>
      </c>
      <c r="BZ66" s="13">
        <f>BY66*VLOOKUP('Données projet'!$B$12,Paramètres!$A$1:$I$89,3,0)*VLOOKUP('Données projet'!$B$12,Paramètres!$A$1:$I$89,5,0)</f>
        <v>79.487999999999971</v>
      </c>
      <c r="CA66" s="13">
        <f t="shared" si="39"/>
        <v>22.011950725965701</v>
      </c>
      <c r="CB66" s="20">
        <f t="shared" si="10"/>
        <v>176.77908084772355</v>
      </c>
      <c r="CC66" s="59">
        <f t="shared" si="11"/>
        <v>464.93812503276928</v>
      </c>
      <c r="CD66" s="59">
        <f ca="1">AVERAGE(OFFSET($CC$3,0,0,'Données projet'!$E$12+1,1))-AVERAGE(OFFSET($H$3,0,0,'Données projet'!$E$12+1,1))</f>
        <v>192.88977161349993</v>
      </c>
      <c r="CE66" s="59">
        <f t="shared" si="40"/>
        <v>122.91376861456772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11.732521660100444</v>
      </c>
      <c r="CM66" s="21">
        <f>EXP(-LN(2)/2)*CM65+(1-EXP(-LN(2)/2))/(LN(2)/2)*CG66*CJ66*VLOOKUP('Données projet'!$B$12,Paramètres!$A$1:$I$89,3,0)*0.475*44/12</f>
        <v>0.55889378813997614</v>
      </c>
      <c r="CN66" s="22">
        <f t="shared" si="12"/>
        <v>12.29141544824042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2.5641025641025634</v>
      </c>
      <c r="CT66" s="12">
        <f>IF('Données projet'!$A$140&gt;35,CT65+CS66-DB65,IF(A66&lt;'Données projet'!$A$140,$CQ$205^A66,IF(A66='Données projet'!$A$140,'Données projet'!$B$140,CT65+CS66-DB65)))</f>
        <v>103.2051282051282</v>
      </c>
      <c r="CU66" s="17">
        <f>CT66*VLOOKUP('Données projet'!$B$13,Paramètres!$A$1:$I$89,3,0)*VLOOKUP('Données projet'!$B$13,Paramètres!$A$1:$I$89,5,0)</f>
        <v>83.720000000000013</v>
      </c>
      <c r="CV66" s="13">
        <f t="shared" si="41"/>
        <v>23.044323503842598</v>
      </c>
      <c r="CW66" s="20">
        <f t="shared" si="13"/>
        <v>185.9478634358592</v>
      </c>
      <c r="CX66" s="59">
        <f t="shared" si="14"/>
        <v>474.10690762090496</v>
      </c>
      <c r="CY66" s="59">
        <f ca="1">AVERAGE(OFFSET($CX$3,0,0,'Données projet'!$E$13+1,1))-AVERAGE(OFFSET($H$3,0,0,'Données projet'!$E$13+1,1))</f>
        <v>163.16040389635825</v>
      </c>
      <c r="CZ66" s="59">
        <f t="shared" si="42"/>
        <v>138.57856782158811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3.2189031976532165</v>
      </c>
      <c r="DH66" s="21">
        <f>EXP(-LN(2)/2)*DH65+(1-EXP(-LN(2)/2))/(LN(2)/2)*DB66*DE66*VLOOKUP('Données projet'!$B$13,Paramètres!$A$1:$I$89,3,0)*0.475*44/12</f>
        <v>0.5794122632258154</v>
      </c>
      <c r="DI66" s="22">
        <f t="shared" si="15"/>
        <v>3.7983154608790319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11.997500000000002</v>
      </c>
      <c r="DO66" s="12">
        <f>IF('Données projet'!$A$166&gt;35,DO65+DN66-DW65,IF(A66&lt;'Données projet'!$A$166,$DL$205^A66,IF(A66='Données projet'!$A$166,'Données projet'!$B$166,DO65+DN66-DW65)))</f>
        <v>275.00499999999988</v>
      </c>
      <c r="DP66" s="17">
        <f>DO66*VLOOKUP('Données projet'!$B$14,Paramètres!$A$1:$I$89,3,0)*VLOOKUP('Données projet'!$B$14,Paramètres!$A$1:$I$89,5,0)</f>
        <v>128.70233999999996</v>
      </c>
      <c r="DQ66" s="13">
        <f t="shared" si="43"/>
        <v>33.69633335682834</v>
      </c>
      <c r="DR66" s="20">
        <f t="shared" si="16"/>
        <v>282.84435609647596</v>
      </c>
      <c r="DS66" s="59">
        <f t="shared" si="17"/>
        <v>571.00340028152164</v>
      </c>
      <c r="DT66" s="59">
        <f ca="1">AVERAGE(OFFSET($DS$3,0,0,'Données projet'!$E$14+1,1))-AVERAGE(OFFSET($H$3,0,0,'Données projet'!$E$14+1,1))</f>
        <v>343.44193069803498</v>
      </c>
      <c r="DU66" s="59">
        <f t="shared" si="44"/>
        <v>280.67367019483481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31.669226390662377</v>
      </c>
      <c r="EB66" s="21">
        <f>EXP(-LN(2)/25)*EB65+(1-EXP(-LN(2)/25))/(LN(2)/25)*Calculateur!DW66*Calculateur!DY66*VLOOKUP('Données projet'!$B$14,Paramètres!$A$1:$I$89,3,0)*0.475*44/12</f>
        <v>22.219442177390757</v>
      </c>
      <c r="EC66" s="21">
        <f>EXP(-LN(2)/2)*EC65+(1-EXP(-LN(2)/2))/(LN(2)/2)*DW66*DZ66*VLOOKUP('Données projet'!$B$14,Paramètres!$A$1:$I$89,3,0)*0.475*44/12</f>
        <v>5.9182542344167128</v>
      </c>
      <c r="ED66" s="22">
        <f t="shared" si="18"/>
        <v>59.806922802469849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4.4871794871794917</v>
      </c>
      <c r="EJ66" s="12">
        <f>IF('Données projet'!$A$192&gt;35,EJ65+EI66-ER65,IF(A66&lt;'Données projet'!$A$192,$EG$205^A66,IF(A66='Données projet'!$A$192,'Données projet'!$B$192,EJ65+EI66-ER65)))</f>
        <v>126.92307692307692</v>
      </c>
      <c r="EK66" s="17">
        <f>EJ66*VLOOKUP('Données projet'!$B$15,Paramètres!$A$1:$I$89,3,0)*VLOOKUP('Données projet'!$B$15,Paramètres!$A$1:$I$89,5,0)</f>
        <v>128.70000000000002</v>
      </c>
      <c r="EL66" s="13">
        <f t="shared" si="45"/>
        <v>33.695792019186115</v>
      </c>
      <c r="EM66" s="20">
        <f t="shared" si="19"/>
        <v>282.83933776674917</v>
      </c>
      <c r="EN66" s="59">
        <f t="shared" si="20"/>
        <v>570.99838195179495</v>
      </c>
      <c r="EO66" s="59">
        <f ca="1">AVERAGE(OFFSET($EN$3,0,0,'Données projet'!$E$15+1,1))-AVERAGE(OFFSET($H$3,0,0,'Données projet'!$E$15+1,1))</f>
        <v>270.0029254736703</v>
      </c>
      <c r="EP66" s="59">
        <f t="shared" si="46"/>
        <v>183.80022202211441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24.780849943495824</v>
      </c>
      <c r="EX66" s="21">
        <f>EXP(-LN(2)/2)*EX65+(1-EXP(-LN(2)/2))/(LN(2)/2)*ER66*EU66*VLOOKUP('Données projet'!$B$15,Paramètres!$A$1:$I$89,3,0)*0.475*44/12</f>
        <v>1.1585756257010216</v>
      </c>
      <c r="EY66" s="22">
        <f t="shared" si="21"/>
        <v>25.939425569196846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4.4000000000000004</v>
      </c>
      <c r="FE66" s="12">
        <f>IF('Données projet'!$A$218&gt;35,FE65+FD66-FM65,IF(A66&lt;'Données projet'!$A$218,$FB$205^A66,IF(A66='Données projet'!$A$218,'Données projet'!$B$218,FE65+FD66-FM65)))</f>
        <v>246.19999999999985</v>
      </c>
      <c r="FF66" s="17">
        <f>FE66*VLOOKUP('Données projet'!$B$16,Paramètres!$A$1:$I$89,3,0)*VLOOKUP('Données projet'!$B$16,Paramètres!$A$1:$I$89,5,0)</f>
        <v>215.08031999999989</v>
      </c>
      <c r="FG66" s="13">
        <f t="shared" si="47"/>
        <v>53.044214230061456</v>
      </c>
      <c r="FH66" s="20">
        <f t="shared" si="22"/>
        <v>466.98356378402349</v>
      </c>
      <c r="FI66" s="59">
        <f t="shared" si="23"/>
        <v>755.14260796906922</v>
      </c>
      <c r="FJ66" s="59">
        <f ca="1">AVERAGE(OFFSET($FI$3,0,0,'Données projet'!$E$16+1,1))-AVERAGE(OFFSET($H$3,0,0,'Données projet'!$E$16+1,1))</f>
        <v>328.93328163316073</v>
      </c>
      <c r="FK66" s="59">
        <f t="shared" si="48"/>
        <v>320.27831321887072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10.84911030218451</v>
      </c>
      <c r="FR66" s="21">
        <f>EXP(-LN(2)/25)*FR65+(1-EXP(-LN(2)/25))/(LN(2)/25)*Calculateur!FM66*Calculateur!FO66*VLOOKUP('Données projet'!$B$16,Paramètres!$A$1:$I$89,3,0)*0.475*44/12</f>
        <v>13.738528099960273</v>
      </c>
      <c r="FS66" s="21">
        <f>EXP(-LN(2)/2)*FS65+(1-EXP(-LN(2)/2))/(LN(2)/2)*FM66*FP66*VLOOKUP('Données projet'!$B$16,Paramètres!$A$1:$I$89,3,0)*0.475*44/12</f>
        <v>1.0916725791608557</v>
      </c>
      <c r="FT66" s="22">
        <f t="shared" si="24"/>
        <v>25.67931098130564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4.4871794871794917</v>
      </c>
      <c r="FZ66" s="12">
        <f>IF('Données projet'!$A$244&gt;35,FZ65+FY66-GH65,IF(A66&lt;'Données projet'!$A$244,$FW$205^A66,IF(A66='Données projet'!$A$244,'Données projet'!$B$244,FZ65+FY66-GH65)))</f>
        <v>126.92307692307692</v>
      </c>
      <c r="GA66" s="17">
        <f>FZ66*VLOOKUP('Données projet'!$B$17,Paramètres!$A$1:$I$89,3,0)*VLOOKUP('Données projet'!$B$17,Paramètres!$A$1:$I$89,5,0)</f>
        <v>85.14</v>
      </c>
      <c r="GB66" s="13">
        <f t="shared" si="49"/>
        <v>23.389350085445869</v>
      </c>
      <c r="GC66" s="20">
        <f t="shared" si="25"/>
        <v>189.02195139881823</v>
      </c>
      <c r="GD66" s="59">
        <f t="shared" si="26"/>
        <v>477.18099558386393</v>
      </c>
      <c r="GE66" s="59">
        <f ca="1">AVERAGE(OFFSET($GD$3,0,0,'Données projet'!$E$17+1,1))-AVERAGE(OFFSET($H$3,0,0,'Données projet'!$E$17+1,1))</f>
        <v>192.88444860121191</v>
      </c>
      <c r="GF66" s="59">
        <f t="shared" si="50"/>
        <v>136.13737493732751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20.205923800081212</v>
      </c>
      <c r="GN66" s="21">
        <f>EXP(-LN(2)/2)*GN65+(1-EXP(-LN(2)/2))/(LN(2)/2)*GH66*GK66*VLOOKUP('Données projet'!$B$17,Paramètres!$A$1:$I$89,3,0)*0.475*44/12</f>
        <v>0.76644233700221454</v>
      </c>
      <c r="GO66" s="21">
        <f t="shared" si="27"/>
        <v>20.972366137083426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68.58883023228519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0.85000000000000009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3.1166666666666671</v>
      </c>
      <c r="H67" s="67">
        <f t="shared" si="1"/>
        <v>244.19999999999996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810.52601591471557</v>
      </c>
      <c r="S67" s="59">
        <f ca="1">AVERAGE(OFFSET($R$3,0,0,'Données projet'!$E$9+1,1))-AVERAGE(OFFSET($H$3,0,0,'Données projet'!$E$9+1,1))</f>
        <v>643.492472896403</v>
      </c>
      <c r="T67" s="59">
        <f t="shared" si="34"/>
        <v>285.0259479655341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6.4</v>
      </c>
      <c r="AI67" s="13">
        <f>IF('Données projet'!$A$62&gt;35,AI66+AH67-AQ66,IF(A67&lt;'Données projet'!$A$62,$AF$205^A67,IF(A67='Données projet'!$A$62,'Données projet'!$B$62,AI66+AH67-AQ66)))</f>
        <v>269.5999999999998</v>
      </c>
      <c r="AJ67" s="13">
        <f>AI67*VLOOKUP('Données projet'!$B$10,Paramètres!$A$1:$I$89,3,0)*VLOOKUP('Données projet'!$B$10,Paramètres!$A$1:$I$89,5,0)</f>
        <v>210.28799999999984</v>
      </c>
      <c r="AK67" s="13">
        <f t="shared" si="35"/>
        <v>51.998515923525652</v>
      </c>
      <c r="AL67" s="20">
        <f t="shared" si="4"/>
        <v>456.81568190014019</v>
      </c>
      <c r="AM67" s="59">
        <f t="shared" si="5"/>
        <v>745.06448843393116</v>
      </c>
      <c r="AN67" s="59">
        <f ca="1">AVERAGE(OFFSET($AM$3,0,0,'Données projet'!$E$10+1,1))-AVERAGE(OFFSET($H$3,0,0,'Données projet'!$E$10+1,1))</f>
        <v>289.89907502443873</v>
      </c>
      <c r="AO67" s="59">
        <f t="shared" si="36"/>
        <v>267.42183550360301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6.7464062015785498</v>
      </c>
      <c r="AV67" s="21">
        <f>EXP(-LN(2)/25)*AV66+(1-EXP(-LN(2)/25))/(LN(2)/25)*Calculateur!AQ67*Calculateur!AS67*VLOOKUP('Données projet'!$B$10,Paramètres!$A$1:$I$89,3,0)*0.475*44/12</f>
        <v>12.692406490325155</v>
      </c>
      <c r="AW67" s="21">
        <f>EXP(-LN(2)/2)*AW66+(1-EXP(-LN(2)/2))/(LN(2)/2)*AQ67*AT67*VLOOKUP('Données projet'!$B$10,Paramètres!$A$1:$I$89,3,0)*0.475*44/12</f>
        <v>1.5385585879349231</v>
      </c>
      <c r="AX67" s="21">
        <f t="shared" si="6"/>
        <v>20.977371279838628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2.1794871794871797</v>
      </c>
      <c r="BD67" s="12">
        <f>IF('Données projet'!$A$88&gt;35,BD66+BC67-BL66,IF(A67&lt;'Données projet'!$A$88,$BA$205^A67,IF(A67='Données projet'!$A$88,'Données projet'!$B$88,BD66+BC67-BL66)))</f>
        <v>76.025641025641008</v>
      </c>
      <c r="BE67" s="13">
        <f>BD67*VLOOKUP('Données projet'!$B$11,Paramètres!$A$1:$I$89,3,0)*VLOOKUP('Données projet'!$B$11,Paramètres!$A$1:$I$89,5,0)</f>
        <v>73.531999999999982</v>
      </c>
      <c r="BF67" s="13">
        <f t="shared" si="37"/>
        <v>20.548049011340446</v>
      </c>
      <c r="BG67" s="20">
        <f t="shared" si="7"/>
        <v>163.85608536141791</v>
      </c>
      <c r="BH67" s="59">
        <f t="shared" si="8"/>
        <v>452.10489189520888</v>
      </c>
      <c r="BI67" s="59">
        <f ca="1">AVERAGE(OFFSET($BH$3,0,0,'Données projet'!$E$11+1,1))-AVERAGE(OFFSET($H$3,0,0,'Données projet'!$E$11+1,1))</f>
        <v>177.54241137663234</v>
      </c>
      <c r="BJ67" s="59">
        <f t="shared" si="38"/>
        <v>114.71095021456071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10.253987025735462</v>
      </c>
      <c r="BR67" s="21">
        <f>EXP(-LN(2)/2)*BR66+(1-EXP(-LN(2)/2))/(LN(2)/2)*BL67*BO67*VLOOKUP('Données projet'!$B$11,Paramètres!$A$1:$I$89,3,0)*0.475*44/12</f>
        <v>0.3551050786742394</v>
      </c>
      <c r="BS67" s="22">
        <f t="shared" si="9"/>
        <v>10.609092104409701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2.1794871794871797</v>
      </c>
      <c r="BY67" s="12">
        <f>IF('Données projet'!$A$114&gt;35,BY66+BX67-CG66,IF(A67&lt;'Données projet'!$A$114,$BV$205^A67,IF(A67='Données projet'!$A$114,'Données projet'!$B$114,BY66+BX67-CG66)))</f>
        <v>76.025641025641008</v>
      </c>
      <c r="BZ67" s="13">
        <f>BY67*VLOOKUP('Données projet'!$B$12,Paramètres!$A$1:$I$89,3,0)*VLOOKUP('Données projet'!$B$12,Paramètres!$A$1:$I$89,5,0)</f>
        <v>81.833999999999975</v>
      </c>
      <c r="CA67" s="13">
        <f t="shared" si="39"/>
        <v>22.585013405197767</v>
      </c>
      <c r="CB67" s="20">
        <f t="shared" si="10"/>
        <v>181.86311501405271</v>
      </c>
      <c r="CC67" s="59">
        <f t="shared" si="11"/>
        <v>470.11192154784368</v>
      </c>
      <c r="CD67" s="59">
        <f ca="1">AVERAGE(OFFSET($CC$3,0,0,'Données projet'!$E$12+1,1))-AVERAGE(OFFSET($H$3,0,0,'Données projet'!$E$12+1,1))</f>
        <v>192.88977161349993</v>
      </c>
      <c r="CE67" s="59">
        <f t="shared" si="40"/>
        <v>122.91376861456772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11.411695238318497</v>
      </c>
      <c r="CM67" s="21">
        <f>EXP(-LN(2)/2)*CM66+(1-EXP(-LN(2)/2))/(LN(2)/2)*CG67*CJ67*VLOOKUP('Données projet'!$B$12,Paramètres!$A$1:$I$89,3,0)*0.475*44/12</f>
        <v>0.39519758755681478</v>
      </c>
      <c r="CN67" s="22">
        <f t="shared" si="12"/>
        <v>11.806892825875313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2.5641025641025634</v>
      </c>
      <c r="CT67" s="12">
        <f>IF('Données projet'!$A$140&gt;35,CT66+CS67-DB66,IF(A67&lt;'Données projet'!$A$140,$CQ$205^A67,IF(A67='Données projet'!$A$140,'Données projet'!$B$140,CT66+CS67-DB66)))</f>
        <v>105.76923076923077</v>
      </c>
      <c r="CU67" s="17">
        <f>CT67*VLOOKUP('Données projet'!$B$13,Paramètres!$A$1:$I$89,3,0)*VLOOKUP('Données projet'!$B$13,Paramètres!$A$1:$I$89,5,0)</f>
        <v>85.800000000000011</v>
      </c>
      <c r="CV67" s="13">
        <f t="shared" si="41"/>
        <v>23.549485995669766</v>
      </c>
      <c r="CW67" s="20">
        <f t="shared" si="13"/>
        <v>190.45035477579154</v>
      </c>
      <c r="CX67" s="59">
        <f t="shared" si="14"/>
        <v>478.69916130958251</v>
      </c>
      <c r="CY67" s="59">
        <f ca="1">AVERAGE(OFFSET($CX$3,0,0,'Données projet'!$E$13+1,1))-AVERAGE(OFFSET($H$3,0,0,'Données projet'!$E$13+1,1))</f>
        <v>163.16040389635825</v>
      </c>
      <c r="CZ67" s="59">
        <f t="shared" si="42"/>
        <v>138.57856782158811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3.1308821204386272</v>
      </c>
      <c r="DH67" s="21">
        <f>EXP(-LN(2)/2)*DH66+(1-EXP(-LN(2)/2))/(LN(2)/2)*DB67*DE67*VLOOKUP('Données projet'!$B$13,Paramètres!$A$1:$I$89,3,0)*0.475*44/12</f>
        <v>0.40970634042961895</v>
      </c>
      <c r="DI67" s="22">
        <f t="shared" si="15"/>
        <v>3.5405884608682463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11.997500000000002</v>
      </c>
      <c r="DO67" s="12">
        <f>IF('Données projet'!$A$166&gt;35,DO66+DN67-DW66,IF(A67&lt;'Données projet'!$A$166,$DL$205^A67,IF(A67='Données projet'!$A$166,'Données projet'!$B$166,DO66+DN67-DW66)))</f>
        <v>287.00249999999988</v>
      </c>
      <c r="DP67" s="17">
        <f>DO67*VLOOKUP('Données projet'!$B$14,Paramètres!$A$1:$I$89,3,0)*VLOOKUP('Données projet'!$B$14,Paramètres!$A$1:$I$89,5,0)</f>
        <v>134.31716999999995</v>
      </c>
      <c r="DQ67" s="13">
        <f t="shared" si="43"/>
        <v>34.992025911781333</v>
      </c>
      <c r="DR67" s="20">
        <f t="shared" si="16"/>
        <v>294.88018287968566</v>
      </c>
      <c r="DS67" s="59">
        <f t="shared" si="17"/>
        <v>583.12898941347657</v>
      </c>
      <c r="DT67" s="59">
        <f ca="1">AVERAGE(OFFSET($DS$3,0,0,'Données projet'!$E$14+1,1))-AVERAGE(OFFSET($H$3,0,0,'Données projet'!$E$14+1,1))</f>
        <v>343.44193069803498</v>
      </c>
      <c r="DU67" s="59">
        <f t="shared" si="44"/>
        <v>280.67367019483481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31.048212177462258</v>
      </c>
      <c r="EB67" s="21">
        <f>EXP(-LN(2)/25)*EB66+(1-EXP(-LN(2)/25))/(LN(2)/25)*Calculateur!DW67*Calculateur!DY67*VLOOKUP('Données projet'!$B$14,Paramètres!$A$1:$I$89,3,0)*0.475*44/12</f>
        <v>21.611850362580327</v>
      </c>
      <c r="EC67" s="21">
        <f>EXP(-LN(2)/2)*EC66+(1-EXP(-LN(2)/2))/(LN(2)/2)*DW67*DZ67*VLOOKUP('Données projet'!$B$14,Paramètres!$A$1:$I$89,3,0)*0.475*44/12</f>
        <v>4.1848377019420573</v>
      </c>
      <c r="ED67" s="22">
        <f t="shared" si="18"/>
        <v>56.844900241984647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4.4871794871794917</v>
      </c>
      <c r="EJ67" s="12">
        <f>IF('Données projet'!$A$192&gt;35,EJ66+EI67-ER66,IF(A67&lt;'Données projet'!$A$192,$EG$205^A67,IF(A67='Données projet'!$A$192,'Données projet'!$B$192,EJ66+EI67-ER66)))</f>
        <v>131.41025641025641</v>
      </c>
      <c r="EK67" s="17">
        <f>EJ67*VLOOKUP('Données projet'!$B$15,Paramètres!$A$1:$I$89,3,0)*VLOOKUP('Données projet'!$B$15,Paramètres!$A$1:$I$89,5,0)</f>
        <v>133.25</v>
      </c>
      <c r="EL67" s="13">
        <f t="shared" si="45"/>
        <v>34.746256267833793</v>
      </c>
      <c r="EM67" s="20">
        <f t="shared" si="19"/>
        <v>292.59347966647721</v>
      </c>
      <c r="EN67" s="59">
        <f t="shared" si="20"/>
        <v>580.84228620026818</v>
      </c>
      <c r="EO67" s="59">
        <f ca="1">AVERAGE(OFFSET($EN$3,0,0,'Données projet'!$E$15+1,1))-AVERAGE(OFFSET($H$3,0,0,'Données projet'!$E$15+1,1))</f>
        <v>270.0029254736703</v>
      </c>
      <c r="EP67" s="59">
        <f t="shared" si="46"/>
        <v>183.80022202211441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24.103216298622669</v>
      </c>
      <c r="EX67" s="21">
        <f>EXP(-LN(2)/2)*EX66+(1-EXP(-LN(2)/2))/(LN(2)/2)*ER67*EU67*VLOOKUP('Données projet'!$B$15,Paramètres!$A$1:$I$89,3,0)*0.475*44/12</f>
        <v>0.81923668145063966</v>
      </c>
      <c r="EY67" s="22">
        <f t="shared" si="21"/>
        <v>24.922452980073309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4.4000000000000004</v>
      </c>
      <c r="FE67" s="12">
        <f>IF('Données projet'!$A$218&gt;35,FE66+FD67-FM66,IF(A67&lt;'Données projet'!$A$218,$FB$205^A67,IF(A67='Données projet'!$A$218,'Données projet'!$B$218,FE66+FD67-FM66)))</f>
        <v>250.59999999999985</v>
      </c>
      <c r="FF67" s="17">
        <f>FE67*VLOOKUP('Données projet'!$B$16,Paramètres!$A$1:$I$89,3,0)*VLOOKUP('Données projet'!$B$16,Paramètres!$A$1:$I$89,5,0)</f>
        <v>218.92415999999989</v>
      </c>
      <c r="FG67" s="13">
        <f t="shared" si="47"/>
        <v>53.880990541091087</v>
      </c>
      <c r="FH67" s="20">
        <f t="shared" si="22"/>
        <v>475.13563719240005</v>
      </c>
      <c r="FI67" s="59">
        <f t="shared" si="23"/>
        <v>763.38444372619097</v>
      </c>
      <c r="FJ67" s="59">
        <f ca="1">AVERAGE(OFFSET($FI$3,0,0,'Données projet'!$E$16+1,1))-AVERAGE(OFFSET($H$3,0,0,'Données projet'!$E$16+1,1))</f>
        <v>328.93328163316073</v>
      </c>
      <c r="FK67" s="59">
        <f t="shared" si="48"/>
        <v>320.27831321887072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10.636365866462551</v>
      </c>
      <c r="FR67" s="21">
        <f>EXP(-LN(2)/25)*FR66+(1-EXP(-LN(2)/25))/(LN(2)/25)*Calculateur!FM67*Calculateur!FO67*VLOOKUP('Données projet'!$B$16,Paramètres!$A$1:$I$89,3,0)*0.475*44/12</f>
        <v>13.362847326589067</v>
      </c>
      <c r="FS67" s="21">
        <f>EXP(-LN(2)/2)*FS66+(1-EXP(-LN(2)/2))/(LN(2)/2)*FM67*FP67*VLOOKUP('Données projet'!$B$16,Paramètres!$A$1:$I$89,3,0)*0.475*44/12</f>
        <v>0.77192908356004919</v>
      </c>
      <c r="FT67" s="22">
        <f t="shared" si="24"/>
        <v>24.771142276611666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4.4871794871794917</v>
      </c>
      <c r="FZ67" s="12">
        <f>IF('Données projet'!$A$244&gt;35,FZ66+FY67-GH66,IF(A67&lt;'Données projet'!$A$244,$FW$205^A67,IF(A67='Données projet'!$A$244,'Données projet'!$B$244,FZ66+FY67-GH66)))</f>
        <v>131.41025641025641</v>
      </c>
      <c r="GA67" s="17">
        <f>FZ67*VLOOKUP('Données projet'!$B$17,Paramètres!$A$1:$I$89,3,0)*VLOOKUP('Données projet'!$B$17,Paramètres!$A$1:$I$89,5,0)</f>
        <v>88.15</v>
      </c>
      <c r="GB67" s="13">
        <f t="shared" si="49"/>
        <v>24.118511639205323</v>
      </c>
      <c r="GC67" s="20">
        <f t="shared" si="25"/>
        <v>195.5343244382826</v>
      </c>
      <c r="GD67" s="59">
        <f t="shared" si="26"/>
        <v>483.78313097207354</v>
      </c>
      <c r="GE67" s="59">
        <f ca="1">AVERAGE(OFFSET($GD$3,0,0,'Données projet'!$E$17+1,1))-AVERAGE(OFFSET($H$3,0,0,'Données projet'!$E$17+1,1))</f>
        <v>192.88444860121191</v>
      </c>
      <c r="GF67" s="59">
        <f t="shared" si="50"/>
        <v>136.13737493732751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19.653391751184639</v>
      </c>
      <c r="GN67" s="21">
        <f>EXP(-LN(2)/2)*GN66+(1-EXP(-LN(2)/2))/(LN(2)/2)*GH67*GK67*VLOOKUP('Données projet'!$B$17,Paramètres!$A$1:$I$89,3,0)*0.475*44/12</f>
        <v>0.54195657388273111</v>
      </c>
      <c r="GO67" s="21">
        <f t="shared" si="27"/>
        <v>20.195348325067371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68.613310872852082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0.85000000000000009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3.1166666666666671</v>
      </c>
      <c r="H68" s="67">
        <f t="shared" ref="H68:H131" si="56">(B68+E68+F68)*44/12+(C68+D68)*0.475*44/12</f>
        <v>244.19999999999996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829.95980561555052</v>
      </c>
      <c r="S68" s="59">
        <f ca="1">AVERAGE(OFFSET($R$3,0,0,'Données projet'!$E$9+1,1))-AVERAGE(OFFSET($H$3,0,0,'Données projet'!$E$9+1,1))</f>
        <v>643.492472896403</v>
      </c>
      <c r="T68" s="59">
        <f t="shared" si="34"/>
        <v>285.0259479655341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276</v>
      </c>
      <c r="AG68" s="12">
        <f>VLOOKUP(A68,'Données projet'!$A$61:$I$81,9,0)</f>
        <v>6.4</v>
      </c>
      <c r="AH68" s="12">
        <f t="array" ref="AH68">INDEX(AG:AG,MIN(IF(ISNUMBER(AG68:AG264),ROW(AG68:AG264),"")))</f>
        <v>6.4</v>
      </c>
      <c r="AI68" s="13">
        <f>IF('Données projet'!$A$62&gt;35,AI67+AH68-AQ67,IF(A68&lt;'Données projet'!$A$62,$AF$205^A68,IF(A68='Données projet'!$A$62,'Données projet'!$B$62,AI67+AH68-AQ67)))</f>
        <v>275.99999999999977</v>
      </c>
      <c r="AJ68" s="13">
        <f>AI68*VLOOKUP('Données projet'!$B$10,Paramètres!$A$1:$I$89,3,0)*VLOOKUP('Données projet'!$B$10,Paramètres!$A$1:$I$89,5,0)</f>
        <v>215.27999999999983</v>
      </c>
      <c r="AK68" s="13">
        <f t="shared" si="35"/>
        <v>53.087725740853138</v>
      </c>
      <c r="AL68" s="20">
        <f t="shared" ref="AL68:AL131" si="58">(AJ68+AK68)*0.475*44/12</f>
        <v>467.40712233198559</v>
      </c>
      <c r="AM68" s="59">
        <f t="shared" ref="AM68:AM131" si="59">AL68+(AD68+AE68)*44/12</f>
        <v>755.7441340384496</v>
      </c>
      <c r="AN68" s="59">
        <f ca="1">AVERAGE(OFFSET($AM$3,0,0,'Données projet'!$E$10+1,1))-AVERAGE(OFFSET($H$3,0,0,'Données projet'!$E$10+1,1))</f>
        <v>289.89907502443873</v>
      </c>
      <c r="AO68" s="59">
        <f t="shared" si="36"/>
        <v>267.42183550360301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26</v>
      </c>
      <c r="AR68" s="16">
        <f>IF(ISNA(VLOOKUP(A68,'Données projet'!$A$61:$I$81,5,0)),0%,VLOOKUP(A68,'Données projet'!$A$61:$I$81,5,0)*VLOOKUP('Données projet'!$B$10,Paramètres!$A$1:$I$89,7,0))</f>
        <v>0.1075</v>
      </c>
      <c r="AS68" s="16">
        <f>IF(ISNA(VLOOKUP(A68,'Données projet'!$A$61:$I$81,6,0)),0%,VLOOKUP(A68,'Données projet'!$A$61:$I$81,6,0)*VLOOKUP('Données projet'!$B$10,Paramètres!$A$1:$I$89,7,0))</f>
        <v>0.1075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9.0241492652868498</v>
      </c>
      <c r="AV68" s="21">
        <f>EXP(-LN(2)/25)*AV67+(1-EXP(-LN(2)/25))/(LN(2)/25)*Calculateur!AQ68*Calculateur!AS68*VLOOKUP('Données projet'!$B$10,Paramètres!$A$1:$I$89,3,0)*0.475*44/12</f>
        <v>14.74587871187536</v>
      </c>
      <c r="AW68" s="21">
        <f>EXP(-LN(2)/2)*AW67+(1-EXP(-LN(2)/2))/(LN(2)/2)*AQ68*AT68*VLOOKUP('Données projet'!$B$10,Paramètres!$A$1:$I$89,3,0)*0.475*44/12</f>
        <v>5.8716066678309016</v>
      </c>
      <c r="AX68" s="21">
        <f t="shared" ref="AX68:AX131" si="60">SUM(AU68:AW68)</f>
        <v>29.641634644993111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78.205128205128204</v>
      </c>
      <c r="BB68" s="12">
        <f>VLOOKUP(A68,'Données projet'!$A$87:$I$107,9,0)</f>
        <v>2.1794871794871797</v>
      </c>
      <c r="BC68" s="12">
        <f t="array" ref="BC68">INDEX(BB:BB,MIN(IF(ISNUMBER(BB68:BB264),ROW(BB68:BB264),"")))</f>
        <v>2.1794871794871797</v>
      </c>
      <c r="BD68" s="12">
        <f>IF('Données projet'!$A$88&gt;35,BD67+BC68-BL67,IF(A68&lt;'Données projet'!$A$88,$BA$205^A68,IF(A68='Données projet'!$A$88,'Données projet'!$B$88,BD67+BC68-BL67)))</f>
        <v>78.20512820512819</v>
      </c>
      <c r="BE68" s="13">
        <f>BD68*VLOOKUP('Données projet'!$B$11,Paramètres!$A$1:$I$89,3,0)*VLOOKUP('Données projet'!$B$11,Paramètres!$A$1:$I$89,5,0)</f>
        <v>75.639999999999986</v>
      </c>
      <c r="BF68" s="13">
        <f t="shared" si="37"/>
        <v>21.067689455585086</v>
      </c>
      <c r="BG68" s="20">
        <f t="shared" ref="BG68:BG131" si="61">(BE68+BF68)*0.475*44/12</f>
        <v>168.43255913514398</v>
      </c>
      <c r="BH68" s="59">
        <f t="shared" ref="BH68:BH131" si="62">BG68+(AY68+AZ68)*44/12</f>
        <v>456.76957084160802</v>
      </c>
      <c r="BI68" s="59">
        <f ca="1">AVERAGE(OFFSET($BH$3,0,0,'Données projet'!$E$11+1,1))-AVERAGE(OFFSET($H$3,0,0,'Données projet'!$E$11+1,1))</f>
        <v>177.54241137663234</v>
      </c>
      <c r="BJ68" s="59">
        <f t="shared" si="38"/>
        <v>114.71095021456071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6.4102564102564097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0.34400000000000003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12.322055087552069</v>
      </c>
      <c r="BR68" s="21">
        <f>EXP(-LN(2)/2)*BR67+(1-EXP(-LN(2)/2))/(LN(2)/2)*BL68*BO68*VLOOKUP('Données projet'!$B$11,Paramètres!$A$1:$I$89,3,0)*0.475*44/12</f>
        <v>1.4210705832750186</v>
      </c>
      <c r="BS68" s="22">
        <f t="shared" ref="BS68:BS131" si="63">SUM(BP68:BR68)</f>
        <v>13.743125670827087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78.205128205128204</v>
      </c>
      <c r="BW68" s="12">
        <f>VLOOKUP(A68,'Données projet'!$A$113:$I$133,9,0)</f>
        <v>2.1794871794871797</v>
      </c>
      <c r="BX68" s="12">
        <f t="array" ref="BX68">INDEX(BW:BW,MIN(IF(ISNUMBER(BW68:BW264),ROW(BW68:BW264),"")))</f>
        <v>2.1794871794871797</v>
      </c>
      <c r="BY68" s="12">
        <f>IF('Données projet'!$A$114&gt;35,BY67+BX68-CG67,IF(A68&lt;'Données projet'!$A$114,$BV$205^A68,IF(A68='Données projet'!$A$114,'Données projet'!$B$114,BY67+BX68-CG67)))</f>
        <v>78.20512820512819</v>
      </c>
      <c r="BZ68" s="13">
        <f>BY68*VLOOKUP('Données projet'!$B$12,Paramètres!$A$1:$I$89,3,0)*VLOOKUP('Données projet'!$B$12,Paramètres!$A$1:$I$89,5,0)</f>
        <v>84.179999999999978</v>
      </c>
      <c r="CA68" s="13">
        <f t="shared" si="39"/>
        <v>23.156166724555288</v>
      </c>
      <c r="CB68" s="20">
        <f t="shared" ref="CB68:CB131" si="64">(BZ68+CA68)*0.475*44/12</f>
        <v>186.94382371193376</v>
      </c>
      <c r="CC68" s="59">
        <f t="shared" ref="CC68:CC131" si="65">CB68+(BT68+BU68)*44/12</f>
        <v>475.28083541839777</v>
      </c>
      <c r="CD68" s="59">
        <f ca="1">AVERAGE(OFFSET($CC$3,0,0,'Données projet'!$E$12+1,1))-AVERAGE(OFFSET($H$3,0,0,'Données projet'!$E$12+1,1))</f>
        <v>192.88977161349993</v>
      </c>
      <c r="CE68" s="59">
        <f t="shared" si="40"/>
        <v>122.91376861456772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6.4102564102564097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0.34400000000000003</v>
      </c>
      <c r="CJ68" s="16">
        <f>IF(ISNA(VLOOKUP(A68,'Données projet'!$A$113:$I$133,7,0)),0%,VLOOKUP(A68,'Données projet'!$A$113:$I$133,7,0))</f>
        <v>0.2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13.713254855501496</v>
      </c>
      <c r="CM68" s="21">
        <f>EXP(-LN(2)/2)*CM67+(1-EXP(-LN(2)/2))/(LN(2)/2)*CG68*CJ68*VLOOKUP('Données projet'!$B$12,Paramètres!$A$1:$I$89,3,0)*0.475*44/12</f>
        <v>1.5815140362254236</v>
      </c>
      <c r="CN68" s="22">
        <f t="shared" ref="CN68:CN131" si="66">SUM(CK68:CM68)</f>
        <v>15.294768891726919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108.33333333333334</v>
      </c>
      <c r="CR68" s="12">
        <f>VLOOKUP(A68,'Données projet'!$A$139:$I$159,9,0)</f>
        <v>2.5641025641025634</v>
      </c>
      <c r="CS68" s="12">
        <f t="array" ref="CS68">INDEX(CR:CR,MIN(IF(ISNUMBER(CR68:CR264),ROW(CR68:CR264),"")))</f>
        <v>2.5641025641025634</v>
      </c>
      <c r="CT68" s="12">
        <f>IF('Données projet'!$A$140&gt;35,CT67+CS68-DB67,IF(A68&lt;'Données projet'!$A$140,$CQ$205^A68,IF(A68='Données projet'!$A$140,'Données projet'!$B$140,CT67+CS68-DB67)))</f>
        <v>108.33333333333334</v>
      </c>
      <c r="CU68" s="17">
        <f>CT68*VLOOKUP('Données projet'!$B$13,Paramètres!$A$1:$I$89,3,0)*VLOOKUP('Données projet'!$B$13,Paramètres!$A$1:$I$89,5,0)</f>
        <v>87.880000000000024</v>
      </c>
      <c r="CV68" s="13">
        <f t="shared" si="41"/>
        <v>24.053224872750018</v>
      </c>
      <c r="CW68" s="20">
        <f t="shared" ref="CW68:CW131" si="67">(CU68+CV68)*0.475*44/12</f>
        <v>194.95036665337298</v>
      </c>
      <c r="CX68" s="59">
        <f t="shared" ref="CX68:CX131" si="68">CW68+(CO68+CP68)*44/12</f>
        <v>483.28737835983702</v>
      </c>
      <c r="CY68" s="59">
        <f ca="1">AVERAGE(OFFSET($CX$3,0,0,'Données projet'!$E$13+1,1))-AVERAGE(OFFSET($H$3,0,0,'Données projet'!$E$13+1,1))</f>
        <v>163.16040389635825</v>
      </c>
      <c r="CZ68" s="59">
        <f t="shared" si="42"/>
        <v>138.57856782158811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7.0512820512820511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0.1075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3.722345271117522</v>
      </c>
      <c r="DH68" s="21">
        <f>EXP(-LN(2)/2)*DH67+(1-EXP(-LN(2)/2))/(LN(2)/2)*DB68*DE68*VLOOKUP('Données projet'!$B$13,Paramètres!$A$1:$I$89,3,0)*0.475*44/12</f>
        <v>1.6389496194986131</v>
      </c>
      <c r="DI68" s="22">
        <f t="shared" ref="DI68:DI131" si="69">SUM(DF68:DH68)</f>
        <v>5.3612948906161346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11.997500000000002</v>
      </c>
      <c r="DO68" s="12">
        <f>IF('Données projet'!$A$166&gt;35,DO67+DN68-DW67,IF(A68&lt;'Données projet'!$A$166,$DL$205^A68,IF(A68='Données projet'!$A$166,'Données projet'!$B$166,DO67+DN68-DW67)))</f>
        <v>298.99999999999989</v>
      </c>
      <c r="DP68" s="17">
        <f>DO68*VLOOKUP('Données projet'!$B$14,Paramètres!$A$1:$I$89,3,0)*VLOOKUP('Données projet'!$B$14,Paramètres!$A$1:$I$89,5,0)</f>
        <v>139.93199999999996</v>
      </c>
      <c r="DQ68" s="13">
        <f t="shared" si="43"/>
        <v>36.281427209452353</v>
      </c>
      <c r="DR68" s="20">
        <f t="shared" ref="DR68:DR131" si="70">(DP68+DQ68)*0.475*44/12</f>
        <v>306.90505238979614</v>
      </c>
      <c r="DS68" s="59">
        <f t="shared" ref="DS68:DS131" si="71">DR68+(DJ68+DK68)*44/12</f>
        <v>595.24206409626015</v>
      </c>
      <c r="DT68" s="59">
        <f ca="1">AVERAGE(OFFSET($DS$3,0,0,'Données projet'!$E$14+1,1))-AVERAGE(OFFSET($H$3,0,0,'Données projet'!$E$14+1,1))</f>
        <v>343.44193069803498</v>
      </c>
      <c r="DU68" s="59">
        <f t="shared" si="44"/>
        <v>280.67367019483481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30.439375674201724</v>
      </c>
      <c r="EB68" s="21">
        <f>EXP(-LN(2)/25)*EB67+(1-EXP(-LN(2)/25))/(LN(2)/25)*Calculateur!DW68*Calculateur!DY68*VLOOKUP('Données projet'!$B$14,Paramètres!$A$1:$I$89,3,0)*0.475*44/12</f>
        <v>21.020873177897752</v>
      </c>
      <c r="EC68" s="21">
        <f>EXP(-LN(2)/2)*EC67+(1-EXP(-LN(2)/2))/(LN(2)/2)*DW68*DZ68*VLOOKUP('Données projet'!$B$14,Paramètres!$A$1:$I$89,3,0)*0.475*44/12</f>
        <v>2.9591271172083569</v>
      </c>
      <c r="ED68" s="22">
        <f t="shared" ref="ED68:ED131" si="72">SUM(EA68:EC68)</f>
        <v>54.419375969307829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135.89743589743591</v>
      </c>
      <c r="EH68" s="12">
        <f>VLOOKUP(A68,'Données projet'!$A$191:$I$211,9,0)</f>
        <v>4.4871794871794917</v>
      </c>
      <c r="EI68" s="12">
        <f t="array" ref="EI68">INDEX(EH:EH,MIN(IF(ISNUMBER(EH68:EH264),ROW(EH68:EH264),"")))</f>
        <v>4.4871794871794917</v>
      </c>
      <c r="EJ68" s="12">
        <f>IF('Données projet'!$A$192&gt;35,EJ67+EI68-ER67,IF(A68&lt;'Données projet'!$A$192,$EG$205^A68,IF(A68='Données projet'!$A$192,'Données projet'!$B$192,EJ67+EI68-ER67)))</f>
        <v>135.89743589743591</v>
      </c>
      <c r="EK68" s="17">
        <f>EJ68*VLOOKUP('Données projet'!$B$15,Paramètres!$A$1:$I$89,3,0)*VLOOKUP('Données projet'!$B$15,Paramètres!$A$1:$I$89,5,0)</f>
        <v>137.80000000000001</v>
      </c>
      <c r="EL68" s="13">
        <f t="shared" si="45"/>
        <v>35.792552736298617</v>
      </c>
      <c r="EM68" s="20">
        <f t="shared" ref="EM68:EM131" si="73">(EK68+EL68)*0.475*44/12</f>
        <v>302.34036268238674</v>
      </c>
      <c r="EN68" s="59">
        <f t="shared" ref="EN68:EN131" si="74">EM68+(EE68+EF68)*44/12</f>
        <v>590.67737438885069</v>
      </c>
      <c r="EO68" s="59">
        <f ca="1">AVERAGE(OFFSET($EN$3,0,0,'Données projet'!$E$15+1,1))-AVERAGE(OFFSET($H$3,0,0,'Données projet'!$E$15+1,1))</f>
        <v>270.0029254736703</v>
      </c>
      <c r="EP68" s="59">
        <f t="shared" si="46"/>
        <v>183.80022202211441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14.102564102564102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0.34400000000000003</v>
      </c>
      <c r="EU68" s="16">
        <f>IF(ISNA(VLOOKUP(A68,'Données projet'!$A$191:$I$211,7,0)),0%,VLOOKUP(A68,'Données projet'!$A$191:$I$211,7,0))</f>
        <v>0.2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28.860730876669567</v>
      </c>
      <c r="EX68" s="21">
        <f>EXP(-LN(2)/2)*EX67+(1-EXP(-LN(2)/2))/(LN(2)/2)*ER68*EU68*VLOOKUP('Données projet'!$B$15,Paramètres!$A$1:$I$89,3,0)*0.475*44/12</f>
        <v>3.2777747886219215</v>
      </c>
      <c r="EY68" s="22">
        <f t="shared" ref="EY68:EY131" si="75">SUM(EV68:EX68)</f>
        <v>32.13850566529149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255</v>
      </c>
      <c r="FC68" s="12">
        <f>VLOOKUP(A68,'Données projet'!$A$217:$I$237,9,0)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projet'!$A$218&gt;35,FE67+FD68-FM67,IF(A68&lt;'Données projet'!$A$218,$FB$205^A68,IF(A68='Données projet'!$A$218,'Données projet'!$B$218,FE67+FD68-FM67)))</f>
        <v>254.99999999999986</v>
      </c>
      <c r="FF68" s="17">
        <f>FE68*VLOOKUP('Données projet'!$B$16,Paramètres!$A$1:$I$89,3,0)*VLOOKUP('Données projet'!$B$16,Paramètres!$A$1:$I$89,5,0)</f>
        <v>222.76799999999989</v>
      </c>
      <c r="FG68" s="13">
        <f t="shared" si="47"/>
        <v>54.716058356609459</v>
      </c>
      <c r="FH68" s="20">
        <f t="shared" ref="FH68:FH131" si="76">(FF68+FG68)*0.475*44/12</f>
        <v>483.28473497109462</v>
      </c>
      <c r="FI68" s="59">
        <f t="shared" ref="FI68:FI131" si="77">FH68+(EZ68+FA68)*44/12</f>
        <v>771.62174667755858</v>
      </c>
      <c r="FJ68" s="59">
        <f ca="1">AVERAGE(OFFSET($FI$3,0,0,'Données projet'!$E$16+1,1))-AVERAGE(OFFSET($H$3,0,0,'Données projet'!$E$16+1,1))</f>
        <v>328.93328163316073</v>
      </c>
      <c r="FK68" s="59">
        <f t="shared" si="48"/>
        <v>320.27831321887072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0.13250000000000001</v>
      </c>
      <c r="FO68" s="16">
        <f>IF(ISNA(VLOOKUP(A68,'Données projet'!$A$217:$I$237,6,0)),0%,VLOOKUP(A68,'Données projet'!$A$217:$I$237,6,0)*VLOOKUP('Données projet'!$B$16,Paramètres!$A$1:$I$89,7,0))</f>
        <v>0.13250000000000001</v>
      </c>
      <c r="FP68" s="16">
        <f>IF(ISNA(VLOOKUP(A68,'Données projet'!$A$217:$I$237,7,0)),0%,VLOOKUP(A68,'Données projet'!$A$217:$I$237,7,0))</f>
        <v>0.25</v>
      </c>
      <c r="FQ68" s="21">
        <f>EXP(-LN(2)/35)*FQ67+(1-EXP(-LN(2)/35))/(LN(2)/35)*FM68*FN68*VLOOKUP('Données projet'!$B$16,Paramètres!$A$1:$I$89,3,0)*0.475*44/12</f>
        <v>11.835357700452485</v>
      </c>
      <c r="FR68" s="21">
        <f>EXP(-LN(2)/25)*FR67+(1-EXP(-LN(2)/25))/(LN(2)/25)*Calculateur!FM68*Calculateur!FO68*VLOOKUP('Données projet'!$B$16,Paramètres!$A$1:$I$89,3,0)*0.475*44/12</f>
        <v>14.399461927124406</v>
      </c>
      <c r="FS68" s="21">
        <f>EXP(-LN(2)/2)*FS67+(1-EXP(-LN(2)/2))/(LN(2)/2)*FM68*FP68*VLOOKUP('Données projet'!$B$16,Paramètres!$A$1:$I$89,3,0)*0.475*44/12</f>
        <v>2.8125653492284126</v>
      </c>
      <c r="FT68" s="22">
        <f t="shared" ref="FT68:FT131" si="78">SUM(FQ68:FS68)</f>
        <v>29.047384976805304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135.89743589743591</v>
      </c>
      <c r="FX68" s="12">
        <f>VLOOKUP(A68,'Données projet'!$A$243:$I$263,9,0)</f>
        <v>4.4871794871794917</v>
      </c>
      <c r="FY68" s="12">
        <f t="array" ref="FY68">INDEX(FX:FX,MIN(IF(ISNUMBER(FX68:FX264),ROW(FX68:FX264),"")))</f>
        <v>4.4871794871794917</v>
      </c>
      <c r="FZ68" s="12">
        <f>IF('Données projet'!$A$244&gt;35,FZ67+FY68-GH67,IF(A68&lt;'Données projet'!$A$244,$FW$205^A68,IF(A68='Données projet'!$A$244,'Données projet'!$B$244,FZ67+FY68-GH67)))</f>
        <v>135.89743589743591</v>
      </c>
      <c r="GA68" s="17">
        <f>FZ68*VLOOKUP('Données projet'!$B$17,Paramètres!$A$1:$I$89,3,0)*VLOOKUP('Données projet'!$B$17,Paramètres!$A$1:$I$89,5,0)</f>
        <v>91.160000000000011</v>
      </c>
      <c r="GB68" s="13">
        <f t="shared" si="49"/>
        <v>24.844780200578068</v>
      </c>
      <c r="GC68" s="20">
        <f t="shared" ref="GC68:GC131" si="79">(GA68+GB68)*0.475*44/12</f>
        <v>202.04165884934017</v>
      </c>
      <c r="GD68" s="59">
        <f t="shared" ref="GD68:GD131" si="80">GC68+(FU68+FV68)*44/12</f>
        <v>490.37867055580421</v>
      </c>
      <c r="GE68" s="59">
        <f ca="1">AVERAGE(OFFSET($GD$3,0,0,'Données projet'!$E$17+1,1))-AVERAGE(OFFSET($H$3,0,0,'Données projet'!$E$17+1,1))</f>
        <v>192.88444860121191</v>
      </c>
      <c r="GF68" s="59">
        <f t="shared" si="50"/>
        <v>136.13737493732751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14.102564102564102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0.42400000000000004</v>
      </c>
      <c r="GK68" s="16">
        <f>IF(ISNA(VLOOKUP(A68,'Données projet'!$A$243:$I$263,7,0)),0%,VLOOKUP(A68,'Données projet'!$A$243:$I$263,7,0))</f>
        <v>0.2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23.53259594559211</v>
      </c>
      <c r="GN68" s="21">
        <f>EXP(-LN(2)/2)*GN67+(1-EXP(-LN(2)/2))/(LN(2)/2)*GH68*GK68*VLOOKUP('Données projet'!$B$17,Paramètres!$A$1:$I$89,3,0)*0.475*44/12</f>
        <v>2.1683740909345017</v>
      </c>
      <c r="GO68" s="21">
        <f t="shared" ref="GO68:GO131" si="81">SUM(GL68:GN68)</f>
        <v>25.700970036526613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68.637366829035642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0.85000000000000009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3.1166666666666671</v>
      </c>
      <c r="H69" s="67">
        <f t="shared" si="56"/>
        <v>244.19999999999996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849.37755927541184</v>
      </c>
      <c r="S69" s="59">
        <f ca="1">AVERAGE(OFFSET($R$3,0,0,'Données projet'!$E$9+1,1))-AVERAGE(OFFSET($H$3,0,0,'Données projet'!$E$9+1,1))</f>
        <v>643.492472896403</v>
      </c>
      <c r="T69" s="59">
        <f t="shared" ref="T69:T132" si="88">$T$3</f>
        <v>285.0259479655341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</v>
      </c>
      <c r="AI69" s="13">
        <f>IF('Données projet'!$A$62&gt;35,AI68+AH69-AQ68,IF(A69&lt;'Données projet'!$A$62,$AF$205^A69,IF(A69='Données projet'!$A$62,'Données projet'!$B$62,AI68+AH69-AQ68)))</f>
        <v>255.99999999999977</v>
      </c>
      <c r="AJ69" s="13">
        <f>AI69*VLOOKUP('Données projet'!$B$10,Paramètres!$A$1:$I$89,3,0)*VLOOKUP('Données projet'!$B$10,Paramètres!$A$1:$I$89,5,0)</f>
        <v>199.67999999999984</v>
      </c>
      <c r="AK69" s="13">
        <f t="shared" ref="AK69:AK132" si="89">EXP(-1.0587+0.8836*LN(AJ69)+0.284)</f>
        <v>49.673834858130768</v>
      </c>
      <c r="AL69" s="20">
        <f t="shared" si="58"/>
        <v>434.29126237791075</v>
      </c>
      <c r="AM69" s="59">
        <f t="shared" si="59"/>
        <v>722.71494909449916</v>
      </c>
      <c r="AN69" s="59">
        <f ca="1">AVERAGE(OFFSET($AM$3,0,0,'Données projet'!$E$10+1,1))-AVERAGE(OFFSET($H$3,0,0,'Données projet'!$E$10+1,1))</f>
        <v>289.89907502443873</v>
      </c>
      <c r="AO69" s="59">
        <f t="shared" ref="AO69:AO132" si="90">$AO$3</f>
        <v>267.42183550360301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8.8471912023821329</v>
      </c>
      <c r="AV69" s="21">
        <f>EXP(-LN(2)/25)*AV68+(1-EXP(-LN(2)/25))/(LN(2)/25)*Calculateur!AQ69*Calculateur!AS69*VLOOKUP('Données projet'!$B$10,Paramètres!$A$1:$I$89,3,0)*0.475*44/12</f>
        <v>14.342651883047068</v>
      </c>
      <c r="AW69" s="21">
        <f>EXP(-LN(2)/2)*AW68+(1-EXP(-LN(2)/2))/(LN(2)/2)*AQ69*AT69*VLOOKUP('Données projet'!$B$10,Paramètres!$A$1:$I$89,3,0)*0.475*44/12</f>
        <v>4.1518528912833794</v>
      </c>
      <c r="AX69" s="21">
        <f t="shared" si="60"/>
        <v>27.341695976712582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2.3076923076923066</v>
      </c>
      <c r="BD69" s="12">
        <f>IF('Données projet'!$A$88&gt;35,BD68+BC69-BL68,IF(A69&lt;'Données projet'!$A$88,$BA$205^A69,IF(A69='Données projet'!$A$88,'Données projet'!$B$88,BD68+BC69-BL68)))</f>
        <v>74.102564102564088</v>
      </c>
      <c r="BE69" s="13">
        <f>BD69*VLOOKUP('Données projet'!$B$11,Paramètres!$A$1:$I$89,3,0)*VLOOKUP('Données projet'!$B$11,Paramètres!$A$1:$I$89,5,0)</f>
        <v>71.671999999999983</v>
      </c>
      <c r="BF69" s="13">
        <f t="shared" ref="BF69:BF132" si="91">EXP(-1.0587+0.8836*LN(BE69)+0.284)</f>
        <v>20.088101954163189</v>
      </c>
      <c r="BG69" s="20">
        <f t="shared" si="61"/>
        <v>159.81551090350086</v>
      </c>
      <c r="BH69" s="59">
        <f t="shared" si="62"/>
        <v>448.23919762008927</v>
      </c>
      <c r="BI69" s="59">
        <f ca="1">AVERAGE(OFFSET($BH$3,0,0,'Données projet'!$E$11+1,1))-AVERAGE(OFFSET($H$3,0,0,'Données projet'!$E$11+1,1))</f>
        <v>177.54241137663234</v>
      </c>
      <c r="BJ69" s="59">
        <f t="shared" ref="BJ69:BJ132" si="92">$BJ$3</f>
        <v>114.71095021456071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11.985107843194243</v>
      </c>
      <c r="BR69" s="21">
        <f>EXP(-LN(2)/2)*BR68+(1-EXP(-LN(2)/2))/(LN(2)/2)*BL69*BO69*VLOOKUP('Données projet'!$B$11,Paramètres!$A$1:$I$89,3,0)*0.475*44/12</f>
        <v>1.004848645978488</v>
      </c>
      <c r="BS69" s="22">
        <f t="shared" si="63"/>
        <v>12.98995648917273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2.3076923076923066</v>
      </c>
      <c r="BY69" s="12">
        <f>IF('Données projet'!$A$114&gt;35,BY68+BX69-CG68,IF(A69&lt;'Données projet'!$A$114,$BV$205^A69,IF(A69='Données projet'!$A$114,'Données projet'!$B$114,BY68+BX69-CG68)))</f>
        <v>74.102564102564088</v>
      </c>
      <c r="BZ69" s="13">
        <f>BY69*VLOOKUP('Données projet'!$B$12,Paramètres!$A$1:$I$89,3,0)*VLOOKUP('Données projet'!$B$12,Paramètres!$A$1:$I$89,5,0)</f>
        <v>79.763999999999982</v>
      </c>
      <c r="CA69" s="13">
        <f t="shared" ref="CA69:CA132" si="93">EXP(-1.0587+0.8836*LN(BZ69)+0.284)</f>
        <v>22.079470983807951</v>
      </c>
      <c r="CB69" s="20">
        <f t="shared" si="64"/>
        <v>177.37737863013214</v>
      </c>
      <c r="CC69" s="59">
        <f t="shared" si="65"/>
        <v>465.80106534672052</v>
      </c>
      <c r="CD69" s="59">
        <f ca="1">AVERAGE(OFFSET($CC$3,0,0,'Données projet'!$E$12+1,1))-AVERAGE(OFFSET($H$3,0,0,'Données projet'!$E$12+1,1))</f>
        <v>192.88977161349993</v>
      </c>
      <c r="CE69" s="59">
        <f t="shared" ref="CE69:CE132" si="94">$CE$3</f>
        <v>122.91376861456772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13.338265180329078</v>
      </c>
      <c r="CM69" s="21">
        <f>EXP(-LN(2)/2)*CM68+(1-EXP(-LN(2)/2))/(LN(2)/2)*CG69*CJ69*VLOOKUP('Données projet'!$B$12,Paramètres!$A$1:$I$89,3,0)*0.475*44/12</f>
        <v>1.1182992995567043</v>
      </c>
      <c r="CN69" s="22">
        <f t="shared" si="66"/>
        <v>14.456564479885781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2.5641025641025577</v>
      </c>
      <c r="CT69" s="12">
        <f>IF('Données projet'!$A$140&gt;35,CT68+CS69-DB68,IF(A69&lt;'Données projet'!$A$140,$CQ$205^A69,IF(A69='Données projet'!$A$140,'Données projet'!$B$140,CT68+CS69-DB68)))</f>
        <v>103.84615384615384</v>
      </c>
      <c r="CU69" s="17">
        <f>CT69*VLOOKUP('Données projet'!$B$13,Paramètres!$A$1:$I$89,3,0)*VLOOKUP('Données projet'!$B$13,Paramètres!$A$1:$I$89,5,0)</f>
        <v>84.240000000000009</v>
      </c>
      <c r="CV69" s="13">
        <f t="shared" ref="CV69:CV132" si="95">EXP(-1.0587+0.8836*LN(CU69)+0.284)</f>
        <v>23.170749718409468</v>
      </c>
      <c r="CW69" s="20">
        <f t="shared" si="67"/>
        <v>187.07372242622981</v>
      </c>
      <c r="CX69" s="59">
        <f t="shared" si="68"/>
        <v>475.49740914281824</v>
      </c>
      <c r="CY69" s="59">
        <f ca="1">AVERAGE(OFFSET($CX$3,0,0,'Données projet'!$E$13+1,1))-AVERAGE(OFFSET($H$3,0,0,'Données projet'!$E$13+1,1))</f>
        <v>163.16040389635825</v>
      </c>
      <c r="CZ69" s="59">
        <f t="shared" ref="CZ69:CZ132" si="96">$CZ$3</f>
        <v>138.57856782158811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3.6205575439291833</v>
      </c>
      <c r="DH69" s="21">
        <f>EXP(-LN(2)/2)*DH68+(1-EXP(-LN(2)/2))/(LN(2)/2)*DB69*DE69*VLOOKUP('Données projet'!$B$13,Paramètres!$A$1:$I$89,3,0)*0.475*44/12</f>
        <v>1.1589123899705811</v>
      </c>
      <c r="DI69" s="22">
        <f t="shared" si="69"/>
        <v>4.7794699338997644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11.997500000000002</v>
      </c>
      <c r="DO69" s="12">
        <f>IF('Données projet'!$A$166&gt;35,DO68+DN69-DW68,IF(A69&lt;'Données projet'!$A$166,$DL$205^A69,IF(A69='Données projet'!$A$166,'Données projet'!$B$166,DO68+DN69-DW68)))</f>
        <v>310.99749999999989</v>
      </c>
      <c r="DP69" s="17">
        <f>DO69*VLOOKUP('Données projet'!$B$14,Paramètres!$A$1:$I$89,3,0)*VLOOKUP('Données projet'!$B$14,Paramètres!$A$1:$I$89,5,0)</f>
        <v>145.54682999999994</v>
      </c>
      <c r="DQ69" s="13">
        <f t="shared" ref="DQ69:DQ132" si="97">EXP(-1.0587+0.8836*LN(DP69)+0.284)</f>
        <v>37.564818569836</v>
      </c>
      <c r="DR69" s="20">
        <f t="shared" si="70"/>
        <v>318.91945459246426</v>
      </c>
      <c r="DS69" s="59">
        <f t="shared" si="71"/>
        <v>607.34314130905273</v>
      </c>
      <c r="DT69" s="59">
        <f ca="1">AVERAGE(OFFSET($DS$3,0,0,'Données projet'!$E$14+1,1))-AVERAGE(OFFSET($H$3,0,0,'Données projet'!$E$14+1,1))</f>
        <v>343.44193069803498</v>
      </c>
      <c r="DU69" s="59">
        <f t="shared" ref="DU69:DU132" si="98">$DU$3</f>
        <v>280.67367019483481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29.84247808341653</v>
      </c>
      <c r="EB69" s="21">
        <f>EXP(-LN(2)/25)*EB68+(1-EXP(-LN(2)/25))/(LN(2)/25)*Calculateur!DW69*Calculateur!DY69*VLOOKUP('Données projet'!$B$14,Paramètres!$A$1:$I$89,3,0)*0.475*44/12</f>
        <v>20.446056295408461</v>
      </c>
      <c r="EC69" s="21">
        <f>EXP(-LN(2)/2)*EC68+(1-EXP(-LN(2)/2))/(LN(2)/2)*DW69*DZ69*VLOOKUP('Données projet'!$B$14,Paramètres!$A$1:$I$89,3,0)*0.475*44/12</f>
        <v>2.0924188509710291</v>
      </c>
      <c r="ED69" s="22">
        <f t="shared" si="72"/>
        <v>52.38095322979602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4.2307692307692291</v>
      </c>
      <c r="EJ69" s="12">
        <f>IF('Données projet'!$A$192&gt;35,EJ68+EI69-ER68,IF(A69&lt;'Données projet'!$A$192,$EG$205^A69,IF(A69='Données projet'!$A$192,'Données projet'!$B$192,EJ68+EI69-ER68)))</f>
        <v>126.02564102564104</v>
      </c>
      <c r="EK69" s="17">
        <f>EJ69*VLOOKUP('Données projet'!$B$15,Paramètres!$A$1:$I$89,3,0)*VLOOKUP('Données projet'!$B$15,Paramètres!$A$1:$I$89,5,0)</f>
        <v>127.79</v>
      </c>
      <c r="EL69" s="13">
        <f t="shared" ref="EL69:EL132" si="99">EXP(-1.0587+0.8836*LN(EK69)+0.284)</f>
        <v>33.485184741070526</v>
      </c>
      <c r="EM69" s="20">
        <f t="shared" si="73"/>
        <v>280.88761342403114</v>
      </c>
      <c r="EN69" s="59">
        <f t="shared" si="74"/>
        <v>569.31130014061955</v>
      </c>
      <c r="EO69" s="59">
        <f ca="1">AVERAGE(OFFSET($EN$3,0,0,'Données projet'!$E$15+1,1))-AVERAGE(OFFSET($H$3,0,0,'Données projet'!$E$15+1,1))</f>
        <v>270.0029254736703</v>
      </c>
      <c r="EP69" s="59">
        <f t="shared" ref="EP69:EP132" si="100">$EP$3</f>
        <v>183.80022202211441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28.071532673127162</v>
      </c>
      <c r="EX69" s="21">
        <f>EXP(-LN(2)/2)*EX68+(1-EXP(-LN(2)/2))/(LN(2)/2)*ER69*EU69*VLOOKUP('Données projet'!$B$15,Paramètres!$A$1:$I$89,3,0)*0.475*44/12</f>
        <v>2.3177367802368631</v>
      </c>
      <c r="EY69" s="22">
        <f t="shared" si="75"/>
        <v>30.389269453364026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3.8</v>
      </c>
      <c r="FE69" s="12">
        <f>IF('Données projet'!$A$218&gt;35,FE68+FD69-FM68,IF(A69&lt;'Données projet'!$A$218,$FB$205^A69,IF(A69='Données projet'!$A$218,'Données projet'!$B$218,FE68+FD69-FM68)))</f>
        <v>247.79999999999984</v>
      </c>
      <c r="FF69" s="17">
        <f>FE69*VLOOKUP('Données projet'!$B$16,Paramètres!$A$1:$I$89,3,0)*VLOOKUP('Données projet'!$B$16,Paramètres!$A$1:$I$89,5,0)</f>
        <v>216.47807999999986</v>
      </c>
      <c r="FG69" s="13">
        <f t="shared" ref="FG69:FG132" si="101">EXP(-1.0587+0.8836*LN(FF69)+0.284)</f>
        <v>53.348696328338377</v>
      </c>
      <c r="FH69" s="20">
        <f t="shared" si="76"/>
        <v>469.94830210518904</v>
      </c>
      <c r="FI69" s="59">
        <f t="shared" si="77"/>
        <v>758.37198882177745</v>
      </c>
      <c r="FJ69" s="59">
        <f ca="1">AVERAGE(OFFSET($FI$3,0,0,'Données projet'!$E$16+1,1))-AVERAGE(OFFSET($H$3,0,0,'Données projet'!$E$16+1,1))</f>
        <v>328.93328163316073</v>
      </c>
      <c r="FK69" s="59">
        <f t="shared" ref="FK69:FK132" si="102">$FK$3</f>
        <v>320.27831321887072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11.603273554802007</v>
      </c>
      <c r="FR69" s="21">
        <f>EXP(-LN(2)/25)*FR68+(1-EXP(-LN(2)/25))/(LN(2)/25)*Calculateur!FM69*Calculateur!FO69*VLOOKUP('Données projet'!$B$16,Paramètres!$A$1:$I$89,3,0)*0.475*44/12</f>
        <v>14.005707883492397</v>
      </c>
      <c r="FS69" s="21">
        <f>EXP(-LN(2)/2)*FS68+(1-EXP(-LN(2)/2))/(LN(2)/2)*FM69*FP69*VLOOKUP('Données projet'!$B$16,Paramètres!$A$1:$I$89,3,0)*0.475*44/12</f>
        <v>1.9887840309697209</v>
      </c>
      <c r="FT69" s="22">
        <f t="shared" si="78"/>
        <v>27.597765469264125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4.2307692307692291</v>
      </c>
      <c r="FZ69" s="12">
        <f>IF('Données projet'!$A$244&gt;35,FZ68+FY69-GH68,IF(A69&lt;'Données projet'!$A$244,$FW$205^A69,IF(A69='Données projet'!$A$244,'Données projet'!$B$244,FZ68+FY69-GH68)))</f>
        <v>126.02564102564104</v>
      </c>
      <c r="GA69" s="17">
        <f>FZ69*VLOOKUP('Données projet'!$B$17,Paramètres!$A$1:$I$89,3,0)*VLOOKUP('Données projet'!$B$17,Paramètres!$A$1:$I$89,5,0)</f>
        <v>84.538000000000011</v>
      </c>
      <c r="GB69" s="13">
        <f t="shared" ref="GB69:GB132" si="103">EXP(-1.0587+0.8836*LN(GA69)+0.284)</f>
        <v>23.243160693144805</v>
      </c>
      <c r="GC69" s="20">
        <f t="shared" si="79"/>
        <v>187.71885487389389</v>
      </c>
      <c r="GD69" s="59">
        <f t="shared" si="80"/>
        <v>476.14254159048232</v>
      </c>
      <c r="GE69" s="59">
        <f ca="1">AVERAGE(OFFSET($GD$3,0,0,'Données projet'!$E$17+1,1))-AVERAGE(OFFSET($H$3,0,0,'Données projet'!$E$17+1,1))</f>
        <v>192.88444860121191</v>
      </c>
      <c r="GF69" s="59">
        <f t="shared" ref="GF69:GF132" si="104">$GF$3</f>
        <v>136.13737493732751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22.889095871934458</v>
      </c>
      <c r="GN69" s="21">
        <f>EXP(-LN(2)/2)*GN68+(1-EXP(-LN(2)/2))/(LN(2)/2)*GH69*GK69*VLOOKUP('Données projet'!$B$17,Paramètres!$A$1:$I$89,3,0)*0.475*44/12</f>
        <v>1.5332720238490016</v>
      </c>
      <c r="GO69" s="21">
        <f t="shared" si="81"/>
        <v>24.422367895783459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68.661005468160482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0.85000000000000009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3.1166666666666671</v>
      </c>
      <c r="H70" s="67">
        <f t="shared" si="56"/>
        <v>244.19999999999996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765.30423693715693</v>
      </c>
      <c r="S70" s="59">
        <f ca="1">AVERAGE(OFFSET($R$3,0,0,'Données projet'!$E$9+1,1))-AVERAGE(OFFSET($H$3,0,0,'Données projet'!$E$9+1,1))</f>
        <v>643.492472896403</v>
      </c>
      <c r="T70" s="59">
        <f t="shared" si="88"/>
        <v>285.0259479655341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</v>
      </c>
      <c r="AI70" s="13">
        <f>IF('Données projet'!$A$62&gt;35,AI69+AH70-AQ69,IF(A70&lt;'Données projet'!$A$62,$AF$205^A70,IF(A70='Données projet'!$A$62,'Données projet'!$B$62,AI69+AH70-AQ69)))</f>
        <v>261.99999999999977</v>
      </c>
      <c r="AJ70" s="13">
        <f>AI70*VLOOKUP('Données projet'!$B$10,Paramètres!$A$1:$I$89,3,0)*VLOOKUP('Données projet'!$B$10,Paramètres!$A$1:$I$89,5,0)</f>
        <v>204.35999999999984</v>
      </c>
      <c r="AK70" s="13">
        <f t="shared" si="89"/>
        <v>50.701157790815166</v>
      </c>
      <c r="AL70" s="20">
        <f t="shared" si="58"/>
        <v>444.23151648566937</v>
      </c>
      <c r="AM70" s="59">
        <f t="shared" si="59"/>
        <v>732.74037459473288</v>
      </c>
      <c r="AN70" s="59">
        <f ca="1">AVERAGE(OFFSET($AM$3,0,0,'Données projet'!$E$10+1,1))-AVERAGE(OFFSET($H$3,0,0,'Données projet'!$E$10+1,1))</f>
        <v>289.89907502443873</v>
      </c>
      <c r="AO70" s="59">
        <f t="shared" si="90"/>
        <v>267.42183550360301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8.6737031791572168</v>
      </c>
      <c r="AV70" s="21">
        <f>EXP(-LN(2)/25)*AV69+(1-EXP(-LN(2)/25))/(LN(2)/25)*Calculateur!AQ70*Calculateur!AS70*VLOOKUP('Données projet'!$B$10,Paramètres!$A$1:$I$89,3,0)*0.475*44/12</f>
        <v>13.950451313057865</v>
      </c>
      <c r="AW70" s="21">
        <f>EXP(-LN(2)/2)*AW69+(1-EXP(-LN(2)/2))/(LN(2)/2)*AQ70*AT70*VLOOKUP('Données projet'!$B$10,Paramètres!$A$1:$I$89,3,0)*0.475*44/12</f>
        <v>2.9358033339154517</v>
      </c>
      <c r="AX70" s="21">
        <f t="shared" si="60"/>
        <v>25.559957826130535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2.3076923076923066</v>
      </c>
      <c r="BD70" s="12">
        <f>IF('Données projet'!$A$88&gt;35,BD69+BC70-BL69,IF(A70&lt;'Données projet'!$A$88,$BA$205^A70,IF(A70='Données projet'!$A$88,'Données projet'!$B$88,BD69+BC70-BL69)))</f>
        <v>76.410256410256395</v>
      </c>
      <c r="BE70" s="13">
        <f>BD70*VLOOKUP('Données projet'!$B$11,Paramètres!$A$1:$I$89,3,0)*VLOOKUP('Données projet'!$B$11,Paramètres!$A$1:$I$89,5,0)</f>
        <v>73.903999999999982</v>
      </c>
      <c r="BF70" s="13">
        <f t="shared" si="91"/>
        <v>20.639874915076501</v>
      </c>
      <c r="BG70" s="20">
        <f t="shared" si="61"/>
        <v>164.66391547709154</v>
      </c>
      <c r="BH70" s="59">
        <f t="shared" si="62"/>
        <v>453.17277358615502</v>
      </c>
      <c r="BI70" s="59">
        <f ca="1">AVERAGE(OFFSET($BH$3,0,0,'Données projet'!$E$11+1,1))-AVERAGE(OFFSET($H$3,0,0,'Données projet'!$E$11+1,1))</f>
        <v>177.54241137663234</v>
      </c>
      <c r="BJ70" s="59">
        <f t="shared" si="92"/>
        <v>114.71095021456071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11.657374438952667</v>
      </c>
      <c r="BR70" s="21">
        <f>EXP(-LN(2)/2)*BR69+(1-EXP(-LN(2)/2))/(LN(2)/2)*BL70*BO70*VLOOKUP('Données projet'!$B$11,Paramètres!$A$1:$I$89,3,0)*0.475*44/12</f>
        <v>0.71053529163750928</v>
      </c>
      <c r="BS70" s="22">
        <f t="shared" si="63"/>
        <v>12.367909730590176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2.3076923076923066</v>
      </c>
      <c r="BY70" s="12">
        <f>IF('Données projet'!$A$114&gt;35,BY69+BX70-CG69,IF(A70&lt;'Données projet'!$A$114,$BV$205^A70,IF(A70='Données projet'!$A$114,'Données projet'!$B$114,BY69+BX70-CG69)))</f>
        <v>76.410256410256395</v>
      </c>
      <c r="BZ70" s="13">
        <f>BY70*VLOOKUP('Données projet'!$B$12,Paramètres!$A$1:$I$89,3,0)*VLOOKUP('Données projet'!$B$12,Paramètres!$A$1:$I$89,5,0)</f>
        <v>82.247999999999976</v>
      </c>
      <c r="CA70" s="13">
        <f t="shared" si="93"/>
        <v>22.685942172969277</v>
      </c>
      <c r="CB70" s="20">
        <f t="shared" si="64"/>
        <v>182.75994928458809</v>
      </c>
      <c r="CC70" s="59">
        <f t="shared" si="65"/>
        <v>471.26880739365163</v>
      </c>
      <c r="CD70" s="59">
        <f ca="1">AVERAGE(OFFSET($CC$3,0,0,'Données projet'!$E$12+1,1))-AVERAGE(OFFSET($H$3,0,0,'Données projet'!$E$12+1,1))</f>
        <v>192.88977161349993</v>
      </c>
      <c r="CE70" s="59">
        <f t="shared" si="94"/>
        <v>122.91376861456772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12.973529617544099</v>
      </c>
      <c r="CM70" s="21">
        <f>EXP(-LN(2)/2)*CM69+(1-EXP(-LN(2)/2))/(LN(2)/2)*CG70*CJ70*VLOOKUP('Données projet'!$B$12,Paramètres!$A$1:$I$89,3,0)*0.475*44/12</f>
        <v>0.79075701811271193</v>
      </c>
      <c r="CN70" s="22">
        <f t="shared" si="66"/>
        <v>13.764286635656811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2.5641025641025577</v>
      </c>
      <c r="CT70" s="12">
        <f>IF('Données projet'!$A$140&gt;35,CT69+CS70-DB69,IF(A70&lt;'Données projet'!$A$140,$CQ$205^A70,IF(A70='Données projet'!$A$140,'Données projet'!$B$140,CT69+CS70-DB69)))</f>
        <v>106.41025641025639</v>
      </c>
      <c r="CU70" s="17">
        <f>CT70*VLOOKUP('Données projet'!$B$13,Paramètres!$A$1:$I$89,3,0)*VLOOKUP('Données projet'!$B$13,Paramètres!$A$1:$I$89,5,0)</f>
        <v>86.32</v>
      </c>
      <c r="CV70" s="13">
        <f t="shared" si="95"/>
        <v>23.675552678472247</v>
      </c>
      <c r="CW70" s="20">
        <f t="shared" si="67"/>
        <v>191.57558758167247</v>
      </c>
      <c r="CX70" s="59">
        <f t="shared" si="68"/>
        <v>480.08444569073595</v>
      </c>
      <c r="CY70" s="59">
        <f ca="1">AVERAGE(OFFSET($CX$3,0,0,'Données projet'!$E$13+1,1))-AVERAGE(OFFSET($H$3,0,0,'Données projet'!$E$13+1,1))</f>
        <v>163.16040389635825</v>
      </c>
      <c r="CZ70" s="59">
        <f t="shared" si="96"/>
        <v>138.57856782158811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3.5215532074935934</v>
      </c>
      <c r="DH70" s="21">
        <f>EXP(-LN(2)/2)*DH69+(1-EXP(-LN(2)/2))/(LN(2)/2)*DB70*DE70*VLOOKUP('Données projet'!$B$13,Paramètres!$A$1:$I$89,3,0)*0.475*44/12</f>
        <v>0.81947480974930653</v>
      </c>
      <c r="DI70" s="22">
        <f t="shared" si="69"/>
        <v>4.3410280172429001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11.997500000000002</v>
      </c>
      <c r="DO70" s="12">
        <f>IF('Données projet'!$A$166&gt;35,DO69+DN70-DW69,IF(A70&lt;'Données projet'!$A$166,$DL$205^A70,IF(A70='Données projet'!$A$166,'Données projet'!$B$166,DO69+DN70-DW69)))</f>
        <v>322.99499999999989</v>
      </c>
      <c r="DP70" s="17">
        <f>DO70*VLOOKUP('Données projet'!$B$14,Paramètres!$A$1:$I$89,3,0)*VLOOKUP('Données projet'!$B$14,Paramètres!$A$1:$I$89,5,0)</f>
        <v>151.16165999999996</v>
      </c>
      <c r="DQ70" s="13">
        <f t="shared" si="97"/>
        <v>38.842458378546986</v>
      </c>
      <c r="DR70" s="20">
        <f t="shared" si="70"/>
        <v>330.92383950930258</v>
      </c>
      <c r="DS70" s="59">
        <f t="shared" si="71"/>
        <v>619.43269761836609</v>
      </c>
      <c r="DT70" s="59">
        <f ca="1">AVERAGE(OFFSET($DS$3,0,0,'Données projet'!$E$14+1,1))-AVERAGE(OFFSET($H$3,0,0,'Données projet'!$E$14+1,1))</f>
        <v>343.44193069803498</v>
      </c>
      <c r="DU70" s="59">
        <f t="shared" si="98"/>
        <v>280.67367019483481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29.257285290315053</v>
      </c>
      <c r="EB70" s="21">
        <f>EXP(-LN(2)/25)*EB69+(1-EXP(-LN(2)/25))/(LN(2)/25)*Calculateur!DW70*Calculateur!DY70*VLOOKUP('Données projet'!$B$14,Paramètres!$A$1:$I$89,3,0)*0.475*44/12</f>
        <v>19.886957810799146</v>
      </c>
      <c r="EC70" s="21">
        <f>EXP(-LN(2)/2)*EC69+(1-EXP(-LN(2)/2))/(LN(2)/2)*DW70*DZ70*VLOOKUP('Données projet'!$B$14,Paramètres!$A$1:$I$89,3,0)*0.475*44/12</f>
        <v>1.4795635586041787</v>
      </c>
      <c r="ED70" s="22">
        <f t="shared" si="72"/>
        <v>50.623806659718376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4.2307692307692291</v>
      </c>
      <c r="EJ70" s="12">
        <f>IF('Données projet'!$A$192&gt;35,EJ69+EI70-ER69,IF(A70&lt;'Données projet'!$A$192,$EG$205^A70,IF(A70='Données projet'!$A$192,'Données projet'!$B$192,EJ69+EI70-ER69)))</f>
        <v>130.25641025641028</v>
      </c>
      <c r="EK70" s="17">
        <f>EJ70*VLOOKUP('Données projet'!$B$15,Paramètres!$A$1:$I$89,3,0)*VLOOKUP('Données projet'!$B$15,Paramètres!$A$1:$I$89,5,0)</f>
        <v>132.08000000000004</v>
      </c>
      <c r="EL70" s="13">
        <f t="shared" si="99"/>
        <v>34.476541344743701</v>
      </c>
      <c r="EM70" s="20">
        <f t="shared" si="73"/>
        <v>290.0859761754287</v>
      </c>
      <c r="EN70" s="59">
        <f t="shared" si="74"/>
        <v>578.59483428449221</v>
      </c>
      <c r="EO70" s="59">
        <f ca="1">AVERAGE(OFFSET($EN$3,0,0,'Données projet'!$E$15+1,1))-AVERAGE(OFFSET($H$3,0,0,'Données projet'!$E$15+1,1))</f>
        <v>270.0029254736703</v>
      </c>
      <c r="EP70" s="59">
        <f t="shared" si="100"/>
        <v>183.80022202211441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27.303915135962754</v>
      </c>
      <c r="EX70" s="21">
        <f>EXP(-LN(2)/2)*EX69+(1-EXP(-LN(2)/2))/(LN(2)/2)*ER70*EU70*VLOOKUP('Données projet'!$B$15,Paramètres!$A$1:$I$89,3,0)*0.475*44/12</f>
        <v>1.638887394310961</v>
      </c>
      <c r="EY70" s="22">
        <f t="shared" si="75"/>
        <v>28.942802530273713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3.8</v>
      </c>
      <c r="FE70" s="12">
        <f>IF('Données projet'!$A$218&gt;35,FE69+FD70-FM69,IF(A70&lt;'Données projet'!$A$218,$FB$205^A70,IF(A70='Données projet'!$A$218,'Données projet'!$B$218,FE69+FD70-FM69)))</f>
        <v>251.59999999999985</v>
      </c>
      <c r="FF70" s="17">
        <f>FE70*VLOOKUP('Données projet'!$B$16,Paramètres!$A$1:$I$89,3,0)*VLOOKUP('Données projet'!$B$16,Paramètres!$A$1:$I$89,5,0)</f>
        <v>219.7977599999999</v>
      </c>
      <c r="FG70" s="13">
        <f t="shared" si="101"/>
        <v>54.070927503307338</v>
      </c>
      <c r="FH70" s="20">
        <f t="shared" si="76"/>
        <v>476.98796406826</v>
      </c>
      <c r="FI70" s="59">
        <f t="shared" si="77"/>
        <v>765.49682217732357</v>
      </c>
      <c r="FJ70" s="59">
        <f ca="1">AVERAGE(OFFSET($FI$3,0,0,'Données projet'!$E$16+1,1))-AVERAGE(OFFSET($H$3,0,0,'Données projet'!$E$16+1,1))</f>
        <v>328.93328163316073</v>
      </c>
      <c r="FK70" s="59">
        <f t="shared" si="102"/>
        <v>320.27831321887072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11.375740437690382</v>
      </c>
      <c r="FR70" s="21">
        <f>EXP(-LN(2)/25)*FR69+(1-EXP(-LN(2)/25))/(LN(2)/25)*Calculateur!FM70*Calculateur!FO70*VLOOKUP('Données projet'!$B$16,Paramètres!$A$1:$I$89,3,0)*0.475*44/12</f>
        <v>13.622721064890129</v>
      </c>
      <c r="FS70" s="21">
        <f>EXP(-LN(2)/2)*FS69+(1-EXP(-LN(2)/2))/(LN(2)/2)*FM70*FP70*VLOOKUP('Données projet'!$B$16,Paramètres!$A$1:$I$89,3,0)*0.475*44/12</f>
        <v>1.4062826746142065</v>
      </c>
      <c r="FT70" s="22">
        <f t="shared" si="78"/>
        <v>26.404744177194718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4.2307692307692291</v>
      </c>
      <c r="FZ70" s="12">
        <f>IF('Données projet'!$A$244&gt;35,FZ69+FY70-GH69,IF(A70&lt;'Données projet'!$A$244,$FW$205^A70,IF(A70='Données projet'!$A$244,'Données projet'!$B$244,FZ69+FY70-GH69)))</f>
        <v>130.25641025641028</v>
      </c>
      <c r="GA70" s="17">
        <f>FZ70*VLOOKUP('Données projet'!$B$17,Paramètres!$A$1:$I$89,3,0)*VLOOKUP('Données projet'!$B$17,Paramètres!$A$1:$I$89,5,0)</f>
        <v>87.376000000000019</v>
      </c>
      <c r="GB70" s="13">
        <f t="shared" si="103"/>
        <v>23.931293699474718</v>
      </c>
      <c r="GC70" s="20">
        <f t="shared" si="79"/>
        <v>193.86020319325181</v>
      </c>
      <c r="GD70" s="59">
        <f t="shared" si="80"/>
        <v>482.36906130231534</v>
      </c>
      <c r="GE70" s="59">
        <f ca="1">AVERAGE(OFFSET($GD$3,0,0,'Données projet'!$E$17+1,1))-AVERAGE(OFFSET($H$3,0,0,'Données projet'!$E$17+1,1))</f>
        <v>192.88444860121191</v>
      </c>
      <c r="GF70" s="59">
        <f t="shared" si="104"/>
        <v>136.13737493732751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22.263192341631171</v>
      </c>
      <c r="GN70" s="21">
        <f>EXP(-LN(2)/2)*GN69+(1-EXP(-LN(2)/2))/(LN(2)/2)*GH70*GK70*VLOOKUP('Données projet'!$B$17,Paramètres!$A$1:$I$89,3,0)*0.475*44/12</f>
        <v>1.0841870454672509</v>
      </c>
      <c r="GO70" s="21">
        <f t="shared" si="81"/>
        <v>23.347379387098421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68.684234029744601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0.85000000000000009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3.1166666666666671</v>
      </c>
      <c r="H71" s="67">
        <f t="shared" si="56"/>
        <v>244.19999999999996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784.0536717827132</v>
      </c>
      <c r="S71" s="59">
        <f ca="1">AVERAGE(OFFSET($R$3,0,0,'Données projet'!$E$9+1,1))-AVERAGE(OFFSET($H$3,0,0,'Données projet'!$E$9+1,1))</f>
        <v>643.492472896403</v>
      </c>
      <c r="T71" s="59">
        <f t="shared" si="88"/>
        <v>285.0259479655341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</v>
      </c>
      <c r="AI71" s="13">
        <f>IF('Données projet'!$A$62&gt;35,AI70+AH71-AQ70,IF(A71&lt;'Données projet'!$A$62,$AF$205^A71,IF(A71='Données projet'!$A$62,'Données projet'!$B$62,AI70+AH71-AQ70)))</f>
        <v>267.99999999999977</v>
      </c>
      <c r="AJ71" s="13">
        <f>AI71*VLOOKUP('Données projet'!$B$10,Paramètres!$A$1:$I$89,3,0)*VLOOKUP('Données projet'!$B$10,Paramètres!$A$1:$I$89,5,0)</f>
        <v>209.03999999999982</v>
      </c>
      <c r="AK71" s="13">
        <f t="shared" si="89"/>
        <v>51.725745635299404</v>
      </c>
      <c r="AL71" s="20">
        <f t="shared" si="58"/>
        <v>454.16700698147952</v>
      </c>
      <c r="AM71" s="59">
        <f t="shared" si="59"/>
        <v>742.75955894977335</v>
      </c>
      <c r="AN71" s="59">
        <f ca="1">AVERAGE(OFFSET($AM$3,0,0,'Données projet'!$E$10+1,1))-AVERAGE(OFFSET($H$3,0,0,'Données projet'!$E$10+1,1))</f>
        <v>289.89907502443873</v>
      </c>
      <c r="AO71" s="59">
        <f t="shared" si="90"/>
        <v>267.42183550360301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8.5036171502504967</v>
      </c>
      <c r="AV71" s="21">
        <f>EXP(-LN(2)/25)*AV70+(1-EXP(-LN(2)/25))/(LN(2)/25)*Calculateur!AQ71*Calculateur!AS71*VLOOKUP('Données projet'!$B$10,Paramètres!$A$1:$I$89,3,0)*0.475*44/12</f>
        <v>13.568975488279948</v>
      </c>
      <c r="AW71" s="21">
        <f>EXP(-LN(2)/2)*AW70+(1-EXP(-LN(2)/2))/(LN(2)/2)*AQ71*AT71*VLOOKUP('Données projet'!$B$10,Paramètres!$A$1:$I$89,3,0)*0.475*44/12</f>
        <v>2.0759264456416902</v>
      </c>
      <c r="AX71" s="21">
        <f t="shared" si="60"/>
        <v>24.148519084172136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2.3076923076923066</v>
      </c>
      <c r="BD71" s="12">
        <f>IF('Données projet'!$A$88&gt;35,BD70+BC71-BL70,IF(A71&lt;'Données projet'!$A$88,$BA$205^A71,IF(A71='Données projet'!$A$88,'Données projet'!$B$88,BD70+BC71-BL70)))</f>
        <v>78.717948717948701</v>
      </c>
      <c r="BE71" s="13">
        <f>BD71*VLOOKUP('Données projet'!$B$11,Paramètres!$A$1:$I$89,3,0)*VLOOKUP('Données projet'!$B$11,Paramètres!$A$1:$I$89,5,0)</f>
        <v>76.135999999999981</v>
      </c>
      <c r="BF71" s="13">
        <f t="shared" si="91"/>
        <v>21.189711247757238</v>
      </c>
      <c r="BG71" s="20">
        <f t="shared" si="61"/>
        <v>169.50894708984382</v>
      </c>
      <c r="BH71" s="59">
        <f t="shared" si="62"/>
        <v>458.10149905813762</v>
      </c>
      <c r="BI71" s="59">
        <f ca="1">AVERAGE(OFFSET($BH$3,0,0,'Données projet'!$E$11+1,1))-AVERAGE(OFFSET($H$3,0,0,'Données projet'!$E$11+1,1))</f>
        <v>177.54241137663234</v>
      </c>
      <c r="BJ71" s="59">
        <f t="shared" si="92"/>
        <v>114.71095021456071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11.338602921884828</v>
      </c>
      <c r="BR71" s="21">
        <f>EXP(-LN(2)/2)*BR70+(1-EXP(-LN(2)/2))/(LN(2)/2)*BL71*BO71*VLOOKUP('Données projet'!$B$11,Paramètres!$A$1:$I$89,3,0)*0.475*44/12</f>
        <v>0.502424322989244</v>
      </c>
      <c r="BS71" s="22">
        <f t="shared" si="63"/>
        <v>11.841027244874072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2.3076923076923066</v>
      </c>
      <c r="BY71" s="12">
        <f>IF('Données projet'!$A$114&gt;35,BY70+BX71-CG70,IF(A71&lt;'Données projet'!$A$114,$BV$205^A71,IF(A71='Données projet'!$A$114,'Données projet'!$B$114,BY70+BX71-CG70)))</f>
        <v>78.717948717948701</v>
      </c>
      <c r="BZ71" s="13">
        <f>BY71*VLOOKUP('Données projet'!$B$12,Paramètres!$A$1:$I$89,3,0)*VLOOKUP('Données projet'!$B$12,Paramètres!$A$1:$I$89,5,0)</f>
        <v>84.731999999999985</v>
      </c>
      <c r="CA71" s="13">
        <f t="shared" si="93"/>
        <v>23.290284752520538</v>
      </c>
      <c r="CB71" s="20">
        <f t="shared" si="64"/>
        <v>188.13881261063989</v>
      </c>
      <c r="CC71" s="59">
        <f t="shared" si="65"/>
        <v>476.73136457893372</v>
      </c>
      <c r="CD71" s="59">
        <f ca="1">AVERAGE(OFFSET($CC$3,0,0,'Données projet'!$E$12+1,1))-AVERAGE(OFFSET($H$3,0,0,'Données projet'!$E$12+1,1))</f>
        <v>192.88977161349993</v>
      </c>
      <c r="CE71" s="59">
        <f t="shared" si="94"/>
        <v>122.91376861456772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12.618767767904083</v>
      </c>
      <c r="CM71" s="21">
        <f>EXP(-LN(2)/2)*CM70+(1-EXP(-LN(2)/2))/(LN(2)/2)*CG71*CJ71*VLOOKUP('Données projet'!$B$12,Paramètres!$A$1:$I$89,3,0)*0.475*44/12</f>
        <v>0.55914964977835224</v>
      </c>
      <c r="CN71" s="22">
        <f t="shared" si="66"/>
        <v>13.177917417682435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2.5641025641025577</v>
      </c>
      <c r="CT71" s="12">
        <f>IF('Données projet'!$A$140&gt;35,CT70+CS71-DB70,IF(A71&lt;'Données projet'!$A$140,$CQ$205^A71,IF(A71='Données projet'!$A$140,'Données projet'!$B$140,CT70+CS71-DB70)))</f>
        <v>108.97435897435895</v>
      </c>
      <c r="CU71" s="17">
        <f>CT71*VLOOKUP('Données projet'!$B$13,Paramètres!$A$1:$I$89,3,0)*VLOOKUP('Données projet'!$B$13,Paramètres!$A$1:$I$89,5,0)</f>
        <v>88.399999999999991</v>
      </c>
      <c r="CV71" s="13">
        <f t="shared" si="95"/>
        <v>24.178941596629553</v>
      </c>
      <c r="CW71" s="20">
        <f t="shared" si="67"/>
        <v>196.07498994746314</v>
      </c>
      <c r="CX71" s="59">
        <f t="shared" si="68"/>
        <v>484.66754191575694</v>
      </c>
      <c r="CY71" s="59">
        <f ca="1">AVERAGE(OFFSET($CX$3,0,0,'Données projet'!$E$13+1,1))-AVERAGE(OFFSET($H$3,0,0,'Données projet'!$E$13+1,1))</f>
        <v>163.16040389635825</v>
      </c>
      <c r="CZ71" s="59">
        <f t="shared" si="96"/>
        <v>138.57856782158811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3.4252561498442464</v>
      </c>
      <c r="DH71" s="21">
        <f>EXP(-LN(2)/2)*DH70+(1-EXP(-LN(2)/2))/(LN(2)/2)*DB71*DE71*VLOOKUP('Données projet'!$B$13,Paramètres!$A$1:$I$89,3,0)*0.475*44/12</f>
        <v>0.57945619498529055</v>
      </c>
      <c r="DI71" s="22">
        <f t="shared" si="69"/>
        <v>4.004712344829537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11.997500000000002</v>
      </c>
      <c r="DO71" s="12">
        <f>IF('Données projet'!$A$166&gt;35,DO70+DN71-DW70,IF(A71&lt;'Données projet'!$A$166,$DL$205^A71,IF(A71='Données projet'!$A$166,'Données projet'!$B$166,DO70+DN71-DW70)))</f>
        <v>334.99249999999989</v>
      </c>
      <c r="DP71" s="17">
        <f>DO71*VLOOKUP('Données projet'!$B$14,Paramètres!$A$1:$I$89,3,0)*VLOOKUP('Données projet'!$B$14,Paramètres!$A$1:$I$89,5,0)</f>
        <v>156.77648999999997</v>
      </c>
      <c r="DQ71" s="13">
        <f t="shared" si="97"/>
        <v>40.114584738417847</v>
      </c>
      <c r="DR71" s="20">
        <f t="shared" si="70"/>
        <v>342.91862183607765</v>
      </c>
      <c r="DS71" s="59">
        <f t="shared" si="71"/>
        <v>631.51117380437154</v>
      </c>
      <c r="DT71" s="59">
        <f ca="1">AVERAGE(OFFSET($DS$3,0,0,'Données projet'!$E$14+1,1))-AVERAGE(OFFSET($H$3,0,0,'Données projet'!$E$14+1,1))</f>
        <v>343.44193069803498</v>
      </c>
      <c r="DU71" s="59">
        <f t="shared" si="98"/>
        <v>280.67367019483481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28.683567770953935</v>
      </c>
      <c r="EB71" s="21">
        <f>EXP(-LN(2)/25)*EB70+(1-EXP(-LN(2)/25))/(LN(2)/25)*Calculateur!DW71*Calculateur!DY71*VLOOKUP('Données projet'!$B$14,Paramètres!$A$1:$I$89,3,0)*0.475*44/12</f>
        <v>19.343147903653183</v>
      </c>
      <c r="EC71" s="21">
        <f>EXP(-LN(2)/2)*EC70+(1-EXP(-LN(2)/2))/(LN(2)/2)*DW71*DZ71*VLOOKUP('Données projet'!$B$14,Paramètres!$A$1:$I$89,3,0)*0.475*44/12</f>
        <v>1.0462094254855145</v>
      </c>
      <c r="ED71" s="22">
        <f t="shared" si="72"/>
        <v>49.072925100092633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4.2307692307692291</v>
      </c>
      <c r="EJ71" s="12">
        <f>IF('Données projet'!$A$192&gt;35,EJ70+EI71-ER70,IF(A71&lt;'Données projet'!$A$192,$EG$205^A71,IF(A71='Données projet'!$A$192,'Données projet'!$B$192,EJ70+EI71-ER70)))</f>
        <v>134.4871794871795</v>
      </c>
      <c r="EK71" s="17">
        <f>EJ71*VLOOKUP('Données projet'!$B$15,Paramètres!$A$1:$I$89,3,0)*VLOOKUP('Données projet'!$B$15,Paramètres!$A$1:$I$89,5,0)</f>
        <v>136.37000000000003</v>
      </c>
      <c r="EL71" s="13">
        <f t="shared" si="99"/>
        <v>35.464156299063838</v>
      </c>
      <c r="EM71" s="20">
        <f t="shared" si="73"/>
        <v>299.27782222086955</v>
      </c>
      <c r="EN71" s="59">
        <f t="shared" si="74"/>
        <v>587.87037418916339</v>
      </c>
      <c r="EO71" s="59">
        <f ca="1">AVERAGE(OFFSET($EN$3,0,0,'Données projet'!$E$15+1,1))-AVERAGE(OFFSET($H$3,0,0,'Données projet'!$E$15+1,1))</f>
        <v>270.0029254736703</v>
      </c>
      <c r="EP71" s="59">
        <f t="shared" si="100"/>
        <v>183.80022202211441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26.557288140719358</v>
      </c>
      <c r="EX71" s="21">
        <f>EXP(-LN(2)/2)*EX70+(1-EXP(-LN(2)/2))/(LN(2)/2)*ER71*EU71*VLOOKUP('Données projet'!$B$15,Paramètres!$A$1:$I$89,3,0)*0.475*44/12</f>
        <v>1.1588683901184318</v>
      </c>
      <c r="EY71" s="22">
        <f t="shared" si="75"/>
        <v>27.71615653083779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3.8</v>
      </c>
      <c r="FE71" s="12">
        <f>IF('Données projet'!$A$218&gt;35,FE70+FD71-FM70,IF(A71&lt;'Données projet'!$A$218,$FB$205^A71,IF(A71='Données projet'!$A$218,'Données projet'!$B$218,FE70+FD71-FM70)))</f>
        <v>255.39999999999986</v>
      </c>
      <c r="FF71" s="17">
        <f>FE71*VLOOKUP('Données projet'!$B$16,Paramètres!$A$1:$I$89,3,0)*VLOOKUP('Données projet'!$B$16,Paramètres!$A$1:$I$89,5,0)</f>
        <v>223.11743999999993</v>
      </c>
      <c r="FG71" s="13">
        <f t="shared" si="101"/>
        <v>54.791890039639448</v>
      </c>
      <c r="FH71" s="20">
        <f t="shared" si="76"/>
        <v>484.02541648570531</v>
      </c>
      <c r="FI71" s="59">
        <f t="shared" si="77"/>
        <v>772.61796845399908</v>
      </c>
      <c r="FJ71" s="59">
        <f ca="1">AVERAGE(OFFSET($FI$3,0,0,'Données projet'!$E$16+1,1))-AVERAGE(OFFSET($H$3,0,0,'Données projet'!$E$16+1,1))</f>
        <v>328.93328163316073</v>
      </c>
      <c r="FK71" s="59">
        <f t="shared" si="102"/>
        <v>320.27831321887072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11.152669106223819</v>
      </c>
      <c r="FR71" s="21">
        <f>EXP(-LN(2)/25)*FR70+(1-EXP(-LN(2)/25))/(LN(2)/25)*Calculateur!FM71*Calculateur!FO71*VLOOKUP('Données projet'!$B$16,Paramètres!$A$1:$I$89,3,0)*0.475*44/12</f>
        <v>13.250207040982943</v>
      </c>
      <c r="FS71" s="21">
        <f>EXP(-LN(2)/2)*FS70+(1-EXP(-LN(2)/2))/(LN(2)/2)*FM71*FP71*VLOOKUP('Données projet'!$B$16,Paramètres!$A$1:$I$89,3,0)*0.475*44/12</f>
        <v>0.99439201548486067</v>
      </c>
      <c r="FT71" s="22">
        <f t="shared" si="78"/>
        <v>25.397268162691621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4.2307692307692291</v>
      </c>
      <c r="FZ71" s="12">
        <f>IF('Données projet'!$A$244&gt;35,FZ70+FY71-GH70,IF(A71&lt;'Données projet'!$A$244,$FW$205^A71,IF(A71='Données projet'!$A$244,'Données projet'!$B$244,FZ70+FY71-GH70)))</f>
        <v>134.4871794871795</v>
      </c>
      <c r="GA71" s="17">
        <f>FZ71*VLOOKUP('Données projet'!$B$17,Paramètres!$A$1:$I$89,3,0)*VLOOKUP('Données projet'!$B$17,Paramètres!$A$1:$I$89,5,0)</f>
        <v>90.214000000000013</v>
      </c>
      <c r="GB71" s="13">
        <f t="shared" si="103"/>
        <v>24.61682950474863</v>
      </c>
      <c r="GC71" s="20">
        <f t="shared" si="79"/>
        <v>199.99702805410388</v>
      </c>
      <c r="GD71" s="59">
        <f t="shared" si="80"/>
        <v>488.58958002239774</v>
      </c>
      <c r="GE71" s="59">
        <f ca="1">AVERAGE(OFFSET($GD$3,0,0,'Données projet'!$E$17+1,1))-AVERAGE(OFFSET($H$3,0,0,'Données projet'!$E$17+1,1))</f>
        <v>192.88444860121191</v>
      </c>
      <c r="GF71" s="59">
        <f t="shared" si="104"/>
        <v>136.13737493732751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21.654404176278867</v>
      </c>
      <c r="GN71" s="21">
        <f>EXP(-LN(2)/2)*GN70+(1-EXP(-LN(2)/2))/(LN(2)/2)*GH71*GK71*VLOOKUP('Données projet'!$B$17,Paramètres!$A$1:$I$89,3,0)*0.475*44/12</f>
        <v>0.76663601192450082</v>
      </c>
      <c r="GO71" s="21">
        <f t="shared" si="81"/>
        <v>22.421040188203367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68.707059627716504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0.85000000000000009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3.1166666666666671</v>
      </c>
      <c r="H72" s="67">
        <f t="shared" si="56"/>
        <v>244.19999999999996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802.78676015206588</v>
      </c>
      <c r="S72" s="59">
        <f ca="1">AVERAGE(OFFSET($R$3,0,0,'Données projet'!$E$9+1,1))-AVERAGE(OFFSET($H$3,0,0,'Données projet'!$E$9+1,1))</f>
        <v>643.492472896403</v>
      </c>
      <c r="T72" s="59">
        <f t="shared" si="88"/>
        <v>285.0259479655341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</v>
      </c>
      <c r="AI72" s="13">
        <f>IF('Données projet'!$A$62&gt;35,AI71+AH72-AQ71,IF(A72&lt;'Données projet'!$A$62,$AF$205^A72,IF(A72='Données projet'!$A$62,'Données projet'!$B$62,AI71+AH72-AQ71)))</f>
        <v>273.99999999999977</v>
      </c>
      <c r="AJ72" s="13">
        <f>AI72*VLOOKUP('Données projet'!$B$10,Paramètres!$A$1:$I$89,3,0)*VLOOKUP('Données projet'!$B$10,Paramètres!$A$1:$I$89,5,0)</f>
        <v>213.71999999999983</v>
      </c>
      <c r="AK72" s="13">
        <f t="shared" si="89"/>
        <v>52.747666674989134</v>
      </c>
      <c r="AL72" s="20">
        <f t="shared" si="58"/>
        <v>464.09785279227236</v>
      </c>
      <c r="AM72" s="59">
        <f t="shared" si="59"/>
        <v>752.77264671845035</v>
      </c>
      <c r="AN72" s="59">
        <f ca="1">AVERAGE(OFFSET($AM$3,0,0,'Données projet'!$E$10+1,1))-AVERAGE(OFFSET($H$3,0,0,'Données projet'!$E$10+1,1))</f>
        <v>289.89907502443873</v>
      </c>
      <c r="AO72" s="59">
        <f t="shared" si="90"/>
        <v>267.42183550360301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8.3368664046284024</v>
      </c>
      <c r="AV72" s="21">
        <f>EXP(-LN(2)/25)*AV71+(1-EXP(-LN(2)/25))/(LN(2)/25)*Calculateur!AQ72*Calculateur!AS72*VLOOKUP('Données projet'!$B$10,Paramètres!$A$1:$I$89,3,0)*0.475*44/12</f>
        <v>13.197931139991525</v>
      </c>
      <c r="AW72" s="21">
        <f>EXP(-LN(2)/2)*AW71+(1-EXP(-LN(2)/2))/(LN(2)/2)*AQ72*AT72*VLOOKUP('Données projet'!$B$10,Paramètres!$A$1:$I$89,3,0)*0.475*44/12</f>
        <v>1.4679016669577261</v>
      </c>
      <c r="AX72" s="21">
        <f t="shared" si="60"/>
        <v>23.002699211577653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2.3076923076923066</v>
      </c>
      <c r="BD72" s="12">
        <f>IF('Données projet'!$A$88&gt;35,BD71+BC72-BL71,IF(A72&lt;'Données projet'!$A$88,$BA$205^A72,IF(A72='Données projet'!$A$88,'Données projet'!$B$88,BD71+BC72-BL71)))</f>
        <v>81.025641025641008</v>
      </c>
      <c r="BE72" s="13">
        <f>BD72*VLOOKUP('Données projet'!$B$11,Paramètres!$A$1:$I$89,3,0)*VLOOKUP('Données projet'!$B$11,Paramètres!$A$1:$I$89,5,0)</f>
        <v>78.367999999999995</v>
      </c>
      <c r="BF72" s="13">
        <f t="shared" si="91"/>
        <v>21.737674245188956</v>
      </c>
      <c r="BG72" s="20">
        <f t="shared" si="61"/>
        <v>174.35071597703742</v>
      </c>
      <c r="BH72" s="59">
        <f t="shared" si="62"/>
        <v>463.02550990321538</v>
      </c>
      <c r="BI72" s="59">
        <f ca="1">AVERAGE(OFFSET($BH$3,0,0,'Données projet'!$E$11+1,1))-AVERAGE(OFFSET($H$3,0,0,'Données projet'!$E$11+1,1))</f>
        <v>177.54241137663234</v>
      </c>
      <c r="BJ72" s="59">
        <f t="shared" si="92"/>
        <v>114.71095021456071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11.028548228714675</v>
      </c>
      <c r="BR72" s="21">
        <f>EXP(-LN(2)/2)*BR71+(1-EXP(-LN(2)/2))/(LN(2)/2)*BL72*BO72*VLOOKUP('Données projet'!$B$11,Paramètres!$A$1:$I$89,3,0)*0.475*44/12</f>
        <v>0.35526764581875464</v>
      </c>
      <c r="BS72" s="22">
        <f t="shared" si="63"/>
        <v>11.383815874533429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2.3076923076923066</v>
      </c>
      <c r="BY72" s="12">
        <f>IF('Données projet'!$A$114&gt;35,BY71+BX72-CG71,IF(A72&lt;'Données projet'!$A$114,$BV$205^A72,IF(A72='Données projet'!$A$114,'Données projet'!$B$114,BY71+BX72-CG71)))</f>
        <v>81.025641025641008</v>
      </c>
      <c r="BZ72" s="13">
        <f>BY72*VLOOKUP('Données projet'!$B$12,Paramètres!$A$1:$I$89,3,0)*VLOOKUP('Données projet'!$B$12,Paramètres!$A$1:$I$89,5,0)</f>
        <v>87.21599999999998</v>
      </c>
      <c r="CA72" s="13">
        <f t="shared" si="93"/>
        <v>23.89256828979055</v>
      </c>
      <c r="CB72" s="20">
        <f t="shared" si="64"/>
        <v>193.51408977138519</v>
      </c>
      <c r="CC72" s="59">
        <f t="shared" si="65"/>
        <v>482.18888369756314</v>
      </c>
      <c r="CD72" s="59">
        <f ca="1">AVERAGE(OFFSET($CC$3,0,0,'Données projet'!$E$12+1,1))-AVERAGE(OFFSET($H$3,0,0,'Données projet'!$E$12+1,1))</f>
        <v>192.88977161349993</v>
      </c>
      <c r="CE72" s="59">
        <f t="shared" si="94"/>
        <v>122.91376861456772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12.27370689969859</v>
      </c>
      <c r="CM72" s="21">
        <f>EXP(-LN(2)/2)*CM71+(1-EXP(-LN(2)/2))/(LN(2)/2)*CG72*CJ72*VLOOKUP('Données projet'!$B$12,Paramètres!$A$1:$I$89,3,0)*0.475*44/12</f>
        <v>0.39537850905635602</v>
      </c>
      <c r="CN72" s="22">
        <f t="shared" si="66"/>
        <v>12.669085408754945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2.5641025641025577</v>
      </c>
      <c r="CT72" s="12">
        <f>IF('Données projet'!$A$140&gt;35,CT71+CS72-DB71,IF(A72&lt;'Données projet'!$A$140,$CQ$205^A72,IF(A72='Données projet'!$A$140,'Données projet'!$B$140,CT71+CS72-DB71)))</f>
        <v>111.5384615384615</v>
      </c>
      <c r="CU72" s="17">
        <f>CT72*VLOOKUP('Données projet'!$B$13,Paramètres!$A$1:$I$89,3,0)*VLOOKUP('Données projet'!$B$13,Paramètres!$A$1:$I$89,5,0)</f>
        <v>90.479999999999976</v>
      </c>
      <c r="CV72" s="13">
        <f t="shared" si="95"/>
        <v>24.680953573367983</v>
      </c>
      <c r="CW72" s="20">
        <f t="shared" si="67"/>
        <v>200.57199414028253</v>
      </c>
      <c r="CX72" s="59">
        <f t="shared" si="68"/>
        <v>489.24678806646051</v>
      </c>
      <c r="CY72" s="59">
        <f ca="1">AVERAGE(OFFSET($CX$3,0,0,'Données projet'!$E$13+1,1))-AVERAGE(OFFSET($H$3,0,0,'Données projet'!$E$13+1,1))</f>
        <v>163.16040389635825</v>
      </c>
      <c r="CZ72" s="59">
        <f t="shared" si="96"/>
        <v>138.57856782158811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3.3315923403003631</v>
      </c>
      <c r="DH72" s="21">
        <f>EXP(-LN(2)/2)*DH71+(1-EXP(-LN(2)/2))/(LN(2)/2)*DB72*DE72*VLOOKUP('Données projet'!$B$13,Paramètres!$A$1:$I$89,3,0)*0.475*44/12</f>
        <v>0.40973740487465327</v>
      </c>
      <c r="DI72" s="22">
        <f t="shared" si="69"/>
        <v>3.7413297451750163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11.997500000000002</v>
      </c>
      <c r="DO72" s="12">
        <f>IF('Données projet'!$A$166&gt;35,DO71+DN72-DW71,IF(A72&lt;'Données projet'!$A$166,$DL$205^A72,IF(A72='Données projet'!$A$166,'Données projet'!$B$166,DO71+DN72-DW71)))</f>
        <v>346.9899999999999</v>
      </c>
      <c r="DP72" s="17">
        <f>DO72*VLOOKUP('Données projet'!$B$14,Paramètres!$A$1:$I$89,3,0)*VLOOKUP('Données projet'!$B$14,Paramètres!$A$1:$I$89,5,0)</f>
        <v>162.39131999999995</v>
      </c>
      <c r="DQ72" s="13">
        <f t="shared" si="97"/>
        <v>41.381417730562205</v>
      </c>
      <c r="DR72" s="20">
        <f t="shared" si="70"/>
        <v>354.90418488072902</v>
      </c>
      <c r="DS72" s="59">
        <f t="shared" si="71"/>
        <v>643.578978806907</v>
      </c>
      <c r="DT72" s="59">
        <f ca="1">AVERAGE(OFFSET($DS$3,0,0,'Données projet'!$E$14+1,1))-AVERAGE(OFFSET($H$3,0,0,'Données projet'!$E$14+1,1))</f>
        <v>343.44193069803498</v>
      </c>
      <c r="DU72" s="59">
        <f t="shared" si="98"/>
        <v>280.67367019483481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28.121100502214357</v>
      </c>
      <c r="EB72" s="21">
        <f>EXP(-LN(2)/25)*EB71+(1-EXP(-LN(2)/25))/(LN(2)/25)*Calculateur!DW72*Calculateur!DY72*VLOOKUP('Données projet'!$B$14,Paramètres!$A$1:$I$89,3,0)*0.475*44/12</f>
        <v>18.814208507015849</v>
      </c>
      <c r="EC72" s="21">
        <f>EXP(-LN(2)/2)*EC71+(1-EXP(-LN(2)/2))/(LN(2)/2)*DW72*DZ72*VLOOKUP('Données projet'!$B$14,Paramètres!$A$1:$I$89,3,0)*0.475*44/12</f>
        <v>0.73978177930208933</v>
      </c>
      <c r="ED72" s="22">
        <f t="shared" si="72"/>
        <v>47.675090788532302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4.2307692307692291</v>
      </c>
      <c r="EJ72" s="12">
        <f>IF('Données projet'!$A$192&gt;35,EJ71+EI72-ER71,IF(A72&lt;'Données projet'!$A$192,$EG$205^A72,IF(A72='Données projet'!$A$192,'Données projet'!$B$192,EJ71+EI72-ER71)))</f>
        <v>138.71794871794873</v>
      </c>
      <c r="EK72" s="17">
        <f>EJ72*VLOOKUP('Données projet'!$B$15,Paramètres!$A$1:$I$89,3,0)*VLOOKUP('Données projet'!$B$15,Paramètres!$A$1:$I$89,5,0)</f>
        <v>140.66000000000003</v>
      </c>
      <c r="EL72" s="13">
        <f t="shared" si="99"/>
        <v>36.44816081551636</v>
      </c>
      <c r="EM72" s="20">
        <f t="shared" si="73"/>
        <v>308.4633800870244</v>
      </c>
      <c r="EN72" s="59">
        <f t="shared" si="74"/>
        <v>597.13817401320239</v>
      </c>
      <c r="EO72" s="59">
        <f ca="1">AVERAGE(OFFSET($EN$3,0,0,'Données projet'!$E$15+1,1))-AVERAGE(OFFSET($H$3,0,0,'Données projet'!$E$15+1,1))</f>
        <v>270.0029254736703</v>
      </c>
      <c r="EP72" s="59">
        <f t="shared" si="100"/>
        <v>183.80022202211441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25.8310776999243</v>
      </c>
      <c r="EX72" s="21">
        <f>EXP(-LN(2)/2)*EX71+(1-EXP(-LN(2)/2))/(LN(2)/2)*ER72*EU72*VLOOKUP('Données projet'!$B$15,Paramètres!$A$1:$I$89,3,0)*0.475*44/12</f>
        <v>0.8194436971554806</v>
      </c>
      <c r="EY72" s="22">
        <f t="shared" si="75"/>
        <v>26.650521397079782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3.8</v>
      </c>
      <c r="FE72" s="12">
        <f>IF('Données projet'!$A$218&gt;35,FE71+FD72-FM71,IF(A72&lt;'Données projet'!$A$218,$FB$205^A72,IF(A72='Données projet'!$A$218,'Données projet'!$B$218,FE71+FD72-FM71)))</f>
        <v>259.19999999999987</v>
      </c>
      <c r="FF72" s="17">
        <f>FE72*VLOOKUP('Données projet'!$B$16,Paramètres!$A$1:$I$89,3,0)*VLOOKUP('Données projet'!$B$16,Paramètres!$A$1:$I$89,5,0)</f>
        <v>226.43711999999991</v>
      </c>
      <c r="FG72" s="13">
        <f t="shared" si="101"/>
        <v>55.5116049933753</v>
      </c>
      <c r="FH72" s="20">
        <f t="shared" si="76"/>
        <v>491.06069603012844</v>
      </c>
      <c r="FI72" s="59">
        <f t="shared" si="77"/>
        <v>779.73548995630642</v>
      </c>
      <c r="FJ72" s="59">
        <f ca="1">AVERAGE(OFFSET($FI$3,0,0,'Données projet'!$E$16+1,1))-AVERAGE(OFFSET($H$3,0,0,'Données projet'!$E$16+1,1))</f>
        <v>328.93328163316073</v>
      </c>
      <c r="FK72" s="59">
        <f t="shared" si="102"/>
        <v>320.27831321887072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10.933972067507238</v>
      </c>
      <c r="FR72" s="21">
        <f>EXP(-LN(2)/25)*FR71+(1-EXP(-LN(2)/25))/(LN(2)/25)*Calculateur!FM72*Calculateur!FO72*VLOOKUP('Données projet'!$B$16,Paramètres!$A$1:$I$89,3,0)*0.475*44/12</f>
        <v>12.887879432649159</v>
      </c>
      <c r="FS72" s="21">
        <f>EXP(-LN(2)/2)*FS71+(1-EXP(-LN(2)/2))/(LN(2)/2)*FM72*FP72*VLOOKUP('Données projet'!$B$16,Paramètres!$A$1:$I$89,3,0)*0.475*44/12</f>
        <v>0.70314133730710338</v>
      </c>
      <c r="FT72" s="22">
        <f t="shared" si="78"/>
        <v>24.5249928374635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4.2307692307692291</v>
      </c>
      <c r="FZ72" s="12">
        <f>IF('Données projet'!$A$244&gt;35,FZ71+FY72-GH71,IF(A72&lt;'Données projet'!$A$244,$FW$205^A72,IF(A72='Données projet'!$A$244,'Données projet'!$B$244,FZ71+FY72-GH71)))</f>
        <v>138.71794871794873</v>
      </c>
      <c r="GA72" s="17">
        <f>FZ72*VLOOKUP('Données projet'!$B$17,Paramètres!$A$1:$I$89,3,0)*VLOOKUP('Données projet'!$B$17,Paramètres!$A$1:$I$89,5,0)</f>
        <v>93.052000000000007</v>
      </c>
      <c r="GB72" s="13">
        <f t="shared" si="103"/>
        <v>25.299859187145266</v>
      </c>
      <c r="GC72" s="20">
        <f t="shared" si="79"/>
        <v>206.12948808427799</v>
      </c>
      <c r="GD72" s="59">
        <f t="shared" si="80"/>
        <v>494.80428201045595</v>
      </c>
      <c r="GE72" s="59">
        <f ca="1">AVERAGE(OFFSET($GD$3,0,0,'Données projet'!$E$17+1,1))-AVERAGE(OFFSET($H$3,0,0,'Données projet'!$E$17+1,1))</f>
        <v>192.88444860121191</v>
      </c>
      <c r="GF72" s="59">
        <f t="shared" si="104"/>
        <v>136.13737493732751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21.062263355322898</v>
      </c>
      <c r="GN72" s="21">
        <f>EXP(-LN(2)/2)*GN71+(1-EXP(-LN(2)/2))/(LN(2)/2)*GH72*GK72*VLOOKUP('Données projet'!$B$17,Paramètres!$A$1:$I$89,3,0)*0.475*44/12</f>
        <v>0.54209352273362543</v>
      </c>
      <c r="GO72" s="21">
        <f t="shared" si="81"/>
        <v>21.604356878056524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68.729489252593993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0.85000000000000009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3.1166666666666671</v>
      </c>
      <c r="H73" s="67">
        <f t="shared" si="56"/>
        <v>244.19999999999996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821.50414327337262</v>
      </c>
      <c r="S73" s="59">
        <f ca="1">AVERAGE(OFFSET($R$3,0,0,'Données projet'!$E$9+1,1))-AVERAGE(OFFSET($H$3,0,0,'Données projet'!$E$9+1,1))</f>
        <v>643.492472896403</v>
      </c>
      <c r="T73" s="59">
        <f t="shared" si="88"/>
        <v>285.0259479655341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280</v>
      </c>
      <c r="AG73" s="12">
        <f>VLOOKUP(A73,'Données projet'!$A$61:$I$81,9,0)</f>
        <v>6</v>
      </c>
      <c r="AH73" s="12">
        <f t="array" ref="AH73">INDEX(AG:AG,MIN(IF(ISNUMBER(AG73:AG269),ROW(AG73:AG269),"")))</f>
        <v>6</v>
      </c>
      <c r="AI73" s="13">
        <f>IF('Données projet'!$A$62&gt;35,AI72+AH73-AQ72,IF(A73&lt;'Données projet'!$A$62,$AF$205^A73,IF(A73='Données projet'!$A$62,'Données projet'!$B$62,AI72+AH73-AQ72)))</f>
        <v>279.99999999999977</v>
      </c>
      <c r="AJ73" s="13">
        <f>AI73*VLOOKUP('Données projet'!$B$10,Paramètres!$A$1:$I$89,3,0)*VLOOKUP('Données projet'!$B$10,Paramètres!$A$1:$I$89,5,0)</f>
        <v>218.39999999999984</v>
      </c>
      <c r="AK73" s="13">
        <f t="shared" si="89"/>
        <v>53.766986031998471</v>
      </c>
      <c r="AL73" s="20">
        <f t="shared" si="58"/>
        <v>474.02416733906375</v>
      </c>
      <c r="AM73" s="59">
        <f t="shared" si="59"/>
        <v>762.77977650902199</v>
      </c>
      <c r="AN73" s="59">
        <f ca="1">AVERAGE(OFFSET($AM$3,0,0,'Données projet'!$E$10+1,1))-AVERAGE(OFFSET($H$3,0,0,'Données projet'!$E$10+1,1))</f>
        <v>289.89907502443873</v>
      </c>
      <c r="AO73" s="59">
        <f t="shared" si="90"/>
        <v>267.42183550360301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20</v>
      </c>
      <c r="AR73" s="16">
        <f>IF(ISNA(VLOOKUP(A73,'Données projet'!$A$61:$I$81,5,0)),0%,VLOOKUP(A73,'Données projet'!$A$61:$I$81,5,0)*VLOOKUP('Données projet'!$B$10,Paramètres!$A$1:$I$89,7,0))</f>
        <v>0.1075</v>
      </c>
      <c r="AS73" s="16">
        <f>IF(ISNA(VLOOKUP(A73,'Données projet'!$A$61:$I$81,6,0)),0%,VLOOKUP(A73,'Données projet'!$A$61:$I$81,6,0)*VLOOKUP('Données projet'!$B$10,Paramètres!$A$1:$I$89,7,0))</f>
        <v>0.1075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10.027259365896803</v>
      </c>
      <c r="AV73" s="21">
        <f>EXP(-LN(2)/25)*AV72+(1-EXP(-LN(2)/25))/(LN(2)/25)*Calculateur!AQ73*Calculateur!AS73*VLOOKUP('Données projet'!$B$10,Paramètres!$A$1:$I$89,3,0)*0.475*44/12</f>
        <v>14.683607437760033</v>
      </c>
      <c r="AW73" s="21">
        <f>EXP(-LN(2)/2)*AW72+(1-EXP(-LN(2)/2))/(LN(2)/2)*AQ73*AT73*VLOOKUP('Données projet'!$B$10,Paramètres!$A$1:$I$89,3,0)*0.475*44/12</f>
        <v>4.7177181897818601</v>
      </c>
      <c r="AX73" s="21">
        <f t="shared" si="60"/>
        <v>29.428584993438694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83.333333333333329</v>
      </c>
      <c r="BB73" s="12">
        <f>VLOOKUP(A73,'Données projet'!$A$87:$I$107,9,0)</f>
        <v>2.3076923076923066</v>
      </c>
      <c r="BC73" s="12">
        <f t="array" ref="BC73">INDEX(BB:BB,MIN(IF(ISNUMBER(BB73:BB269),ROW(BB73:BB269),"")))</f>
        <v>2.3076923076923066</v>
      </c>
      <c r="BD73" s="12">
        <f>IF('Données projet'!$A$88&gt;35,BD72+BC73-BL72,IF(A73&lt;'Données projet'!$A$88,$BA$205^A73,IF(A73='Données projet'!$A$88,'Données projet'!$B$88,BD72+BC73-BL72)))</f>
        <v>83.333333333333314</v>
      </c>
      <c r="BE73" s="13">
        <f>BD73*VLOOKUP('Données projet'!$B$11,Paramètres!$A$1:$I$89,3,0)*VLOOKUP('Données projet'!$B$11,Paramètres!$A$1:$I$89,5,0)</f>
        <v>80.599999999999994</v>
      </c>
      <c r="BF73" s="13">
        <f t="shared" si="91"/>
        <v>22.283823389988751</v>
      </c>
      <c r="BG73" s="20">
        <f t="shared" si="61"/>
        <v>179.18932573756373</v>
      </c>
      <c r="BH73" s="59">
        <f t="shared" si="62"/>
        <v>467.944934907522</v>
      </c>
      <c r="BI73" s="59">
        <f ca="1">AVERAGE(OFFSET($BH$3,0,0,'Données projet'!$E$11+1,1))-AVERAGE(OFFSET($H$3,0,0,'Données projet'!$E$11+1,1))</f>
        <v>177.54241137663234</v>
      </c>
      <c r="BJ73" s="59">
        <f t="shared" si="92"/>
        <v>114.71095021456071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6.4102564102564097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0.34400000000000003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13.075435873703411</v>
      </c>
      <c r="BR73" s="21">
        <f>EXP(-LN(2)/2)*BR72+(1-EXP(-LN(2)/2))/(LN(2)/2)*BL73*BO73*VLOOKUP('Données projet'!$B$11,Paramètres!$A$1:$I$89,3,0)*0.475*44/12</f>
        <v>1.4211855356053036</v>
      </c>
      <c r="BS73" s="22">
        <f t="shared" si="63"/>
        <v>14.496621409308714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83.333333333333329</v>
      </c>
      <c r="BW73" s="12">
        <f>VLOOKUP(A73,'Données projet'!$A$113:$I$133,9,0)</f>
        <v>2.3076923076923066</v>
      </c>
      <c r="BX73" s="12">
        <f t="array" ref="BX73">INDEX(BW:BW,MIN(IF(ISNUMBER(BW73:BW269),ROW(BW73:BW269),"")))</f>
        <v>2.3076923076923066</v>
      </c>
      <c r="BY73" s="12">
        <f>IF('Données projet'!$A$114&gt;35,BY72+BX73-CG72,IF(A73&lt;'Données projet'!$A$114,$BV$205^A73,IF(A73='Données projet'!$A$114,'Données projet'!$B$114,BY72+BX73-CG72)))</f>
        <v>83.333333333333314</v>
      </c>
      <c r="BZ73" s="13">
        <f>BY73*VLOOKUP('Données projet'!$B$12,Paramètres!$A$1:$I$89,3,0)*VLOOKUP('Données projet'!$B$12,Paramètres!$A$1:$I$89,5,0)</f>
        <v>89.699999999999974</v>
      </c>
      <c r="CA73" s="13">
        <f t="shared" si="93"/>
        <v>24.492858164013299</v>
      </c>
      <c r="CB73" s="20">
        <f t="shared" si="64"/>
        <v>198.88589463565646</v>
      </c>
      <c r="CC73" s="59">
        <f t="shared" si="65"/>
        <v>487.64150380561478</v>
      </c>
      <c r="CD73" s="59">
        <f ca="1">AVERAGE(OFFSET($CC$3,0,0,'Données projet'!$E$12+1,1))-AVERAGE(OFFSET($H$3,0,0,'Données projet'!$E$12+1,1))</f>
        <v>192.88977161349993</v>
      </c>
      <c r="CE73" s="59">
        <f t="shared" si="94"/>
        <v>122.91376861456772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6.4102564102564097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0.34400000000000003</v>
      </c>
      <c r="CJ73" s="16">
        <f>IF(ISNA(VLOOKUP(A73,'Données projet'!$A$113:$I$133,7,0)),0%,VLOOKUP(A73,'Données projet'!$A$113:$I$133,7,0))</f>
        <v>0.2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14.551694762669925</v>
      </c>
      <c r="CM73" s="21">
        <f>EXP(-LN(2)/2)*CM72+(1-EXP(-LN(2)/2))/(LN(2)/2)*CG73*CJ73*VLOOKUP('Données projet'!$B$12,Paramètres!$A$1:$I$89,3,0)*0.475*44/12</f>
        <v>1.5816419670446118</v>
      </c>
      <c r="CN73" s="22">
        <f t="shared" si="66"/>
        <v>16.133336729714536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114.10256410256409</v>
      </c>
      <c r="CR73" s="12">
        <f>VLOOKUP(A73,'Données projet'!$A$139:$I$159,9,0)</f>
        <v>2.5641025641025577</v>
      </c>
      <c r="CS73" s="12">
        <f t="array" ref="CS73">INDEX(CR:CR,MIN(IF(ISNUMBER(CR73:CR269),ROW(CR73:CR269),"")))</f>
        <v>2.5641025641025577</v>
      </c>
      <c r="CT73" s="12">
        <f>IF('Données projet'!$A$140&gt;35,CT72+CS73-DB72,IF(A73&lt;'Données projet'!$A$140,$CQ$205^A73,IF(A73='Données projet'!$A$140,'Données projet'!$B$140,CT72+CS73-DB72)))</f>
        <v>114.10256410256406</v>
      </c>
      <c r="CU73" s="17">
        <f>CT73*VLOOKUP('Données projet'!$B$13,Paramètres!$A$1:$I$89,3,0)*VLOOKUP('Données projet'!$B$13,Paramètres!$A$1:$I$89,5,0)</f>
        <v>92.559999999999974</v>
      </c>
      <c r="CV73" s="13">
        <f t="shared" si="95"/>
        <v>25.181623906063926</v>
      </c>
      <c r="CW73" s="20">
        <f t="shared" si="67"/>
        <v>205.06666163639463</v>
      </c>
      <c r="CX73" s="59">
        <f t="shared" si="68"/>
        <v>493.82227080635289</v>
      </c>
      <c r="CY73" s="59">
        <f ca="1">AVERAGE(OFFSET($CX$3,0,0,'Données projet'!$E$13+1,1))-AVERAGE(OFFSET($H$3,0,0,'Données projet'!$E$13+1,1))</f>
        <v>163.16040389635825</v>
      </c>
      <c r="CZ73" s="59">
        <f t="shared" si="96"/>
        <v>138.57856782158811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7.0512820512820511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0.1075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3.9175670594622471</v>
      </c>
      <c r="DH73" s="21">
        <f>EXP(-LN(2)/2)*DH72+(1-EXP(-LN(2)/2))/(LN(2)/2)*DB73*DE73*VLOOKUP('Données projet'!$B$13,Paramètres!$A$1:$I$89,3,0)*0.475*44/12</f>
        <v>1.6389715853783506</v>
      </c>
      <c r="DI73" s="22">
        <f t="shared" si="69"/>
        <v>5.5565386448405976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11.997500000000002</v>
      </c>
      <c r="DO73" s="12">
        <f>IF('Données projet'!$A$166&gt;35,DO72+DN73-DW72,IF(A73&lt;'Données projet'!$A$166,$DL$205^A73,IF(A73='Données projet'!$A$166,'Données projet'!$B$166,DO72+DN73-DW72)))</f>
        <v>358.9874999999999</v>
      </c>
      <c r="DP73" s="17">
        <f>DO73*VLOOKUP('Données projet'!$B$14,Paramètres!$A$1:$I$89,3,0)*VLOOKUP('Données projet'!$B$14,Paramètres!$A$1:$I$89,5,0)</f>
        <v>168.00614999999993</v>
      </c>
      <c r="DQ73" s="13">
        <f t="shared" si="97"/>
        <v>42.643161353938929</v>
      </c>
      <c r="DR73" s="20">
        <f t="shared" si="70"/>
        <v>366.88088394144347</v>
      </c>
      <c r="DS73" s="59">
        <f t="shared" si="71"/>
        <v>655.63649311140171</v>
      </c>
      <c r="DT73" s="59">
        <f ca="1">AVERAGE(OFFSET($DS$3,0,0,'Données projet'!$E$14+1,1))-AVERAGE(OFFSET($H$3,0,0,'Données projet'!$E$14+1,1))</f>
        <v>343.44193069803498</v>
      </c>
      <c r="DU73" s="59">
        <f t="shared" si="98"/>
        <v>280.67367019483481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27.569662873543603</v>
      </c>
      <c r="EB73" s="21">
        <f>EXP(-LN(2)/25)*EB72+(1-EXP(-LN(2)/25))/(LN(2)/25)*Calculateur!DW73*Calculateur!DY73*VLOOKUP('Données projet'!$B$14,Paramètres!$A$1:$I$89,3,0)*0.475*44/12</f>
        <v>18.299732985995277</v>
      </c>
      <c r="EC73" s="21">
        <f>EXP(-LN(2)/2)*EC72+(1-EXP(-LN(2)/2))/(LN(2)/2)*DW73*DZ73*VLOOKUP('Données projet'!$B$14,Paramètres!$A$1:$I$89,3,0)*0.475*44/12</f>
        <v>0.52310471274275727</v>
      </c>
      <c r="ED73" s="22">
        <f t="shared" si="72"/>
        <v>46.392500572281641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142.94871794871796</v>
      </c>
      <c r="EH73" s="12">
        <f>VLOOKUP(A73,'Données projet'!$A$191:$I$211,9,0)</f>
        <v>4.2307692307692291</v>
      </c>
      <c r="EI73" s="12">
        <f t="array" ref="EI73">INDEX(EH:EH,MIN(IF(ISNUMBER(EH73:EH269),ROW(EH73:EH269),"")))</f>
        <v>4.2307692307692291</v>
      </c>
      <c r="EJ73" s="12">
        <f>IF('Données projet'!$A$192&gt;35,EJ72+EI73-ER72,IF(A73&lt;'Données projet'!$A$192,$EG$205^A73,IF(A73='Données projet'!$A$192,'Données projet'!$B$192,EJ72+EI73-ER72)))</f>
        <v>142.94871794871796</v>
      </c>
      <c r="EK73" s="17">
        <f>EJ73*VLOOKUP('Données projet'!$B$15,Paramètres!$A$1:$I$89,3,0)*VLOOKUP('Données projet'!$B$15,Paramètres!$A$1:$I$89,5,0)</f>
        <v>144.95000000000002</v>
      </c>
      <c r="EL73" s="13">
        <f t="shared" si="99"/>
        <v>37.428677647155894</v>
      </c>
      <c r="EM73" s="20">
        <f t="shared" si="73"/>
        <v>317.64286356879654</v>
      </c>
      <c r="EN73" s="59">
        <f t="shared" si="74"/>
        <v>606.39847273875489</v>
      </c>
      <c r="EO73" s="59">
        <f ca="1">AVERAGE(OFFSET($EN$3,0,0,'Données projet'!$E$15+1,1))-AVERAGE(OFFSET($H$3,0,0,'Données projet'!$E$15+1,1))</f>
        <v>270.0029254736703</v>
      </c>
      <c r="EP73" s="59">
        <f t="shared" si="100"/>
        <v>183.80022202211441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14.102564102564102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0.34400000000000003</v>
      </c>
      <c r="EU73" s="16">
        <f>IF(ISNA(VLOOKUP(A73,'Données projet'!$A$191:$I$211,7,0)),0%,VLOOKUP(A73,'Données projet'!$A$191:$I$211,7,0))</f>
        <v>0.2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30.541343817088325</v>
      </c>
      <c r="EX73" s="21">
        <f>EXP(-LN(2)/2)*EX72+(1-EXP(-LN(2)/2))/(LN(2)/2)*ER73*EU73*VLOOKUP('Données projet'!$B$15,Paramètres!$A$1:$I$89,3,0)*0.475*44/12</f>
        <v>3.2779211708306266</v>
      </c>
      <c r="EY73" s="22">
        <f t="shared" si="75"/>
        <v>33.819264987918949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3.8</v>
      </c>
      <c r="FD73" s="12">
        <f t="array" ref="FD73">INDEX(FC:FC,MIN(IF(ISNUMBER(FC73:FC269),ROW(FC73:FC269),"")))</f>
        <v>3.8</v>
      </c>
      <c r="FE73" s="12">
        <f>IF('Données projet'!$A$218&gt;35,FE72+FD73-FM72,IF(A73&lt;'Données projet'!$A$218,$FB$205^A73,IF(A73='Données projet'!$A$218,'Données projet'!$B$218,FE72+FD73-FM72)))</f>
        <v>262.99999999999989</v>
      </c>
      <c r="FF73" s="17">
        <f>FE73*VLOOKUP('Données projet'!$B$16,Paramètres!$A$1:$I$89,3,0)*VLOOKUP('Données projet'!$B$16,Paramètres!$A$1:$I$89,5,0)</f>
        <v>229.75679999999991</v>
      </c>
      <c r="FG73" s="13">
        <f t="shared" si="101"/>
        <v>56.23009276772752</v>
      </c>
      <c r="FH73" s="20">
        <f t="shared" si="76"/>
        <v>498.09383823712528</v>
      </c>
      <c r="FI73" s="59">
        <f t="shared" si="77"/>
        <v>786.84944740708352</v>
      </c>
      <c r="FJ73" s="59">
        <f ca="1">AVERAGE(OFFSET($FI$3,0,0,'Données projet'!$E$16+1,1))-AVERAGE(OFFSET($H$3,0,0,'Données projet'!$E$16+1,1))</f>
        <v>328.93328163316073</v>
      </c>
      <c r="FK73" s="59">
        <f t="shared" si="102"/>
        <v>320.27831321887072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0.13250000000000001</v>
      </c>
      <c r="FO73" s="16">
        <f>IF(ISNA(VLOOKUP(A73,'Données projet'!$A$217:$I$237,6,0)),0%,VLOOKUP(A73,'Données projet'!$A$217:$I$237,6,0)*VLOOKUP('Données projet'!$B$16,Paramètres!$A$1:$I$89,7,0))</f>
        <v>0.13250000000000001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11.999167618044847</v>
      </c>
      <c r="FR73" s="21">
        <f>EXP(-LN(2)/25)*FR72+(1-EXP(-LN(2)/25))/(LN(2)/25)*Calculateur!FM73*Calculateur!FO73*VLOOKUP('Données projet'!$B$16,Paramètres!$A$1:$I$89,3,0)*0.475*44/12</f>
        <v>13.810025476730626</v>
      </c>
      <c r="FS73" s="21">
        <f>EXP(-LN(2)/2)*FS72+(1-EXP(-LN(2)/2))/(LN(2)/2)*FM73*FP73*VLOOKUP('Données projet'!$B$16,Paramètres!$A$1:$I$89,3,0)*0.475*44/12</f>
        <v>2.5578587892405982</v>
      </c>
      <c r="FT73" s="22">
        <f t="shared" si="78"/>
        <v>28.367051884016071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142.94871794871796</v>
      </c>
      <c r="FX73" s="12">
        <f>VLOOKUP(A73,'Données projet'!$A$243:$I$263,9,0)</f>
        <v>4.2307692307692291</v>
      </c>
      <c r="FY73" s="12">
        <f t="array" ref="FY73">INDEX(FX:FX,MIN(IF(ISNUMBER(FX73:FX269),ROW(FX73:FX269),"")))</f>
        <v>4.2307692307692291</v>
      </c>
      <c r="FZ73" s="12">
        <f>IF('Données projet'!$A$244&gt;35,FZ72+FY73-GH72,IF(A73&lt;'Données projet'!$A$244,$FW$205^A73,IF(A73='Données projet'!$A$244,'Données projet'!$B$244,FZ72+FY73-GH72)))</f>
        <v>142.94871794871796</v>
      </c>
      <c r="GA73" s="17">
        <f>FZ73*VLOOKUP('Données projet'!$B$17,Paramètres!$A$1:$I$89,3,0)*VLOOKUP('Données projet'!$B$17,Paramètres!$A$1:$I$89,5,0)</f>
        <v>95.890000000000015</v>
      </c>
      <c r="GB73" s="13">
        <f t="shared" si="103"/>
        <v>25.980467953570223</v>
      </c>
      <c r="GC73" s="20">
        <f t="shared" si="79"/>
        <v>212.25773168580147</v>
      </c>
      <c r="GD73" s="59">
        <f t="shared" si="80"/>
        <v>501.01334085575979</v>
      </c>
      <c r="GE73" s="59">
        <f ca="1">AVERAGE(OFFSET($GD$3,0,0,'Données projet'!$E$17+1,1))-AVERAGE(OFFSET($H$3,0,0,'Données projet'!$E$17+1,1))</f>
        <v>192.88444860121191</v>
      </c>
      <c r="GF73" s="59">
        <f t="shared" si="104"/>
        <v>136.13737493732751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14.102564102564102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0.42400000000000004</v>
      </c>
      <c r="GK73" s="16">
        <f>IF(ISNA(VLOOKUP(A73,'Données projet'!$A$243:$I$263,7,0)),0%,VLOOKUP(A73,'Données projet'!$A$243:$I$263,7,0))</f>
        <v>0.2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24.902941881625871</v>
      </c>
      <c r="GN73" s="21">
        <f>EXP(-LN(2)/2)*GN72+(1-EXP(-LN(2)/2))/(LN(2)/2)*GH73*GK73*VLOOKUP('Données projet'!$B$17,Paramètres!$A$1:$I$89,3,0)*0.475*44/12</f>
        <v>2.1684709283956449</v>
      </c>
      <c r="GO73" s="21">
        <f t="shared" si="81"/>
        <v>27.071412810021517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68.751529773624981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0.85000000000000009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3.1166666666666671</v>
      </c>
      <c r="H74" s="67">
        <f t="shared" si="56"/>
        <v>244.19999999999996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840.20641535165919</v>
      </c>
      <c r="S74" s="59">
        <f ca="1">AVERAGE(OFFSET($R$3,0,0,'Données projet'!$E$9+1,1))-AVERAGE(OFFSET($H$3,0,0,'Données projet'!$E$9+1,1))</f>
        <v>643.492472896403</v>
      </c>
      <c r="T74" s="59">
        <f t="shared" si="88"/>
        <v>285.0259479655341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5.2</v>
      </c>
      <c r="AI74" s="13">
        <f>IF('Données projet'!$A$62&gt;35,AI73+AH74-AQ73,IF(A74&lt;'Données projet'!$A$62,$AF$205^A74,IF(A74='Données projet'!$A$62,'Données projet'!$B$62,AI73+AH74-AQ73)))</f>
        <v>265.19999999999976</v>
      </c>
      <c r="AJ74" s="13">
        <f>AI74*VLOOKUP('Données projet'!$B$10,Paramètres!$A$1:$I$89,3,0)*VLOOKUP('Données projet'!$B$10,Paramètres!$A$1:$I$89,5,0)</f>
        <v>206.85599999999982</v>
      </c>
      <c r="AK74" s="13">
        <f t="shared" si="89"/>
        <v>51.247940588293027</v>
      </c>
      <c r="AL74" s="20">
        <f t="shared" si="58"/>
        <v>449.53102985794334</v>
      </c>
      <c r="AM74" s="59">
        <f t="shared" si="59"/>
        <v>738.36605230787814</v>
      </c>
      <c r="AN74" s="59">
        <f ca="1">AVERAGE(OFFSET($AM$3,0,0,'Données projet'!$E$10+1,1))-AVERAGE(OFFSET($H$3,0,0,'Données projet'!$E$10+1,1))</f>
        <v>289.89907502443873</v>
      </c>
      <c r="AO74" s="59">
        <f t="shared" si="90"/>
        <v>267.42183550360301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9.8306309257558731</v>
      </c>
      <c r="AV74" s="21">
        <f>EXP(-LN(2)/25)*AV73+(1-EXP(-LN(2)/25))/(LN(2)/25)*Calculateur!AQ74*Calculateur!AS74*VLOOKUP('Données projet'!$B$10,Paramètres!$A$1:$I$89,3,0)*0.475*44/12</f>
        <v>14.282083420197129</v>
      </c>
      <c r="AW74" s="21">
        <f>EXP(-LN(2)/2)*AW73+(1-EXP(-LN(2)/2))/(LN(2)/2)*AQ74*AT74*VLOOKUP('Données projet'!$B$10,Paramètres!$A$1:$I$89,3,0)*0.475*44/12</f>
        <v>3.3359305237218773</v>
      </c>
      <c r="AX74" s="21">
        <f t="shared" si="60"/>
        <v>27.448644869674879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2.4358974358974366</v>
      </c>
      <c r="BD74" s="12">
        <f>IF('Données projet'!$A$88&gt;35,BD73+BC74-BL73,IF(A74&lt;'Données projet'!$A$88,$BA$205^A74,IF(A74='Données projet'!$A$88,'Données projet'!$B$88,BD73+BC74-BL73)))</f>
        <v>79.358974358974336</v>
      </c>
      <c r="BE74" s="13">
        <f>BD74*VLOOKUP('Données projet'!$B$11,Paramètres!$A$1:$I$89,3,0)*VLOOKUP('Données projet'!$B$11,Paramètres!$A$1:$I$89,5,0)</f>
        <v>76.755999999999986</v>
      </c>
      <c r="BF74" s="13">
        <f t="shared" si="91"/>
        <v>21.34210849467463</v>
      </c>
      <c r="BG74" s="20">
        <f t="shared" si="61"/>
        <v>170.85420562822495</v>
      </c>
      <c r="BH74" s="59">
        <f t="shared" si="62"/>
        <v>459.68922807815977</v>
      </c>
      <c r="BI74" s="59">
        <f ca="1">AVERAGE(OFFSET($BH$3,0,0,'Données projet'!$E$11+1,1))-AVERAGE(OFFSET($H$3,0,0,'Données projet'!$E$11+1,1))</f>
        <v>177.54241137663234</v>
      </c>
      <c r="BJ74" s="59">
        <f t="shared" si="92"/>
        <v>114.71095021456071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12.717887392129702</v>
      </c>
      <c r="BR74" s="21">
        <f>EXP(-LN(2)/2)*BR73+(1-EXP(-LN(2)/2))/(LN(2)/2)*BL74*BO74*VLOOKUP('Données projet'!$B$11,Paramètres!$A$1:$I$89,3,0)*0.475*44/12</f>
        <v>1.0049299295507459</v>
      </c>
      <c r="BS74" s="22">
        <f t="shared" si="63"/>
        <v>13.722817321680449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2.4358974358974366</v>
      </c>
      <c r="BY74" s="12">
        <f>IF('Données projet'!$A$114&gt;35,BY73+BX74-CG73,IF(A74&lt;'Données projet'!$A$114,$BV$205^A74,IF(A74='Données projet'!$A$114,'Données projet'!$B$114,BY73+BX74-CG73)))</f>
        <v>79.358974358974336</v>
      </c>
      <c r="BZ74" s="13">
        <f>BY74*VLOOKUP('Données projet'!$B$12,Paramètres!$A$1:$I$89,3,0)*VLOOKUP('Données projet'!$B$12,Paramètres!$A$1:$I$89,5,0)</f>
        <v>85.421999999999969</v>
      </c>
      <c r="CA74" s="13">
        <f t="shared" si="93"/>
        <v>23.457789407714074</v>
      </c>
      <c r="CB74" s="20">
        <f t="shared" si="64"/>
        <v>189.63229988510196</v>
      </c>
      <c r="CC74" s="59">
        <f t="shared" si="65"/>
        <v>478.46732233503678</v>
      </c>
      <c r="CD74" s="59">
        <f ca="1">AVERAGE(OFFSET($CC$3,0,0,'Données projet'!$E$12+1,1))-AVERAGE(OFFSET($H$3,0,0,'Données projet'!$E$12+1,1))</f>
        <v>192.88977161349993</v>
      </c>
      <c r="CE74" s="59">
        <f t="shared" si="94"/>
        <v>122.91376861456772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14.153777904144347</v>
      </c>
      <c r="CM74" s="21">
        <f>EXP(-LN(2)/2)*CM73+(1-EXP(-LN(2)/2))/(LN(2)/2)*CG74*CJ74*VLOOKUP('Données projet'!$B$12,Paramètres!$A$1:$I$89,3,0)*0.475*44/12</f>
        <v>1.118389760306475</v>
      </c>
      <c r="CN74" s="22">
        <f t="shared" si="66"/>
        <v>15.272167664450821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2.3076923076923093</v>
      </c>
      <c r="CT74" s="12">
        <f>IF('Données projet'!$A$140&gt;35,CT73+CS74-DB73,IF(A74&lt;'Données projet'!$A$140,$CQ$205^A74,IF(A74='Données projet'!$A$140,'Données projet'!$B$140,CT73+CS74-DB73)))</f>
        <v>109.35897435897431</v>
      </c>
      <c r="CU74" s="17">
        <f>CT74*VLOOKUP('Données projet'!$B$13,Paramètres!$A$1:$I$89,3,0)*VLOOKUP('Données projet'!$B$13,Paramètres!$A$1:$I$89,5,0)</f>
        <v>88.711999999999961</v>
      </c>
      <c r="CV74" s="13">
        <f t="shared" si="95"/>
        <v>24.254330290837913</v>
      </c>
      <c r="CW74" s="20">
        <f t="shared" si="67"/>
        <v>196.74969192320927</v>
      </c>
      <c r="CX74" s="59">
        <f t="shared" si="68"/>
        <v>485.58471437314404</v>
      </c>
      <c r="CY74" s="59">
        <f ca="1">AVERAGE(OFFSET($CX$3,0,0,'Données projet'!$E$13+1,1))-AVERAGE(OFFSET($H$3,0,0,'Données projet'!$E$13+1,1))</f>
        <v>163.16040389635825</v>
      </c>
      <c r="CZ74" s="59">
        <f t="shared" si="96"/>
        <v>138.57856782158811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3.8104409822053542</v>
      </c>
      <c r="DH74" s="21">
        <f>EXP(-LN(2)/2)*DH73+(1-EXP(-LN(2)/2))/(LN(2)/2)*DB74*DE74*VLOOKUP('Données projet'!$B$13,Paramètres!$A$1:$I$89,3,0)*0.475*44/12</f>
        <v>1.1589279221930984</v>
      </c>
      <c r="DI74" s="22">
        <f t="shared" si="69"/>
        <v>4.9693689043984524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11.997500000000002</v>
      </c>
      <c r="DO74" s="12">
        <f>IF('Données projet'!$A$166&gt;35,DO73+DN74-DW73,IF(A74&lt;'Données projet'!$A$166,$DL$205^A74,IF(A74='Données projet'!$A$166,'Données projet'!$B$166,DO73+DN74-DW73)))</f>
        <v>370.9849999999999</v>
      </c>
      <c r="DP74" s="17">
        <f>DO74*VLOOKUP('Données projet'!$B$14,Paramètres!$A$1:$I$89,3,0)*VLOOKUP('Données projet'!$B$14,Paramètres!$A$1:$I$89,5,0)</f>
        <v>173.62097999999997</v>
      </c>
      <c r="DQ74" s="13">
        <f t="shared" si="97"/>
        <v>43.900005198349035</v>
      </c>
      <c r="DR74" s="20">
        <f t="shared" si="70"/>
        <v>378.84904922045786</v>
      </c>
      <c r="DS74" s="59">
        <f t="shared" si="71"/>
        <v>667.68407167039265</v>
      </c>
      <c r="DT74" s="59">
        <f ca="1">AVERAGE(OFFSET($DS$3,0,0,'Données projet'!$E$14+1,1))-AVERAGE(OFFSET($H$3,0,0,'Données projet'!$E$14+1,1))</f>
        <v>343.44193069803498</v>
      </c>
      <c r="DU74" s="59">
        <f t="shared" si="98"/>
        <v>280.67367019483481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27.029038600427342</v>
      </c>
      <c r="EB74" s="21">
        <f>EXP(-LN(2)/25)*EB73+(1-EXP(-LN(2)/25))/(LN(2)/25)*Calculateur!DW74*Calculateur!DY74*VLOOKUP('Données projet'!$B$14,Paramètres!$A$1:$I$89,3,0)*0.475*44/12</f>
        <v>17.799325825152103</v>
      </c>
      <c r="EC74" s="21">
        <f>EXP(-LN(2)/2)*EC73+(1-EXP(-LN(2)/2))/(LN(2)/2)*DW74*DZ74*VLOOKUP('Données projet'!$B$14,Paramètres!$A$1:$I$89,3,0)*0.475*44/12</f>
        <v>0.36989088965104466</v>
      </c>
      <c r="ED74" s="22">
        <f t="shared" si="72"/>
        <v>45.19825531523049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4.2307692307692264</v>
      </c>
      <c r="EJ74" s="12">
        <f>IF('Données projet'!$A$192&gt;35,EJ73+EI74-ER73,IF(A74&lt;'Données projet'!$A$192,$EG$205^A74,IF(A74='Données projet'!$A$192,'Données projet'!$B$192,EJ73+EI74-ER73)))</f>
        <v>133.07692307692309</v>
      </c>
      <c r="EK74" s="17">
        <f>EJ74*VLOOKUP('Données projet'!$B$15,Paramètres!$A$1:$I$89,3,0)*VLOOKUP('Données projet'!$B$15,Paramètres!$A$1:$I$89,5,0)</f>
        <v>134.94000000000003</v>
      </c>
      <c r="EL74" s="13">
        <f t="shared" si="99"/>
        <v>35.135358771568036</v>
      </c>
      <c r="EM74" s="20">
        <f t="shared" si="73"/>
        <v>296.21458319381435</v>
      </c>
      <c r="EN74" s="59">
        <f t="shared" si="74"/>
        <v>585.04960564374915</v>
      </c>
      <c r="EO74" s="59">
        <f ca="1">AVERAGE(OFFSET($EN$3,0,0,'Données projet'!$E$15+1,1))-AVERAGE(OFFSET($H$3,0,0,'Données projet'!$E$15+1,1))</f>
        <v>270.0029254736703</v>
      </c>
      <c r="EP74" s="59">
        <f t="shared" si="100"/>
        <v>183.80022202211441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29.706189164310576</v>
      </c>
      <c r="EX74" s="21">
        <f>EXP(-LN(2)/2)*EX73+(1-EXP(-LN(2)/2))/(LN(2)/2)*ER74*EU74*VLOOKUP('Données projet'!$B$15,Paramètres!$A$1:$I$89,3,0)*0.475*44/12</f>
        <v>2.3178402880892839</v>
      </c>
      <c r="EY74" s="22">
        <f t="shared" si="75"/>
        <v>32.024029452399859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256.39999999999986</v>
      </c>
      <c r="FF74" s="17">
        <f>FE74*VLOOKUP('Données projet'!$B$16,Paramètres!$A$1:$I$89,3,0)*VLOOKUP('Données projet'!$B$16,Paramètres!$A$1:$I$89,5,0)</f>
        <v>223.99103999999991</v>
      </c>
      <c r="FG74" s="13">
        <f t="shared" si="101"/>
        <v>54.981408824201552</v>
      </c>
      <c r="FH74" s="20">
        <f t="shared" si="76"/>
        <v>485.87701503548419</v>
      </c>
      <c r="FI74" s="59">
        <f t="shared" si="77"/>
        <v>774.71203748541893</v>
      </c>
      <c r="FJ74" s="59">
        <f ca="1">AVERAGE(OFFSET($FI$3,0,0,'Données projet'!$E$16+1,1))-AVERAGE(OFFSET($H$3,0,0,'Données projet'!$E$16+1,1))</f>
        <v>328.93328163316073</v>
      </c>
      <c r="FK74" s="59">
        <f t="shared" si="102"/>
        <v>320.27831321887072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11.763871259824567</v>
      </c>
      <c r="FR74" s="21">
        <f>EXP(-LN(2)/25)*FR73+(1-EXP(-LN(2)/25))/(LN(2)/25)*Calculateur!FM74*Calculateur!FO74*VLOOKUP('Données projet'!$B$16,Paramètres!$A$1:$I$89,3,0)*0.475*44/12</f>
        <v>13.432389603831751</v>
      </c>
      <c r="FS74" s="21">
        <f>EXP(-LN(2)/2)*FS73+(1-EXP(-LN(2)/2))/(LN(2)/2)*FM74*FP74*VLOOKUP('Données projet'!$B$16,Paramètres!$A$1:$I$89,3,0)*0.475*44/12</f>
        <v>1.8086792951896391</v>
      </c>
      <c r="FT74" s="22">
        <f t="shared" si="78"/>
        <v>27.004940158845958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4.2307692307692264</v>
      </c>
      <c r="FZ74" s="12">
        <f>IF('Données projet'!$A$244&gt;35,FZ73+FY74-GH73,IF(A74&lt;'Données projet'!$A$244,$FW$205^A74,IF(A74='Données projet'!$A$244,'Données projet'!$B$244,FZ73+FY74-GH73)))</f>
        <v>133.07692307692309</v>
      </c>
      <c r="GA74" s="17">
        <f>FZ74*VLOOKUP('Données projet'!$B$17,Paramètres!$A$1:$I$89,3,0)*VLOOKUP('Données projet'!$B$17,Paramètres!$A$1:$I$89,5,0)</f>
        <v>89.268000000000015</v>
      </c>
      <c r="GB74" s="13">
        <f t="shared" si="103"/>
        <v>24.388600399065382</v>
      </c>
      <c r="GC74" s="20">
        <f t="shared" si="79"/>
        <v>197.95191236170558</v>
      </c>
      <c r="GD74" s="59">
        <f t="shared" si="80"/>
        <v>486.78693481164038</v>
      </c>
      <c r="GE74" s="59">
        <f ca="1">AVERAGE(OFFSET($GD$3,0,0,'Données projet'!$E$17+1,1))-AVERAGE(OFFSET($H$3,0,0,'Données projet'!$E$17+1,1))</f>
        <v>192.88444860121191</v>
      </c>
      <c r="GF74" s="59">
        <f t="shared" si="104"/>
        <v>136.13737493732751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24.221969626284015</v>
      </c>
      <c r="GN74" s="21">
        <f>EXP(-LN(2)/2)*GN73+(1-EXP(-LN(2)/2))/(LN(2)/2)*GH74*GK74*VLOOKUP('Données projet'!$B$17,Paramètres!$A$1:$I$89,3,0)*0.475*44/12</f>
        <v>1.533340498274449</v>
      </c>
      <c r="GO74" s="21">
        <f t="shared" si="81"/>
        <v>25.755310124558463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68.773187940891304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0.85000000000000009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3.1166666666666671</v>
      </c>
      <c r="H75" s="67">
        <f t="shared" si="56"/>
        <v>244.19999999999996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858.89412858589799</v>
      </c>
      <c r="S75" s="59">
        <f ca="1">AVERAGE(OFFSET($R$3,0,0,'Données projet'!$E$9+1,1))-AVERAGE(OFFSET($H$3,0,0,'Données projet'!$E$9+1,1))</f>
        <v>643.492472896403</v>
      </c>
      <c r="T75" s="59">
        <f t="shared" si="88"/>
        <v>285.0259479655341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5.2</v>
      </c>
      <c r="AI75" s="13">
        <f>IF('Données projet'!$A$62&gt;35,AI74+AH75-AQ74,IF(A75&lt;'Données projet'!$A$62,$AF$205^A75,IF(A75='Données projet'!$A$62,'Données projet'!$B$62,AI74+AH75-AQ74)))</f>
        <v>270.39999999999975</v>
      </c>
      <c r="AJ75" s="13">
        <f>AI75*VLOOKUP('Données projet'!$B$10,Paramètres!$A$1:$I$89,3,0)*VLOOKUP('Données projet'!$B$10,Paramètres!$A$1:$I$89,5,0)</f>
        <v>210.91199999999981</v>
      </c>
      <c r="AK75" s="13">
        <f t="shared" si="89"/>
        <v>52.134830352456738</v>
      </c>
      <c r="AL75" s="20">
        <f t="shared" si="58"/>
        <v>458.13989619719513</v>
      </c>
      <c r="AM75" s="59">
        <f t="shared" si="59"/>
        <v>747.05295428424029</v>
      </c>
      <c r="AN75" s="59">
        <f ca="1">AVERAGE(OFFSET($AM$3,0,0,'Données projet'!$E$10+1,1))-AVERAGE(OFFSET($H$3,0,0,'Données projet'!$E$10+1,1))</f>
        <v>289.89907502443873</v>
      </c>
      <c r="AO75" s="59">
        <f t="shared" si="90"/>
        <v>267.42183550360301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9.6378582493946006</v>
      </c>
      <c r="AV75" s="21">
        <f>EXP(-LN(2)/25)*AV74+(1-EXP(-LN(2)/25))/(LN(2)/25)*Calculateur!AQ75*Calculateur!AS75*VLOOKUP('Données projet'!$B$10,Paramètres!$A$1:$I$89,3,0)*0.475*44/12</f>
        <v>13.891539098009714</v>
      </c>
      <c r="AW75" s="21">
        <f>EXP(-LN(2)/2)*AW74+(1-EXP(-LN(2)/2))/(LN(2)/2)*AQ75*AT75*VLOOKUP('Données projet'!$B$10,Paramètres!$A$1:$I$89,3,0)*0.475*44/12</f>
        <v>2.3588590948909305</v>
      </c>
      <c r="AX75" s="21">
        <f t="shared" si="60"/>
        <v>25.888256442295244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2.4358974358974366</v>
      </c>
      <c r="BD75" s="12">
        <f>IF('Données projet'!$A$88&gt;35,BD74+BC75-BL74,IF(A75&lt;'Données projet'!$A$88,$BA$205^A75,IF(A75='Données projet'!$A$88,'Données projet'!$B$88,BD74+BC75-BL74)))</f>
        <v>81.794871794871767</v>
      </c>
      <c r="BE75" s="13">
        <f>BD75*VLOOKUP('Données projet'!$B$11,Paramètres!$A$1:$I$89,3,0)*VLOOKUP('Données projet'!$B$11,Paramètres!$A$1:$I$89,5,0)</f>
        <v>79.111999999999966</v>
      </c>
      <c r="BF75" s="13">
        <f t="shared" si="91"/>
        <v>21.919922665140906</v>
      </c>
      <c r="BG75" s="20">
        <f t="shared" si="61"/>
        <v>175.96393197512032</v>
      </c>
      <c r="BH75" s="59">
        <f t="shared" si="62"/>
        <v>464.87699006216553</v>
      </c>
      <c r="BI75" s="59">
        <f ca="1">AVERAGE(OFFSET($BH$3,0,0,'Données projet'!$E$11+1,1))-AVERAGE(OFFSET($H$3,0,0,'Données projet'!$E$11+1,1))</f>
        <v>177.54241137663234</v>
      </c>
      <c r="BJ75" s="59">
        <f t="shared" si="92"/>
        <v>114.71095021456071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12.370116092587285</v>
      </c>
      <c r="BR75" s="21">
        <f>EXP(-LN(2)/2)*BR74+(1-EXP(-LN(2)/2))/(LN(2)/2)*BL75*BO75*VLOOKUP('Données projet'!$B$11,Paramètres!$A$1:$I$89,3,0)*0.475*44/12</f>
        <v>0.7105927678026519</v>
      </c>
      <c r="BS75" s="22">
        <f t="shared" si="63"/>
        <v>13.080708860389937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2.4358974358974366</v>
      </c>
      <c r="BY75" s="12">
        <f>IF('Données projet'!$A$114&gt;35,BY74+BX75-CG74,IF(A75&lt;'Données projet'!$A$114,$BV$205^A75,IF(A75='Données projet'!$A$114,'Données projet'!$B$114,BY74+BX75-CG74)))</f>
        <v>81.794871794871767</v>
      </c>
      <c r="BZ75" s="13">
        <f>BY75*VLOOKUP('Données projet'!$B$12,Paramètres!$A$1:$I$89,3,0)*VLOOKUP('Données projet'!$B$12,Paramètres!$A$1:$I$89,5,0)</f>
        <v>88.043999999999969</v>
      </c>
      <c r="CA75" s="13">
        <f t="shared" si="93"/>
        <v>24.092883317529644</v>
      </c>
      <c r="CB75" s="20">
        <f t="shared" si="64"/>
        <v>195.30507177803074</v>
      </c>
      <c r="CC75" s="59">
        <f t="shared" si="65"/>
        <v>484.21812986507598</v>
      </c>
      <c r="CD75" s="59">
        <f ca="1">AVERAGE(OFFSET($CC$3,0,0,'Données projet'!$E$12+1,1))-AVERAGE(OFFSET($H$3,0,0,'Données projet'!$E$12+1,1))</f>
        <v>192.88977161349993</v>
      </c>
      <c r="CE75" s="59">
        <f t="shared" si="94"/>
        <v>122.91376861456772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13.766742103040688</v>
      </c>
      <c r="CM75" s="21">
        <f>EXP(-LN(2)/2)*CM74+(1-EXP(-LN(2)/2))/(LN(2)/2)*CG75*CJ75*VLOOKUP('Données projet'!$B$12,Paramètres!$A$1:$I$89,3,0)*0.475*44/12</f>
        <v>0.79082098352230601</v>
      </c>
      <c r="CN75" s="22">
        <f t="shared" si="66"/>
        <v>14.557563086562993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2.3076923076923093</v>
      </c>
      <c r="CT75" s="12">
        <f>IF('Données projet'!$A$140&gt;35,CT74+CS75-DB74,IF(A75&lt;'Données projet'!$A$140,$CQ$205^A75,IF(A75='Données projet'!$A$140,'Données projet'!$B$140,CT74+CS75-DB74)))</f>
        <v>111.66666666666661</v>
      </c>
      <c r="CU75" s="17">
        <f>CT75*VLOOKUP('Données projet'!$B$13,Paramètres!$A$1:$I$89,3,0)*VLOOKUP('Données projet'!$B$13,Paramètres!$A$1:$I$89,5,0)</f>
        <v>90.583999999999961</v>
      </c>
      <c r="CV75" s="13">
        <f t="shared" si="95"/>
        <v>24.706018667982935</v>
      </c>
      <c r="CW75" s="20">
        <f t="shared" si="67"/>
        <v>200.79678251340351</v>
      </c>
      <c r="CX75" s="59">
        <f t="shared" si="68"/>
        <v>489.70984060044873</v>
      </c>
      <c r="CY75" s="59">
        <f ca="1">AVERAGE(OFFSET($CX$3,0,0,'Données projet'!$E$13+1,1))-AVERAGE(OFFSET($H$3,0,0,'Données projet'!$E$13+1,1))</f>
        <v>163.16040389635825</v>
      </c>
      <c r="CZ75" s="59">
        <f t="shared" si="96"/>
        <v>138.57856782158811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3.7062442731645664</v>
      </c>
      <c r="DH75" s="21">
        <f>EXP(-LN(2)/2)*DH74+(1-EXP(-LN(2)/2))/(LN(2)/2)*DB75*DE75*VLOOKUP('Données projet'!$B$13,Paramètres!$A$1:$I$89,3,0)*0.475*44/12</f>
        <v>0.81948579268917543</v>
      </c>
      <c r="DI75" s="22">
        <f t="shared" si="69"/>
        <v>4.5257300658537414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11.997500000000002</v>
      </c>
      <c r="DO75" s="12">
        <f>IF('Données projet'!$A$166&gt;35,DO74+DN75-DW74,IF(A75&lt;'Données projet'!$A$166,$DL$205^A75,IF(A75='Données projet'!$A$166,'Données projet'!$B$166,DO74+DN75-DW74)))</f>
        <v>382.9824999999999</v>
      </c>
      <c r="DP75" s="17">
        <f>DO75*VLOOKUP('Données projet'!$B$14,Paramètres!$A$1:$I$89,3,0)*VLOOKUP('Données projet'!$B$14,Paramètres!$A$1:$I$89,5,0)</f>
        <v>179.23580999999996</v>
      </c>
      <c r="DQ75" s="13">
        <f t="shared" si="97"/>
        <v>45.152125894936496</v>
      </c>
      <c r="DR75" s="20">
        <f t="shared" si="70"/>
        <v>390.80898835034759</v>
      </c>
      <c r="DS75" s="59">
        <f t="shared" si="71"/>
        <v>679.72204643739281</v>
      </c>
      <c r="DT75" s="59">
        <f ca="1">AVERAGE(OFFSET($DS$3,0,0,'Données projet'!$E$14+1,1))-AVERAGE(OFFSET($H$3,0,0,'Données projet'!$E$14+1,1))</f>
        <v>343.44193069803498</v>
      </c>
      <c r="DU75" s="59">
        <f t="shared" si="98"/>
        <v>280.67367019483481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26.499015639558642</v>
      </c>
      <c r="EB75" s="21">
        <f>EXP(-LN(2)/25)*EB74+(1-EXP(-LN(2)/25))/(LN(2)/25)*Calculateur!DW75*Calculateur!DY75*VLOOKUP('Données projet'!$B$14,Paramètres!$A$1:$I$89,3,0)*0.475*44/12</f>
        <v>17.312602324437453</v>
      </c>
      <c r="EC75" s="21">
        <f>EXP(-LN(2)/2)*EC74+(1-EXP(-LN(2)/2))/(LN(2)/2)*DW75*DZ75*VLOOKUP('Données projet'!$B$14,Paramètres!$A$1:$I$89,3,0)*0.475*44/12</f>
        <v>0.26155235637137864</v>
      </c>
      <c r="ED75" s="22">
        <f t="shared" si="72"/>
        <v>44.073170320367481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4.2307692307692264</v>
      </c>
      <c r="EJ75" s="12">
        <f>IF('Données projet'!$A$192&gt;35,EJ74+EI75-ER74,IF(A75&lt;'Données projet'!$A$192,$EG$205^A75,IF(A75='Données projet'!$A$192,'Données projet'!$B$192,EJ74+EI75-ER74)))</f>
        <v>137.30769230769232</v>
      </c>
      <c r="EK75" s="17">
        <f>EJ75*VLOOKUP('Données projet'!$B$15,Paramètres!$A$1:$I$89,3,0)*VLOOKUP('Données projet'!$B$15,Paramètres!$A$1:$I$89,5,0)</f>
        <v>139.23000000000002</v>
      </c>
      <c r="EL75" s="13">
        <f t="shared" si="99"/>
        <v>36.120552727378737</v>
      </c>
      <c r="EM75" s="20">
        <f t="shared" si="73"/>
        <v>305.40221266685131</v>
      </c>
      <c r="EN75" s="59">
        <f t="shared" si="74"/>
        <v>594.31527075389658</v>
      </c>
      <c r="EO75" s="59">
        <f ca="1">AVERAGE(OFFSET($EN$3,0,0,'Données projet'!$E$15+1,1))-AVERAGE(OFFSET($H$3,0,0,'Données projet'!$E$15+1,1))</f>
        <v>270.0029254736703</v>
      </c>
      <c r="EP75" s="59">
        <f t="shared" si="100"/>
        <v>183.80022202211441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28.893871859431911</v>
      </c>
      <c r="EX75" s="21">
        <f>EXP(-LN(2)/2)*EX74+(1-EXP(-LN(2)/2))/(LN(2)/2)*ER75*EU75*VLOOKUP('Données projet'!$B$15,Paramètres!$A$1:$I$89,3,0)*0.475*44/12</f>
        <v>1.6389605854153138</v>
      </c>
      <c r="EY75" s="22">
        <f t="shared" si="75"/>
        <v>30.532832444847227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259.79999999999984</v>
      </c>
      <c r="FF75" s="17">
        <f>FE75*VLOOKUP('Données projet'!$B$16,Paramètres!$A$1:$I$89,3,0)*VLOOKUP('Données projet'!$B$16,Paramètres!$A$1:$I$89,5,0)</f>
        <v>226.96127999999987</v>
      </c>
      <c r="FG75" s="13">
        <f t="shared" si="101"/>
        <v>55.625131501998617</v>
      </c>
      <c r="FH75" s="20">
        <f t="shared" si="76"/>
        <v>492.17133336598067</v>
      </c>
      <c r="FI75" s="59">
        <f t="shared" si="77"/>
        <v>781.08439145302589</v>
      </c>
      <c r="FJ75" s="59">
        <f ca="1">AVERAGE(OFFSET($FI$3,0,0,'Données projet'!$E$16+1,1))-AVERAGE(OFFSET($H$3,0,0,'Données projet'!$E$16+1,1))</f>
        <v>328.93328163316073</v>
      </c>
      <c r="FK75" s="59">
        <f t="shared" si="102"/>
        <v>320.27831321887072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11.533188919672378</v>
      </c>
      <c r="FR75" s="21">
        <f>EXP(-LN(2)/25)*FR74+(1-EXP(-LN(2)/25))/(LN(2)/25)*Calculateur!FM75*Calculateur!FO75*VLOOKUP('Données projet'!$B$16,Paramètres!$A$1:$I$89,3,0)*0.475*44/12</f>
        <v>13.065080203736303</v>
      </c>
      <c r="FS75" s="21">
        <f>EXP(-LN(2)/2)*FS74+(1-EXP(-LN(2)/2))/(LN(2)/2)*FM75*FP75*VLOOKUP('Données projet'!$B$16,Paramètres!$A$1:$I$89,3,0)*0.475*44/12</f>
        <v>1.2789293946202993</v>
      </c>
      <c r="FT75" s="22">
        <f t="shared" si="78"/>
        <v>25.87719851802898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4.2307692307692264</v>
      </c>
      <c r="FZ75" s="12">
        <f>IF('Données projet'!$A$244&gt;35,FZ74+FY75-GH74,IF(A75&lt;'Données projet'!$A$244,$FW$205^A75,IF(A75='Données projet'!$A$244,'Données projet'!$B$244,FZ74+FY75-GH74)))</f>
        <v>137.30769230769232</v>
      </c>
      <c r="GA75" s="17">
        <f>FZ75*VLOOKUP('Données projet'!$B$17,Paramètres!$A$1:$I$89,3,0)*VLOOKUP('Données projet'!$B$17,Paramètres!$A$1:$I$89,5,0)</f>
        <v>92.106000000000009</v>
      </c>
      <c r="GB75" s="13">
        <f t="shared" si="103"/>
        <v>25.072455710179614</v>
      </c>
      <c r="GC75" s="20">
        <f t="shared" si="79"/>
        <v>204.08581036189616</v>
      </c>
      <c r="GD75" s="59">
        <f t="shared" si="80"/>
        <v>492.99886844894138</v>
      </c>
      <c r="GE75" s="59">
        <f ca="1">AVERAGE(OFFSET($GD$3,0,0,'Données projet'!$E$17+1,1))-AVERAGE(OFFSET($H$3,0,0,'Données projet'!$E$17+1,1))</f>
        <v>192.88444860121191</v>
      </c>
      <c r="GF75" s="59">
        <f t="shared" si="104"/>
        <v>136.13737493732751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23.559618593075257</v>
      </c>
      <c r="GN75" s="21">
        <f>EXP(-LN(2)/2)*GN74+(1-EXP(-LN(2)/2))/(LN(2)/2)*GH75*GK75*VLOOKUP('Données projet'!$B$17,Paramètres!$A$1:$I$89,3,0)*0.475*44/12</f>
        <v>1.0842354641978227</v>
      </c>
      <c r="GO75" s="21">
        <f t="shared" si="81"/>
        <v>24.643854057273078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68.794470387375966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0.85000000000000009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3.1166666666666671</v>
      </c>
      <c r="H76" s="67">
        <f t="shared" si="56"/>
        <v>244.19999999999996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877.56779749803286</v>
      </c>
      <c r="S76" s="59">
        <f ca="1">AVERAGE(OFFSET($R$3,0,0,'Données projet'!$E$9+1,1))-AVERAGE(OFFSET($H$3,0,0,'Données projet'!$E$9+1,1))</f>
        <v>643.492472896403</v>
      </c>
      <c r="T76" s="59">
        <f t="shared" si="88"/>
        <v>285.0259479655341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5.2</v>
      </c>
      <c r="AI76" s="13">
        <f>IF('Données projet'!$A$62&gt;35,AI75+AH76-AQ75,IF(A76&lt;'Données projet'!$A$62,$AF$205^A76,IF(A76='Données projet'!$A$62,'Données projet'!$B$62,AI75+AH76-AQ75)))</f>
        <v>275.59999999999974</v>
      </c>
      <c r="AJ76" s="13">
        <f>AI76*VLOOKUP('Données projet'!$B$10,Paramètres!$A$1:$I$89,3,0)*VLOOKUP('Données projet'!$B$10,Paramètres!$A$1:$I$89,5,0)</f>
        <v>214.96799999999979</v>
      </c>
      <c r="AK76" s="13">
        <f t="shared" si="89"/>
        <v>53.019736939092944</v>
      </c>
      <c r="AL76" s="20">
        <f t="shared" si="58"/>
        <v>466.74530850225307</v>
      </c>
      <c r="AM76" s="59">
        <f t="shared" si="59"/>
        <v>755.73504848256641</v>
      </c>
      <c r="AN76" s="59">
        <f ca="1">AVERAGE(OFFSET($AM$3,0,0,'Données projet'!$E$10+1,1))-AVERAGE(OFFSET($H$3,0,0,'Données projet'!$E$10+1,1))</f>
        <v>289.89907502443873</v>
      </c>
      <c r="AO76" s="59">
        <f t="shared" si="90"/>
        <v>267.42183550360301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9.4488657276370489</v>
      </c>
      <c r="AV76" s="21">
        <f>EXP(-LN(2)/25)*AV75+(1-EXP(-LN(2)/25))/(LN(2)/25)*Calculateur!AQ76*Calculateur!AS76*VLOOKUP('Données projet'!$B$10,Paramètres!$A$1:$I$89,3,0)*0.475*44/12</f>
        <v>13.511674230850346</v>
      </c>
      <c r="AW76" s="21">
        <f>EXP(-LN(2)/2)*AW75+(1-EXP(-LN(2)/2))/(LN(2)/2)*AQ76*AT76*VLOOKUP('Données projet'!$B$10,Paramètres!$A$1:$I$89,3,0)*0.475*44/12</f>
        <v>1.6679652618609389</v>
      </c>
      <c r="AX76" s="21">
        <f t="shared" si="60"/>
        <v>24.628505220348334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2.4358974358974366</v>
      </c>
      <c r="BD76" s="12">
        <f>IF('Données projet'!$A$88&gt;35,BD75+BC76-BL75,IF(A76&lt;'Données projet'!$A$88,$BA$205^A76,IF(A76='Données projet'!$A$88,'Données projet'!$B$88,BD75+BC76-BL75)))</f>
        <v>84.230769230769198</v>
      </c>
      <c r="BE76" s="13">
        <f>BD76*VLOOKUP('Données projet'!$B$11,Paramètres!$A$1:$I$89,3,0)*VLOOKUP('Données projet'!$B$11,Paramètres!$A$1:$I$89,5,0)</f>
        <v>81.467999999999975</v>
      </c>
      <c r="BF76" s="13">
        <f t="shared" si="91"/>
        <v>22.495737022503945</v>
      </c>
      <c r="BG76" s="20">
        <f t="shared" si="61"/>
        <v>181.07017531419433</v>
      </c>
      <c r="BH76" s="59">
        <f t="shared" si="62"/>
        <v>470.05991529450768</v>
      </c>
      <c r="BI76" s="59">
        <f ca="1">AVERAGE(OFFSET($BH$3,0,0,'Données projet'!$E$11+1,1))-AVERAGE(OFFSET($H$3,0,0,'Données projet'!$E$11+1,1))</f>
        <v>177.54241137663234</v>
      </c>
      <c r="BJ76" s="59">
        <f t="shared" si="92"/>
        <v>114.71095021456071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12.031854617519352</v>
      </c>
      <c r="BR76" s="21">
        <f>EXP(-LN(2)/2)*BR75+(1-EXP(-LN(2)/2))/(LN(2)/2)*BL76*BO76*VLOOKUP('Données projet'!$B$11,Paramètres!$A$1:$I$89,3,0)*0.475*44/12</f>
        <v>0.50246496477537295</v>
      </c>
      <c r="BS76" s="22">
        <f t="shared" si="63"/>
        <v>12.534319582294724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2.4358974358974366</v>
      </c>
      <c r="BY76" s="12">
        <f>IF('Données projet'!$A$114&gt;35,BY75+BX76-CG75,IF(A76&lt;'Données projet'!$A$114,$BV$205^A76,IF(A76='Données projet'!$A$114,'Données projet'!$B$114,BY75+BX76-CG75)))</f>
        <v>84.230769230769198</v>
      </c>
      <c r="BZ76" s="13">
        <f>BY76*VLOOKUP('Données projet'!$B$12,Paramètres!$A$1:$I$89,3,0)*VLOOKUP('Données projet'!$B$12,Paramètres!$A$1:$I$89,5,0)</f>
        <v>90.665999999999954</v>
      </c>
      <c r="CA76" s="13">
        <f t="shared" si="93"/>
        <v>24.725779169236624</v>
      </c>
      <c r="CB76" s="20">
        <f t="shared" si="64"/>
        <v>200.97401538642035</v>
      </c>
      <c r="CC76" s="59">
        <f t="shared" si="65"/>
        <v>489.96375536673372</v>
      </c>
      <c r="CD76" s="59">
        <f ca="1">AVERAGE(OFFSET($CC$3,0,0,'Données projet'!$E$12+1,1))-AVERAGE(OFFSET($H$3,0,0,'Données projet'!$E$12+1,1))</f>
        <v>192.88977161349993</v>
      </c>
      <c r="CE76" s="59">
        <f t="shared" si="94"/>
        <v>122.91376861456772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13.390289816271537</v>
      </c>
      <c r="CM76" s="21">
        <f>EXP(-LN(2)/2)*CM75+(1-EXP(-LN(2)/2))/(LN(2)/2)*CG76*CJ76*VLOOKUP('Données projet'!$B$12,Paramètres!$A$1:$I$89,3,0)*0.475*44/12</f>
        <v>0.55919488015323759</v>
      </c>
      <c r="CN76" s="22">
        <f t="shared" si="66"/>
        <v>13.949484696424774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2.3076923076923093</v>
      </c>
      <c r="CT76" s="12">
        <f>IF('Données projet'!$A$140&gt;35,CT75+CS76-DB75,IF(A76&lt;'Données projet'!$A$140,$CQ$205^A76,IF(A76='Données projet'!$A$140,'Données projet'!$B$140,CT75+CS76-DB75)))</f>
        <v>113.97435897435892</v>
      </c>
      <c r="CU76" s="17">
        <f>CT76*VLOOKUP('Données projet'!$B$13,Paramètres!$A$1:$I$89,3,0)*VLOOKUP('Données projet'!$B$13,Paramètres!$A$1:$I$89,5,0)</f>
        <v>92.455999999999975</v>
      </c>
      <c r="CV76" s="13">
        <f t="shared" si="95"/>
        <v>25.156621727947371</v>
      </c>
      <c r="CW76" s="20">
        <f t="shared" si="67"/>
        <v>204.84198284284162</v>
      </c>
      <c r="CX76" s="59">
        <f t="shared" si="68"/>
        <v>493.83172282315496</v>
      </c>
      <c r="CY76" s="59">
        <f ca="1">AVERAGE(OFFSET($CX$3,0,0,'Données projet'!$E$13+1,1))-AVERAGE(OFFSET($H$3,0,0,'Données projet'!$E$13+1,1))</f>
        <v>163.16040389635825</v>
      </c>
      <c r="CZ76" s="59">
        <f t="shared" si="96"/>
        <v>138.57856782158811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3.6048968286119658</v>
      </c>
      <c r="DH76" s="21">
        <f>EXP(-LN(2)/2)*DH75+(1-EXP(-LN(2)/2))/(LN(2)/2)*DB76*DE76*VLOOKUP('Données projet'!$B$13,Paramètres!$A$1:$I$89,3,0)*0.475*44/12</f>
        <v>0.5794639610965493</v>
      </c>
      <c r="DI76" s="22">
        <f t="shared" si="69"/>
        <v>4.1843607897085153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>
        <f>VLOOKUP(A76,'Données projet'!$A$165:$I$185,2,0)</f>
        <v>394.98</v>
      </c>
      <c r="DM76" s="12">
        <f>VLOOKUP(A76,'Données projet'!$A$165:$I$185,9,0)</f>
        <v>11.997500000000002</v>
      </c>
      <c r="DN76" s="12">
        <f t="array" ref="DN76">INDEX(DM:DM,MIN(IF(ISNUMBER(DM76:DM272),ROW(DM76:DM272),"")))</f>
        <v>11.997500000000002</v>
      </c>
      <c r="DO76" s="12">
        <f>IF('Données projet'!$A$166&gt;35,DO75+DN76-DW75,IF(A76&lt;'Données projet'!$A$166,$DL$205^A76,IF(A76='Données projet'!$A$166,'Données projet'!$B$166,DO75+DN76-DW75)))</f>
        <v>394.9799999999999</v>
      </c>
      <c r="DP76" s="17">
        <f>DO76*VLOOKUP('Données projet'!$B$14,Paramètres!$A$1:$I$89,3,0)*VLOOKUP('Données projet'!$B$14,Paramètres!$A$1:$I$89,5,0)</f>
        <v>184.85063999999994</v>
      </c>
      <c r="DQ76" s="13">
        <f t="shared" si="97"/>
        <v>46.399688379827502</v>
      </c>
      <c r="DR76" s="20">
        <f t="shared" si="70"/>
        <v>402.76098859486609</v>
      </c>
      <c r="DS76" s="59">
        <f t="shared" si="71"/>
        <v>691.75072857517944</v>
      </c>
      <c r="DT76" s="59">
        <f ca="1">AVERAGE(OFFSET($DS$3,0,0,'Données projet'!$E$14+1,1))-AVERAGE(OFFSET($H$3,0,0,'Données projet'!$E$14+1,1))</f>
        <v>343.44193069803498</v>
      </c>
      <c r="DU76" s="59">
        <f t="shared" si="98"/>
        <v>280.67367019483481</v>
      </c>
      <c r="DV76" s="15">
        <f>IF(ISNA(VLOOKUP(A76,'Données projet'!$A$165:$I$185,3,0)),0,VLOOKUP(A76,'Données projet'!$A$165:$I$185,3,0))</f>
        <v>3</v>
      </c>
      <c r="DW76" s="15">
        <f>IF(ISNA(VLOOKUP(A76,'Données projet'!$A$165:$I$185,4,0)),0,VLOOKUP(A76,'Données projet'!$A$165:$I$185,4,0))</f>
        <v>103.23000000000002</v>
      </c>
      <c r="DX76" s="16">
        <f>IF(ISNA(VLOOKUP(A76,'Données projet'!$A$165:$I$185,5,0)),0%,VLOOKUP(A76,'Données projet'!$A$165:$I$185,5,0)*VLOOKUP('Données projet'!$B$14,Paramètres!$A$1:$I$89,7,0))</f>
        <v>0.33</v>
      </c>
      <c r="DY76" s="16">
        <f>IF(ISNA(VLOOKUP(A76,'Données projet'!$A$165:$I$185,6,0)),0%,VLOOKUP(A76,'Données projet'!$A$165:$I$185,6,0)*VLOOKUP('Données projet'!$B$14,Paramètres!$A$1:$I$89,7,0))</f>
        <v>0.11000000000000001</v>
      </c>
      <c r="DZ76" s="16">
        <f>IF(ISNA(VLOOKUP(A76,'Données projet'!$A$165:$I$185,7,0)),0%,VLOOKUP(A76,'Données projet'!$A$165:$I$185,7,0))</f>
        <v>0.2</v>
      </c>
      <c r="EA76" s="21">
        <f>EXP(-LN(2)/35)*EA75+(1-EXP(-LN(2)/35))/(LN(2)/35)*DW76*DX76*VLOOKUP('Données projet'!$B$14,Paramètres!$A$1:$I$89,3,0)*0.475*44/12</f>
        <v>47.128592560307567</v>
      </c>
      <c r="EB76" s="21">
        <f>EXP(-LN(2)/25)*EB75+(1-EXP(-LN(2)/25))/(LN(2)/25)*Calculateur!DW76*Calculateur!DY76*VLOOKUP('Données projet'!$B$14,Paramètres!$A$1:$I$89,3,0)*0.475*44/12</f>
        <v>23.861166293560768</v>
      </c>
      <c r="EC76" s="21">
        <f>EXP(-LN(2)/2)*EC75+(1-EXP(-LN(2)/2))/(LN(2)/2)*DW76*DZ76*VLOOKUP('Données projet'!$B$14,Paramètres!$A$1:$I$89,3,0)*0.475*44/12</f>
        <v>11.124945275719824</v>
      </c>
      <c r="ED76" s="22">
        <f t="shared" si="72"/>
        <v>82.114704129588162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4.2307692307692264</v>
      </c>
      <c r="EJ76" s="12">
        <f>IF('Données projet'!$A$192&gt;35,EJ75+EI76-ER75,IF(A76&lt;'Données projet'!$A$192,$EG$205^A76,IF(A76='Données projet'!$A$192,'Données projet'!$B$192,EJ75+EI76-ER75)))</f>
        <v>141.53846153846155</v>
      </c>
      <c r="EK76" s="17">
        <f>EJ76*VLOOKUP('Données projet'!$B$15,Paramètres!$A$1:$I$89,3,0)*VLOOKUP('Données projet'!$B$15,Paramètres!$A$1:$I$89,5,0)</f>
        <v>143.52000000000004</v>
      </c>
      <c r="EL76" s="13">
        <f t="shared" si="99"/>
        <v>37.102218970378601</v>
      </c>
      <c r="EM76" s="20">
        <f t="shared" si="73"/>
        <v>314.58369804007611</v>
      </c>
      <c r="EN76" s="59">
        <f t="shared" si="74"/>
        <v>603.5734380203894</v>
      </c>
      <c r="EO76" s="59">
        <f ca="1">AVERAGE(OFFSET($EN$3,0,0,'Données projet'!$E$15+1,1))-AVERAGE(OFFSET($H$3,0,0,'Données projet'!$E$15+1,1))</f>
        <v>270.0029254736703</v>
      </c>
      <c r="EP76" s="59">
        <f t="shared" si="100"/>
        <v>183.80022202211441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28.103767413973063</v>
      </c>
      <c r="EX76" s="21">
        <f>EXP(-LN(2)/2)*EX75+(1-EXP(-LN(2)/2))/(LN(2)/2)*ER76*EU76*VLOOKUP('Données projet'!$B$15,Paramètres!$A$1:$I$89,3,0)*0.475*44/12</f>
        <v>1.1589201440446422</v>
      </c>
      <c r="EY76" s="22">
        <f t="shared" si="75"/>
        <v>29.262687558017706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263.19999999999982</v>
      </c>
      <c r="FF76" s="17">
        <f>FE76*VLOOKUP('Données projet'!$B$16,Paramètres!$A$1:$I$89,3,0)*VLOOKUP('Données projet'!$B$16,Paramètres!$A$1:$I$89,5,0)</f>
        <v>229.93151999999986</v>
      </c>
      <c r="FG76" s="13">
        <f t="shared" si="101"/>
        <v>56.26787429746841</v>
      </c>
      <c r="FH76" s="20">
        <f t="shared" si="76"/>
        <v>498.4639450680906</v>
      </c>
      <c r="FI76" s="59">
        <f t="shared" si="77"/>
        <v>787.45368504840394</v>
      </c>
      <c r="FJ76" s="59">
        <f ca="1">AVERAGE(OFFSET($FI$3,0,0,'Données projet'!$E$16+1,1))-AVERAGE(OFFSET($H$3,0,0,'Données projet'!$E$16+1,1))</f>
        <v>328.93328163316073</v>
      </c>
      <c r="FK76" s="59">
        <f t="shared" si="102"/>
        <v>320.27831321887072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11.307030119508239</v>
      </c>
      <c r="FR76" s="21">
        <f>EXP(-LN(2)/25)*FR75+(1-EXP(-LN(2)/25))/(LN(2)/25)*Calculateur!FM76*Calculateur!FO76*VLOOKUP('Données projet'!$B$16,Paramètres!$A$1:$I$89,3,0)*0.475*44/12</f>
        <v>12.707814898502425</v>
      </c>
      <c r="FS76" s="21">
        <f>EXP(-LN(2)/2)*FS75+(1-EXP(-LN(2)/2))/(LN(2)/2)*FM76*FP76*VLOOKUP('Données projet'!$B$16,Paramètres!$A$1:$I$89,3,0)*0.475*44/12</f>
        <v>0.90433964759481977</v>
      </c>
      <c r="FT76" s="22">
        <f t="shared" si="78"/>
        <v>24.919184665605485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4.2307692307692264</v>
      </c>
      <c r="FZ76" s="12">
        <f>IF('Données projet'!$A$244&gt;35,FZ75+FY76-GH75,IF(A76&lt;'Données projet'!$A$244,$FW$205^A76,IF(A76='Données projet'!$A$244,'Données projet'!$B$244,FZ75+FY76-GH75)))</f>
        <v>141.53846153846155</v>
      </c>
      <c r="GA76" s="17">
        <f>FZ76*VLOOKUP('Données projet'!$B$17,Paramètres!$A$1:$I$89,3,0)*VLOOKUP('Données projet'!$B$17,Paramètres!$A$1:$I$89,5,0)</f>
        <v>94.944000000000003</v>
      </c>
      <c r="GB76" s="13">
        <f t="shared" si="103"/>
        <v>25.753862320581135</v>
      </c>
      <c r="GC76" s="20">
        <f t="shared" si="79"/>
        <v>210.21544354167881</v>
      </c>
      <c r="GD76" s="59">
        <f t="shared" si="80"/>
        <v>499.20518352199213</v>
      </c>
      <c r="GE76" s="59">
        <f ca="1">AVERAGE(OFFSET($GD$3,0,0,'Données projet'!$E$17+1,1))-AVERAGE(OFFSET($H$3,0,0,'Données projet'!$E$17+1,1))</f>
        <v>192.88444860121191</v>
      </c>
      <c r="GF76" s="59">
        <f t="shared" si="104"/>
        <v>136.13737493732751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22.915379583701117</v>
      </c>
      <c r="GN76" s="21">
        <f>EXP(-LN(2)/2)*GN75+(1-EXP(-LN(2)/2))/(LN(2)/2)*GH76*GK76*VLOOKUP('Données projet'!$B$17,Paramètres!$A$1:$I$89,3,0)*0.475*44/12</f>
        <v>0.76667024913722459</v>
      </c>
      <c r="GO76" s="21">
        <f t="shared" si="81"/>
        <v>23.682049832838342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68.815383630994546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0.85000000000000009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3.1166666666666671</v>
      </c>
      <c r="H77" s="67">
        <f t="shared" si="56"/>
        <v>244.19999999999996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896.22790268759911</v>
      </c>
      <c r="S77" s="59">
        <f ca="1">AVERAGE(OFFSET($R$3,0,0,'Données projet'!$E$9+1,1))-AVERAGE(OFFSET($H$3,0,0,'Données projet'!$E$9+1,1))</f>
        <v>643.492472896403</v>
      </c>
      <c r="T77" s="59">
        <f t="shared" si="88"/>
        <v>285.0259479655341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5.2</v>
      </c>
      <c r="AI77" s="13">
        <f>IF('Données projet'!$A$62&gt;35,AI76+AH77-AQ76,IF(A77&lt;'Données projet'!$A$62,$AF$205^A77,IF(A77='Données projet'!$A$62,'Données projet'!$B$62,AI76+AH77-AQ76)))</f>
        <v>280.79999999999973</v>
      </c>
      <c r="AJ77" s="13">
        <f>AI77*VLOOKUP('Données projet'!$B$10,Paramètres!$A$1:$I$89,3,0)*VLOOKUP('Données projet'!$B$10,Paramètres!$A$1:$I$89,5,0)</f>
        <v>219.0239999999998</v>
      </c>
      <c r="AK77" s="13">
        <f t="shared" si="89"/>
        <v>53.902702081308306</v>
      </c>
      <c r="AL77" s="20">
        <f t="shared" si="58"/>
        <v>475.34733945827821</v>
      </c>
      <c r="AM77" s="59">
        <f t="shared" si="59"/>
        <v>764.41243107244645</v>
      </c>
      <c r="AN77" s="59">
        <f ca="1">AVERAGE(OFFSET($AM$3,0,0,'Données projet'!$E$10+1,1))-AVERAGE(OFFSET($H$3,0,0,'Données projet'!$E$10+1,1))</f>
        <v>289.89907502443873</v>
      </c>
      <c r="AO77" s="59">
        <f t="shared" si="90"/>
        <v>267.42183550360301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9.2635792339571079</v>
      </c>
      <c r="AV77" s="21">
        <f>EXP(-LN(2)/25)*AV76+(1-EXP(-LN(2)/25))/(LN(2)/25)*Calculateur!AQ77*Calculateur!AS77*VLOOKUP('Données projet'!$B$10,Paramètres!$A$1:$I$89,3,0)*0.475*44/12</f>
        <v>13.142196788459676</v>
      </c>
      <c r="AW77" s="21">
        <f>EXP(-LN(2)/2)*AW76+(1-EXP(-LN(2)/2))/(LN(2)/2)*AQ77*AT77*VLOOKUP('Données projet'!$B$10,Paramètres!$A$1:$I$89,3,0)*0.475*44/12</f>
        <v>1.1794295474454655</v>
      </c>
      <c r="AX77" s="21">
        <f t="shared" si="60"/>
        <v>23.58520556986225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2.4358974358974366</v>
      </c>
      <c r="BD77" s="12">
        <f>IF('Données projet'!$A$88&gt;35,BD76+BC77-BL76,IF(A77&lt;'Données projet'!$A$88,$BA$205^A77,IF(A77='Données projet'!$A$88,'Données projet'!$B$88,BD76+BC77-BL76)))</f>
        <v>86.666666666666629</v>
      </c>
      <c r="BE77" s="13">
        <f>BD77*VLOOKUP('Données projet'!$B$11,Paramètres!$A$1:$I$89,3,0)*VLOOKUP('Données projet'!$B$11,Paramètres!$A$1:$I$89,5,0)</f>
        <v>83.82399999999997</v>
      </c>
      <c r="BF77" s="13">
        <f t="shared" si="91"/>
        <v>23.069616041477374</v>
      </c>
      <c r="BG77" s="20">
        <f t="shared" si="61"/>
        <v>186.17304793890639</v>
      </c>
      <c r="BH77" s="59">
        <f t="shared" si="62"/>
        <v>475.23813955307469</v>
      </c>
      <c r="BI77" s="59">
        <f ca="1">AVERAGE(OFFSET($BH$3,0,0,'Données projet'!$E$11+1,1))-AVERAGE(OFFSET($H$3,0,0,'Données projet'!$E$11+1,1))</f>
        <v>177.54241137663234</v>
      </c>
      <c r="BJ77" s="59">
        <f t="shared" si="92"/>
        <v>114.71095021456071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11.70284292027555</v>
      </c>
      <c r="BR77" s="21">
        <f>EXP(-LN(2)/2)*BR76+(1-EXP(-LN(2)/2))/(LN(2)/2)*BL77*BO77*VLOOKUP('Données projet'!$B$11,Paramètres!$A$1:$I$89,3,0)*0.475*44/12</f>
        <v>0.35529638390132595</v>
      </c>
      <c r="BS77" s="22">
        <f t="shared" si="63"/>
        <v>12.058139304176876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2.4358974358974366</v>
      </c>
      <c r="BY77" s="12">
        <f>IF('Données projet'!$A$114&gt;35,BY76+BX77-CG76,IF(A77&lt;'Données projet'!$A$114,$BV$205^A77,IF(A77='Données projet'!$A$114,'Données projet'!$B$114,BY76+BX77-CG76)))</f>
        <v>86.666666666666629</v>
      </c>
      <c r="BZ77" s="13">
        <f>BY77*VLOOKUP('Données projet'!$B$12,Paramètres!$A$1:$I$89,3,0)*VLOOKUP('Données projet'!$B$12,Paramètres!$A$1:$I$89,5,0)</f>
        <v>93.287999999999954</v>
      </c>
      <c r="CA77" s="13">
        <f t="shared" si="93"/>
        <v>25.356547829040977</v>
      </c>
      <c r="CB77" s="20">
        <f t="shared" si="64"/>
        <v>206.63925413557965</v>
      </c>
      <c r="CC77" s="59">
        <f t="shared" si="65"/>
        <v>495.70434574974797</v>
      </c>
      <c r="CD77" s="59">
        <f ca="1">AVERAGE(OFFSET($CC$3,0,0,'Données projet'!$E$12+1,1))-AVERAGE(OFFSET($H$3,0,0,'Données projet'!$E$12+1,1))</f>
        <v>192.88977161349993</v>
      </c>
      <c r="CE77" s="59">
        <f t="shared" si="94"/>
        <v>122.91376861456772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13.024131637080854</v>
      </c>
      <c r="CM77" s="21">
        <f>EXP(-LN(2)/2)*CM76+(1-EXP(-LN(2)/2))/(LN(2)/2)*CG77*CJ77*VLOOKUP('Données projet'!$B$12,Paramètres!$A$1:$I$89,3,0)*0.475*44/12</f>
        <v>0.39541049176115306</v>
      </c>
      <c r="CN77" s="22">
        <f t="shared" si="66"/>
        <v>13.419542128842007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2.3076923076923093</v>
      </c>
      <c r="CT77" s="12">
        <f>IF('Données projet'!$A$140&gt;35,CT76+CS77-DB76,IF(A77&lt;'Données projet'!$A$140,$CQ$205^A77,IF(A77='Données projet'!$A$140,'Données projet'!$B$140,CT76+CS77-DB76)))</f>
        <v>116.28205128205123</v>
      </c>
      <c r="CU77" s="17">
        <f>CT77*VLOOKUP('Données projet'!$B$13,Paramètres!$A$1:$I$89,3,0)*VLOOKUP('Données projet'!$B$13,Paramètres!$A$1:$I$89,5,0)</f>
        <v>94.32799999999996</v>
      </c>
      <c r="CV77" s="13">
        <f t="shared" si="95"/>
        <v>25.606163978031738</v>
      </c>
      <c r="CW77" s="20">
        <f t="shared" si="67"/>
        <v>208.88533559507187</v>
      </c>
      <c r="CX77" s="59">
        <f t="shared" si="68"/>
        <v>497.95042720924016</v>
      </c>
      <c r="CY77" s="59">
        <f ca="1">AVERAGE(OFFSET($CX$3,0,0,'Données projet'!$E$13+1,1))-AVERAGE(OFFSET($H$3,0,0,'Données projet'!$E$13+1,1))</f>
        <v>163.16040389635825</v>
      </c>
      <c r="CZ77" s="59">
        <f t="shared" si="96"/>
        <v>138.57856782158811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3.5063207352602865</v>
      </c>
      <c r="DH77" s="21">
        <f>EXP(-LN(2)/2)*DH76+(1-EXP(-LN(2)/2))/(LN(2)/2)*DB77*DE77*VLOOKUP('Données projet'!$B$13,Paramètres!$A$1:$I$89,3,0)*0.475*44/12</f>
        <v>0.40974289634458783</v>
      </c>
      <c r="DI77" s="22">
        <f t="shared" si="69"/>
        <v>3.9160636316048745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11.117500000000001</v>
      </c>
      <c r="DO77" s="12">
        <f>IF('Données projet'!$A$166&gt;35,DO76+DN77-DW76,IF(A77&lt;'Données projet'!$A$166,$DL$205^A77,IF(A77='Données projet'!$A$166,'Données projet'!$B$166,DO76+DN77-DW76)))</f>
        <v>302.86749999999989</v>
      </c>
      <c r="DP77" s="17">
        <f>DO77*VLOOKUP('Données projet'!$B$14,Paramètres!$A$1:$I$89,3,0)*VLOOKUP('Données projet'!$B$14,Paramètres!$A$1:$I$89,5,0)</f>
        <v>141.74198999999996</v>
      </c>
      <c r="DQ77" s="13">
        <f t="shared" si="97"/>
        <v>36.695783280300503</v>
      </c>
      <c r="DR77" s="20">
        <f t="shared" si="70"/>
        <v>310.77912179652327</v>
      </c>
      <c r="DS77" s="59">
        <f t="shared" si="71"/>
        <v>599.84421341069151</v>
      </c>
      <c r="DT77" s="59">
        <f ca="1">AVERAGE(OFFSET($DS$3,0,0,'Données projet'!$E$14+1,1))-AVERAGE(OFFSET($H$3,0,0,'Données projet'!$E$14+1,1))</f>
        <v>343.44193069803498</v>
      </c>
      <c r="DU77" s="59">
        <f t="shared" si="98"/>
        <v>280.67367019483481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46.204429605803007</v>
      </c>
      <c r="EB77" s="21">
        <f>EXP(-LN(2)/25)*EB76+(1-EXP(-LN(2)/25))/(LN(2)/25)*Calculateur!DW77*Calculateur!DY77*VLOOKUP('Données projet'!$B$14,Paramètres!$A$1:$I$89,3,0)*0.475*44/12</f>
        <v>23.208681446459149</v>
      </c>
      <c r="EC77" s="21">
        <f>EXP(-LN(2)/2)*EC76+(1-EXP(-LN(2)/2))/(LN(2)/2)*DW77*DZ77*VLOOKUP('Données projet'!$B$14,Paramètres!$A$1:$I$89,3,0)*0.475*44/12</f>
        <v>7.8665242447907335</v>
      </c>
      <c r="ED77" s="22">
        <f t="shared" si="72"/>
        <v>77.279635297052891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4.2307692307692264</v>
      </c>
      <c r="EJ77" s="12">
        <f>IF('Données projet'!$A$192&gt;35,EJ76+EI77-ER76,IF(A77&lt;'Données projet'!$A$192,$EG$205^A77,IF(A77='Données projet'!$A$192,'Données projet'!$B$192,EJ76+EI77-ER76)))</f>
        <v>145.76923076923077</v>
      </c>
      <c r="EK77" s="17">
        <f>EJ77*VLOOKUP('Données projet'!$B$15,Paramètres!$A$1:$I$89,3,0)*VLOOKUP('Données projet'!$B$15,Paramètres!$A$1:$I$89,5,0)</f>
        <v>147.81</v>
      </c>
      <c r="EL77" s="13">
        <f t="shared" si="99"/>
        <v>38.080475053580983</v>
      </c>
      <c r="EM77" s="20">
        <f t="shared" si="73"/>
        <v>323.75924405165352</v>
      </c>
      <c r="EN77" s="59">
        <f t="shared" si="74"/>
        <v>612.82433566582176</v>
      </c>
      <c r="EO77" s="59">
        <f ca="1">AVERAGE(OFFSET($EN$3,0,0,'Données projet'!$E$15+1,1))-AVERAGE(OFFSET($H$3,0,0,'Données projet'!$E$15+1,1))</f>
        <v>270.0029254736703</v>
      </c>
      <c r="EP77" s="59">
        <f t="shared" si="100"/>
        <v>183.80022202211441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27.335268416125075</v>
      </c>
      <c r="EX77" s="21">
        <f>EXP(-LN(2)/2)*EX76+(1-EXP(-LN(2)/2))/(LN(2)/2)*ER77*EU77*VLOOKUP('Données projet'!$B$15,Paramètres!$A$1:$I$89,3,0)*0.475*44/12</f>
        <v>0.81948029270765699</v>
      </c>
      <c r="EY77" s="22">
        <f t="shared" si="75"/>
        <v>28.154748708832731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266.5999999999998</v>
      </c>
      <c r="FF77" s="17">
        <f>FE77*VLOOKUP('Données projet'!$B$16,Paramètres!$A$1:$I$89,3,0)*VLOOKUP('Données projet'!$B$16,Paramètres!$A$1:$I$89,5,0)</f>
        <v>232.90175999999985</v>
      </c>
      <c r="FG77" s="13">
        <f t="shared" si="101"/>
        <v>56.909651332233778</v>
      </c>
      <c r="FH77" s="20">
        <f t="shared" si="76"/>
        <v>504.75487473697353</v>
      </c>
      <c r="FI77" s="59">
        <f t="shared" si="77"/>
        <v>793.81996635114183</v>
      </c>
      <c r="FJ77" s="59">
        <f ca="1">AVERAGE(OFFSET($FI$3,0,0,'Données projet'!$E$16+1,1))-AVERAGE(OFFSET($H$3,0,0,'Données projet'!$E$16+1,1))</f>
        <v>328.93328163316073</v>
      </c>
      <c r="FK77" s="59">
        <f t="shared" si="102"/>
        <v>320.27831321887072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11.085306155472072</v>
      </c>
      <c r="FR77" s="21">
        <f>EXP(-LN(2)/25)*FR76+(1-EXP(-LN(2)/25))/(LN(2)/25)*Calculateur!FM77*Calculateur!FO77*VLOOKUP('Données projet'!$B$16,Paramètres!$A$1:$I$89,3,0)*0.475*44/12</f>
        <v>12.360319031827935</v>
      </c>
      <c r="FS77" s="21">
        <f>EXP(-LN(2)/2)*FS76+(1-EXP(-LN(2)/2))/(LN(2)/2)*FM77*FP77*VLOOKUP('Données projet'!$B$16,Paramètres!$A$1:$I$89,3,0)*0.475*44/12</f>
        <v>0.63946469731014977</v>
      </c>
      <c r="FT77" s="22">
        <f t="shared" si="78"/>
        <v>24.085089884610156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4.2307692307692264</v>
      </c>
      <c r="FZ77" s="12">
        <f>IF('Données projet'!$A$244&gt;35,FZ76+FY77-GH76,IF(A77&lt;'Données projet'!$A$244,$FW$205^A77,IF(A77='Données projet'!$A$244,'Données projet'!$B$244,FZ76+FY77-GH76)))</f>
        <v>145.76923076923077</v>
      </c>
      <c r="GA77" s="17">
        <f>FZ77*VLOOKUP('Données projet'!$B$17,Paramètres!$A$1:$I$89,3,0)*VLOOKUP('Données projet'!$B$17,Paramètres!$A$1:$I$89,5,0)</f>
        <v>97.781999999999996</v>
      </c>
      <c r="GB77" s="13">
        <f t="shared" si="103"/>
        <v>26.43290182765698</v>
      </c>
      <c r="GC77" s="20">
        <f t="shared" si="79"/>
        <v>216.34095401650256</v>
      </c>
      <c r="GD77" s="59">
        <f t="shared" si="80"/>
        <v>505.40604563067086</v>
      </c>
      <c r="GE77" s="59">
        <f ca="1">AVERAGE(OFFSET($GD$3,0,0,'Données projet'!$E$17+1,1))-AVERAGE(OFFSET($H$3,0,0,'Données projet'!$E$17+1,1))</f>
        <v>192.88444860121191</v>
      </c>
      <c r="GF77" s="59">
        <f t="shared" si="104"/>
        <v>136.13737493732751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22.288757323917373</v>
      </c>
      <c r="GN77" s="21">
        <f>EXP(-LN(2)/2)*GN76+(1-EXP(-LN(2)/2))/(LN(2)/2)*GH77*GK77*VLOOKUP('Données projet'!$B$17,Paramètres!$A$1:$I$89,3,0)*0.475*44/12</f>
        <v>0.54211773209891134</v>
      </c>
      <c r="GO77" s="21">
        <f t="shared" si="81"/>
        <v>22.830875056016286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68.835934076591357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0.85000000000000009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3.1166666666666671</v>
      </c>
      <c r="H78" s="67">
        <f t="shared" si="56"/>
        <v>244.19999999999996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816.417092742975</v>
      </c>
      <c r="S78" s="59">
        <f ca="1">AVERAGE(OFFSET($R$3,0,0,'Données projet'!$E$9+1,1))-AVERAGE(OFFSET($H$3,0,0,'Données projet'!$E$9+1,1))</f>
        <v>643.492472896403</v>
      </c>
      <c r="T78" s="59">
        <f t="shared" si="88"/>
        <v>285.0259479655341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286</v>
      </c>
      <c r="AG78" s="12">
        <f>VLOOKUP(A78,'Données projet'!$A$61:$I$81,9,0)</f>
        <v>5.2</v>
      </c>
      <c r="AH78" s="12">
        <f t="array" ref="AH78">INDEX(AG:AG,MIN(IF(ISNUMBER(AG78:AG274),ROW(AG78:AG274),"")))</f>
        <v>5.2</v>
      </c>
      <c r="AI78" s="13">
        <f>IF('Données projet'!$A$62&gt;35,AI77+AH78-AQ77,IF(A78&lt;'Données projet'!$A$62,$AF$205^A78,IF(A78='Données projet'!$A$62,'Données projet'!$B$62,AI77+AH78-AQ77)))</f>
        <v>285.99999999999972</v>
      </c>
      <c r="AJ78" s="13">
        <f>AI78*VLOOKUP('Données projet'!$B$10,Paramètres!$A$1:$I$89,3,0)*VLOOKUP('Données projet'!$B$10,Paramètres!$A$1:$I$89,5,0)</f>
        <v>223.07999999999979</v>
      </c>
      <c r="AK78" s="13">
        <f t="shared" si="89"/>
        <v>54.783765878062617</v>
      </c>
      <c r="AL78" s="20">
        <f t="shared" si="58"/>
        <v>483.94605890429199</v>
      </c>
      <c r="AM78" s="59">
        <f t="shared" si="59"/>
        <v>773.08519496992881</v>
      </c>
      <c r="AN78" s="59">
        <f ca="1">AVERAGE(OFFSET($AM$3,0,0,'Données projet'!$E$10+1,1))-AVERAGE(OFFSET($H$3,0,0,'Données projet'!$E$10+1,1))</f>
        <v>289.89907502443873</v>
      </c>
      <c r="AO78" s="59">
        <f t="shared" si="90"/>
        <v>267.42183550360301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286</v>
      </c>
      <c r="AR78" s="16">
        <f>IF(ISNA(VLOOKUP(A78,'Données projet'!$A$61:$I$81,5,0)),0%,VLOOKUP(A78,'Données projet'!$A$61:$I$81,5,0)*VLOOKUP('Données projet'!$B$10,Paramètres!$A$1:$I$89,7,0))</f>
        <v>0.1075</v>
      </c>
      <c r="AS78" s="16">
        <f>IF(ISNA(VLOOKUP(A78,'Données projet'!$A$61:$I$81,6,0)),0%,VLOOKUP(A78,'Données projet'!$A$61:$I$81,6,0)*VLOOKUP('Données projet'!$B$10,Paramètres!$A$1:$I$89,7,0))</f>
        <v>0.1075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35.592321814022256</v>
      </c>
      <c r="AV78" s="21">
        <f>EXP(-LN(2)/25)*AV77+(1-EXP(-LN(2)/25))/(LN(2)/25)*Calculateur!AQ78*Calculateur!AS78*VLOOKUP('Données projet'!$B$10,Paramètres!$A$1:$I$89,3,0)*0.475*44/12</f>
        <v>39.188836915581895</v>
      </c>
      <c r="AW78" s="21">
        <f>EXP(-LN(2)/2)*AW77+(1-EXP(-LN(2)/2))/(LN(2)/2)*AQ78*AT78*VLOOKUP('Données projet'!$B$10,Paramètres!$A$1:$I$89,3,0)*0.475*44/12</f>
        <v>53.454478658472979</v>
      </c>
      <c r="AX78" s="21">
        <f t="shared" si="60"/>
        <v>128.23563738807712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89.102564102564102</v>
      </c>
      <c r="BB78" s="12">
        <f>VLOOKUP(A78,'Données projet'!$A$87:$I$107,9,0)</f>
        <v>2.4358974358974366</v>
      </c>
      <c r="BC78" s="12">
        <f t="array" ref="BC78">INDEX(BB:BB,MIN(IF(ISNUMBER(BB78:BB274),ROW(BB78:BB274),"")))</f>
        <v>2.4358974358974366</v>
      </c>
      <c r="BD78" s="12">
        <f>IF('Données projet'!$A$88&gt;35,BD77+BC78-BL77,IF(A78&lt;'Données projet'!$A$88,$BA$205^A78,IF(A78='Données projet'!$A$88,'Données projet'!$B$88,BD77+BC78-BL77)))</f>
        <v>89.10256410256406</v>
      </c>
      <c r="BE78" s="13">
        <f>BD78*VLOOKUP('Données projet'!$B$11,Paramètres!$A$1:$I$89,3,0)*VLOOKUP('Données projet'!$B$11,Paramètres!$A$1:$I$89,5,0)</f>
        <v>86.179999999999964</v>
      </c>
      <c r="BF78" s="13">
        <f t="shared" si="91"/>
        <v>23.641620366262963</v>
      </c>
      <c r="BG78" s="20">
        <f t="shared" si="61"/>
        <v>191.27265547124125</v>
      </c>
      <c r="BH78" s="59">
        <f t="shared" si="62"/>
        <v>480.41179153687813</v>
      </c>
      <c r="BI78" s="59">
        <f ca="1">AVERAGE(OFFSET($BH$3,0,0,'Données projet'!$E$11+1,1))-AVERAGE(OFFSET($H$3,0,0,'Données projet'!$E$11+1,1))</f>
        <v>177.54241137663234</v>
      </c>
      <c r="BJ78" s="59">
        <f t="shared" si="92"/>
        <v>114.71095021456071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6.4102564102564097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0.34400000000000003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13.731291941463938</v>
      </c>
      <c r="BR78" s="21">
        <f>EXP(-LN(2)/2)*BR77+(1-EXP(-LN(2)/2))/(LN(2)/2)*BL78*BO78*VLOOKUP('Données projet'!$B$11,Paramètres!$A$1:$I$89,3,0)*0.475*44/12</f>
        <v>1.4212058564983678</v>
      </c>
      <c r="BS78" s="22">
        <f t="shared" si="63"/>
        <v>15.152497797962306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89.102564102564102</v>
      </c>
      <c r="BW78" s="12">
        <f>VLOOKUP(A78,'Données projet'!$A$113:$I$133,9,0)</f>
        <v>2.4358974358974366</v>
      </c>
      <c r="BX78" s="12">
        <f t="array" ref="BX78">INDEX(BW:BW,MIN(IF(ISNUMBER(BW78:BW274),ROW(BW78:BW274),"")))</f>
        <v>2.4358974358974366</v>
      </c>
      <c r="BY78" s="12">
        <f>IF('Données projet'!$A$114&gt;35,BY77+BX78-CG77,IF(A78&lt;'Données projet'!$A$114,$BV$205^A78,IF(A78='Données projet'!$A$114,'Données projet'!$B$114,BY77+BX78-CG77)))</f>
        <v>89.10256410256406</v>
      </c>
      <c r="BZ78" s="13">
        <f>BY78*VLOOKUP('Données projet'!$B$12,Paramètres!$A$1:$I$89,3,0)*VLOOKUP('Données projet'!$B$12,Paramètres!$A$1:$I$89,5,0)</f>
        <v>95.909999999999954</v>
      </c>
      <c r="CA78" s="13">
        <f t="shared" si="93"/>
        <v>25.985255952911206</v>
      </c>
      <c r="CB78" s="20">
        <f t="shared" si="64"/>
        <v>212.30090411798696</v>
      </c>
      <c r="CC78" s="59">
        <f t="shared" si="65"/>
        <v>501.44004018362386</v>
      </c>
      <c r="CD78" s="59">
        <f ca="1">AVERAGE(OFFSET($CC$3,0,0,'Données projet'!$E$12+1,1))-AVERAGE(OFFSET($H$3,0,0,'Données projet'!$E$12+1,1))</f>
        <v>192.88977161349993</v>
      </c>
      <c r="CE78" s="59">
        <f t="shared" si="94"/>
        <v>122.91376861456772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6.4102564102564097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0.34400000000000003</v>
      </c>
      <c r="CJ78" s="16">
        <f>IF(ISNA(VLOOKUP(A78,'Données projet'!$A$113:$I$133,7,0)),0%,VLOOKUP(A78,'Données projet'!$A$113:$I$133,7,0))</f>
        <v>0.2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15.281599096145349</v>
      </c>
      <c r="CM78" s="21">
        <f>EXP(-LN(2)/2)*CM77+(1-EXP(-LN(2)/2))/(LN(2)/2)*CG78*CJ78*VLOOKUP('Données projet'!$B$12,Paramètres!$A$1:$I$89,3,0)*0.475*44/12</f>
        <v>1.5816645822320543</v>
      </c>
      <c r="CN78" s="22">
        <f t="shared" si="66"/>
        <v>16.863263678377404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118.58974358974359</v>
      </c>
      <c r="CR78" s="12">
        <f>VLOOKUP(A78,'Données projet'!$A$139:$I$159,9,0)</f>
        <v>2.3076923076923093</v>
      </c>
      <c r="CS78" s="12">
        <f t="array" ref="CS78">INDEX(CR:CR,MIN(IF(ISNUMBER(CR78:CR274),ROW(CR78:CR274),"")))</f>
        <v>2.3076923076923093</v>
      </c>
      <c r="CT78" s="12">
        <f>IF('Données projet'!$A$140&gt;35,CT77+CS78-DB77,IF(A78&lt;'Données projet'!$A$140,$CQ$205^A78,IF(A78='Données projet'!$A$140,'Données projet'!$B$140,CT77+CS78-DB77)))</f>
        <v>118.58974358974353</v>
      </c>
      <c r="CU78" s="17">
        <f>CT78*VLOOKUP('Données projet'!$B$13,Paramètres!$A$1:$I$89,3,0)*VLOOKUP('Données projet'!$B$13,Paramètres!$A$1:$I$89,5,0)</f>
        <v>96.19999999999996</v>
      </c>
      <c r="CV78" s="13">
        <f t="shared" si="95"/>
        <v>26.054668897183113</v>
      </c>
      <c r="CW78" s="20">
        <f t="shared" si="67"/>
        <v>212.92688166259384</v>
      </c>
      <c r="CX78" s="59">
        <f t="shared" si="68"/>
        <v>502.06601772823069</v>
      </c>
      <c r="CY78" s="59">
        <f ca="1">AVERAGE(OFFSET($CX$3,0,0,'Données projet'!$E$13+1,1))-AVERAGE(OFFSET($H$3,0,0,'Données projet'!$E$13+1,1))</f>
        <v>163.16040389635825</v>
      </c>
      <c r="CZ78" s="59">
        <f t="shared" si="96"/>
        <v>138.57856782158811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7.0512820512820511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0.1075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4.0875174972734243</v>
      </c>
      <c r="DH78" s="21">
        <f>EXP(-LN(2)/2)*DH77+(1-EXP(-LN(2)/2))/(LN(2)/2)*DB78*DE78*VLOOKUP('Données projet'!$B$13,Paramètres!$A$1:$I$89,3,0)*0.475*44/12</f>
        <v>1.6389754684339801</v>
      </c>
      <c r="DI78" s="22">
        <f t="shared" si="69"/>
        <v>5.7264929657074042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11.117500000000001</v>
      </c>
      <c r="DO78" s="12">
        <f>IF('Données projet'!$A$166&gt;35,DO77+DN78-DW77,IF(A78&lt;'Données projet'!$A$166,$DL$205^A78,IF(A78='Données projet'!$A$166,'Données projet'!$B$166,DO77+DN78-DW77)))</f>
        <v>313.9849999999999</v>
      </c>
      <c r="DP78" s="17">
        <f>DO78*VLOOKUP('Données projet'!$B$14,Paramètres!$A$1:$I$89,3,0)*VLOOKUP('Données projet'!$B$14,Paramètres!$A$1:$I$89,5,0)</f>
        <v>146.94497999999996</v>
      </c>
      <c r="DQ78" s="13">
        <f t="shared" si="97"/>
        <v>37.883492113436546</v>
      </c>
      <c r="DR78" s="20">
        <f t="shared" si="70"/>
        <v>321.90958893090192</v>
      </c>
      <c r="DS78" s="59">
        <f t="shared" si="71"/>
        <v>611.04872499653879</v>
      </c>
      <c r="DT78" s="59">
        <f ca="1">AVERAGE(OFFSET($DS$3,0,0,'Données projet'!$E$14+1,1))-AVERAGE(OFFSET($H$3,0,0,'Données projet'!$E$14+1,1))</f>
        <v>343.44193069803498</v>
      </c>
      <c r="DU78" s="59">
        <f t="shared" si="98"/>
        <v>280.67367019483481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45.298388923152537</v>
      </c>
      <c r="EB78" s="21">
        <f>EXP(-LN(2)/25)*EB77+(1-EXP(-LN(2)/25))/(LN(2)/25)*Calculateur!DW78*Calculateur!DY78*VLOOKUP('Données projet'!$B$14,Paramètres!$A$1:$I$89,3,0)*0.475*44/12</f>
        <v>22.57403883181421</v>
      </c>
      <c r="EC78" s="21">
        <f>EXP(-LN(2)/2)*EC77+(1-EXP(-LN(2)/2))/(LN(2)/2)*DW78*DZ78*VLOOKUP('Données projet'!$B$14,Paramètres!$A$1:$I$89,3,0)*0.475*44/12</f>
        <v>5.562472637859913</v>
      </c>
      <c r="ED78" s="22">
        <f t="shared" si="72"/>
        <v>73.434900392826663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150</v>
      </c>
      <c r="EH78" s="12">
        <f>VLOOKUP(A78,'Données projet'!$A$191:$I$211,9,0)</f>
        <v>4.2307692307692264</v>
      </c>
      <c r="EI78" s="12">
        <f t="array" ref="EI78">INDEX(EH:EH,MIN(IF(ISNUMBER(EH78:EH274),ROW(EH78:EH274),"")))</f>
        <v>4.2307692307692264</v>
      </c>
      <c r="EJ78" s="12">
        <f>IF('Données projet'!$A$192&gt;35,EJ77+EI78-ER77,IF(A78&lt;'Données projet'!$A$192,$EG$205^A78,IF(A78='Données projet'!$A$192,'Données projet'!$B$192,EJ77+EI78-ER77)))</f>
        <v>150</v>
      </c>
      <c r="EK78" s="17">
        <f>EJ78*VLOOKUP('Données projet'!$B$15,Paramètres!$A$1:$I$89,3,0)*VLOOKUP('Données projet'!$B$15,Paramètres!$A$1:$I$89,5,0)</f>
        <v>152.1</v>
      </c>
      <c r="EL78" s="13">
        <f t="shared" si="99"/>
        <v>39.055431318323095</v>
      </c>
      <c r="EM78" s="20">
        <f t="shared" si="73"/>
        <v>332.92904287941269</v>
      </c>
      <c r="EN78" s="59">
        <f t="shared" si="74"/>
        <v>622.06817894504957</v>
      </c>
      <c r="EO78" s="59">
        <f ca="1">AVERAGE(OFFSET($EN$3,0,0,'Données projet'!$E$15+1,1))-AVERAGE(OFFSET($H$3,0,0,'Données projet'!$E$15+1,1))</f>
        <v>270.0029254736703</v>
      </c>
      <c r="EP78" s="59">
        <f t="shared" si="100"/>
        <v>183.80022202211441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14.102564102564102</v>
      </c>
      <c r="ES78" s="16">
        <f>IF(ISNA(VLOOKUP(A78,'Données projet'!$A$191:$I$211,5,0)),0%,VLOOKUP(A78,'Données projet'!$A$191:$I$211,5,0)*VLOOKUP('Données projet'!$B$15,Paramètres!$A$1:$I$89,7,0))</f>
        <v>0.15049999999999999</v>
      </c>
      <c r="ET78" s="16">
        <f>IF(ISNA(VLOOKUP(A78,'Données projet'!$A$191:$I$211,6,0)),0%,VLOOKUP(A78,'Données projet'!$A$191:$I$211,6,0)*VLOOKUP('Données projet'!$B$15,Paramètres!$A$1:$I$89,7,0))</f>
        <v>8.6000000000000007E-2</v>
      </c>
      <c r="EU78" s="16">
        <f>IF(ISNA(VLOOKUP(A78,'Données projet'!$A$191:$I$211,7,0)),0%,VLOOKUP(A78,'Données projet'!$A$191:$I$211,7,0))</f>
        <v>0.1</v>
      </c>
      <c r="EV78" s="21">
        <f>EXP(-LN(2)/35)*EV77+(1-EXP(-LN(2)/35))/(LN(2)/35)*ER78*ES78*VLOOKUP('Données projet'!$B$15,Paramètres!$A$1:$I$89,3,0)*0.475*44/12</f>
        <v>2.3791380773118385</v>
      </c>
      <c r="EW78" s="21">
        <f>EXP(-LN(2)/25)*EW77+(1-EXP(-LN(2)/25))/(LN(2)/25)*Calculateur!ER78*Calculateur!ET78*VLOOKUP('Données projet'!$B$15,Paramètres!$A$1:$I$89,3,0)*0.475*44/12</f>
        <v>27.941938637603293</v>
      </c>
      <c r="EX78" s="21">
        <f>EXP(-LN(2)/2)*EX77+(1-EXP(-LN(2)/2))/(LN(2)/2)*ER78*EU78*VLOOKUP('Données projet'!$B$15,Paramètres!$A$1:$I$89,3,0)*0.475*44/12</f>
        <v>1.9287035599080267</v>
      </c>
      <c r="EY78" s="22">
        <f t="shared" si="75"/>
        <v>32.249780274823159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270</v>
      </c>
      <c r="FC78" s="12">
        <f>VLOOKUP(A78,'Données projet'!$A$217:$I$237,9,0)</f>
        <v>3.4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269.99999999999977</v>
      </c>
      <c r="FF78" s="17">
        <f>FE78*VLOOKUP('Données projet'!$B$16,Paramètres!$A$1:$I$89,3,0)*VLOOKUP('Données projet'!$B$16,Paramètres!$A$1:$I$89,5,0)</f>
        <v>235.87199999999982</v>
      </c>
      <c r="FG78" s="13">
        <f t="shared" si="101"/>
        <v>57.55047634701522</v>
      </c>
      <c r="FH78" s="20">
        <f t="shared" si="76"/>
        <v>511.04414630438458</v>
      </c>
      <c r="FI78" s="59">
        <f t="shared" si="77"/>
        <v>800.18328237002152</v>
      </c>
      <c r="FJ78" s="59">
        <f ca="1">AVERAGE(OFFSET($FI$3,0,0,'Données projet'!$E$16+1,1))-AVERAGE(OFFSET($H$3,0,0,'Données projet'!$E$16+1,1))</f>
        <v>328.93328163316073</v>
      </c>
      <c r="FK78" s="59">
        <f t="shared" si="102"/>
        <v>320.27831321887072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0.13250000000000001</v>
      </c>
      <c r="FO78" s="16">
        <f>IF(ISNA(VLOOKUP(A78,'Données projet'!$A$217:$I$237,6,0)),0%,VLOOKUP(A78,'Données projet'!$A$217:$I$237,6,0)*VLOOKUP('Données projet'!$B$16,Paramètres!$A$1:$I$89,7,0))</f>
        <v>0.13250000000000001</v>
      </c>
      <c r="FP78" s="16">
        <f>IF(ISNA(VLOOKUP(A78,'Données projet'!$A$217:$I$237,7,0)),0%,VLOOKUP(A78,'Données projet'!$A$217:$I$237,7,0))</f>
        <v>0.25</v>
      </c>
      <c r="FQ78" s="21">
        <f>EXP(-LN(2)/35)*FQ77+(1-EXP(-LN(2)/35))/(LN(2)/35)*FM78*FN78*VLOOKUP('Données projet'!$B$16,Paramètres!$A$1:$I$89,3,0)*0.475*44/12</f>
        <v>12.019573729477672</v>
      </c>
      <c r="FR78" s="21">
        <f>EXP(-LN(2)/25)*FR77+(1-EXP(-LN(2)/25))/(LN(2)/25)*Calculateur!FM78*Calculateur!FO78*VLOOKUP('Données projet'!$B$16,Paramètres!$A$1:$I$89,3,0)*0.475*44/12</f>
        <v>13.169434664321916</v>
      </c>
      <c r="FS78" s="21">
        <f>EXP(-LN(2)/2)*FS77+(1-EXP(-LN(2)/2))/(LN(2)/2)*FM78*FP78*VLOOKUP('Données projet'!$B$16,Paramètres!$A$1:$I$89,3,0)*0.475*44/12</f>
        <v>2.3067663271457612</v>
      </c>
      <c r="FT78" s="22">
        <f t="shared" si="78"/>
        <v>27.495774720945352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150</v>
      </c>
      <c r="FX78" s="12">
        <f>VLOOKUP(A78,'Données projet'!$A$243:$I$263,9,0)</f>
        <v>4.2307692307692264</v>
      </c>
      <c r="FY78" s="12">
        <f t="array" ref="FY78">INDEX(FX:FX,MIN(IF(ISNUMBER(FX78:FX274),ROW(FX78:FX274),"")))</f>
        <v>4.2307692307692264</v>
      </c>
      <c r="FZ78" s="12">
        <f>IF('Données projet'!$A$244&gt;35,FZ77+FY78-GH77,IF(A78&lt;'Données projet'!$A$244,$FW$205^A78,IF(A78='Données projet'!$A$244,'Données projet'!$B$244,FZ77+FY78-GH77)))</f>
        <v>150</v>
      </c>
      <c r="GA78" s="17">
        <f>FZ78*VLOOKUP('Données projet'!$B$17,Paramètres!$A$1:$I$89,3,0)*VLOOKUP('Données projet'!$B$17,Paramètres!$A$1:$I$89,5,0)</f>
        <v>100.62</v>
      </c>
      <c r="GB78" s="13">
        <f t="shared" si="103"/>
        <v>27.10965082293415</v>
      </c>
      <c r="GC78" s="20">
        <f t="shared" si="79"/>
        <v>222.46247518327698</v>
      </c>
      <c r="GD78" s="59">
        <f t="shared" si="80"/>
        <v>511.60161124891385</v>
      </c>
      <c r="GE78" s="59">
        <f ca="1">AVERAGE(OFFSET($GD$3,0,0,'Données projet'!$E$17+1,1))-AVERAGE(OFFSET($H$3,0,0,'Données projet'!$E$17+1,1))</f>
        <v>192.88444860121191</v>
      </c>
      <c r="GF78" s="59">
        <f t="shared" si="104"/>
        <v>136.13737493732751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14.102564102564102</v>
      </c>
      <c r="GI78" s="16">
        <f>IF(ISNA(VLOOKUP(A78,'Données projet'!$A$243:$I$263,5,0)),0%,VLOOKUP(A78,'Données projet'!$A$243:$I$263,5,0)*VLOOKUP('Données projet'!$B$17,Paramètres!$A$1:$I$89,7,0))</f>
        <v>0.1855</v>
      </c>
      <c r="GJ78" s="16">
        <f>IF(ISNA(VLOOKUP(A78,'Données projet'!$A$243:$I$263,6,0)),0%,VLOOKUP(A78,'Données projet'!$A$243:$I$263,6,0)*VLOOKUP('Données projet'!$B$17,Paramètres!$A$1:$I$89,7,0))</f>
        <v>0.10600000000000001</v>
      </c>
      <c r="GK78" s="16">
        <f>IF(ISNA(VLOOKUP(A78,'Données projet'!$A$243:$I$263,7,0)),0%,VLOOKUP(A78,'Données projet'!$A$243:$I$263,7,0))</f>
        <v>0.1</v>
      </c>
      <c r="GL78" s="21">
        <f>EXP(-LN(2)/35)*GL77+(1-EXP(-LN(2)/35))/(LN(2)/35)*GH78*GI78*VLOOKUP('Données projet'!$B$17,Paramètres!$A$1:$I$89,3,0)*0.475*44/12</f>
        <v>1.9399125861158071</v>
      </c>
      <c r="GM78" s="21">
        <f>EXP(-LN(2)/25)*GM77+(1-EXP(-LN(2)/25))/(LN(2)/25)*Calculateur!GH78*Calculateur!GJ78*VLOOKUP('Données projet'!$B$17,Paramètres!$A$1:$I$89,3,0)*0.475*44/12</f>
        <v>22.783426889122691</v>
      </c>
      <c r="GN78" s="21">
        <f>EXP(-LN(2)/2)*GN77+(1-EXP(-LN(2)/2))/(LN(2)/2)*GH78*GK78*VLOOKUP('Données projet'!$B$17,Paramètres!$A$1:$I$89,3,0)*0.475*44/12</f>
        <v>1.2759115857853096</v>
      </c>
      <c r="GO78" s="21">
        <f t="shared" si="81"/>
        <v>25.999251061023806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68.856128017900971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0.85000000000000009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3.1166666666666671</v>
      </c>
      <c r="H79" s="67">
        <f t="shared" si="56"/>
        <v>244.19999999999996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834.75943629454946</v>
      </c>
      <c r="S79" s="59">
        <f ca="1">AVERAGE(OFFSET($R$3,0,0,'Données projet'!$E$9+1,1))-AVERAGE(OFFSET($H$3,0,0,'Données projet'!$E$9+1,1))</f>
        <v>643.492472896403</v>
      </c>
      <c r="T79" s="59">
        <f t="shared" si="88"/>
        <v>285.0259479655341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-2.8421709430404007E-13</v>
      </c>
      <c r="AJ79" s="13">
        <f>AI79*VLOOKUP('Données projet'!$B$10,Paramètres!$A$1:$I$89,3,0)*VLOOKUP('Données projet'!$B$10,Paramètres!$A$1:$I$89,5,0)</f>
        <v>-2.2168933355715128E-13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289.89907502443873</v>
      </c>
      <c r="AO79" s="59">
        <f t="shared" si="90"/>
        <v>267.42183550360301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34.894378092421981</v>
      </c>
      <c r="AV79" s="21">
        <f>EXP(-LN(2)/25)*AV78+(1-EXP(-LN(2)/25))/(LN(2)/25)*Calculateur!AQ79*Calculateur!AS79*VLOOKUP('Données projet'!$B$10,Paramètres!$A$1:$I$89,3,0)*0.475*44/12</f>
        <v>38.11721610927394</v>
      </c>
      <c r="AW79" s="21">
        <f>EXP(-LN(2)/2)*AW78+(1-EXP(-LN(2)/2))/(LN(2)/2)*AQ79*AT79*VLOOKUP('Données projet'!$B$10,Paramètres!$A$1:$I$89,3,0)*0.475*44/12</f>
        <v>37.798024344197827</v>
      </c>
      <c r="AX79" s="21">
        <f t="shared" si="60"/>
        <v>110.80961854589374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2.1794871794871797</v>
      </c>
      <c r="BD79" s="12">
        <f>IF('Données projet'!$A$88&gt;35,BD78+BC79-BL78,IF(A79&lt;'Données projet'!$A$88,$BA$205^A79,IF(A79='Données projet'!$A$88,'Données projet'!$B$88,BD78+BC79-BL78)))</f>
        <v>84.871794871794833</v>
      </c>
      <c r="BE79" s="13">
        <f>BD79*VLOOKUP('Données projet'!$B$11,Paramètres!$A$1:$I$89,3,0)*VLOOKUP('Données projet'!$B$11,Paramètres!$A$1:$I$89,5,0)</f>
        <v>82.087999999999965</v>
      </c>
      <c r="BF79" s="13">
        <f t="shared" si="91"/>
        <v>22.646942912880803</v>
      </c>
      <c r="BG79" s="20">
        <f t="shared" si="61"/>
        <v>182.41335890660068</v>
      </c>
      <c r="BH79" s="59">
        <f t="shared" si="62"/>
        <v>471.62525491801171</v>
      </c>
      <c r="BI79" s="59">
        <f ca="1">AVERAGE(OFFSET($BH$3,0,0,'Données projet'!$E$11+1,1))-AVERAGE(OFFSET($H$3,0,0,'Données projet'!$E$11+1,1))</f>
        <v>177.54241137663234</v>
      </c>
      <c r="BJ79" s="59">
        <f t="shared" si="92"/>
        <v>114.71095021456071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13.355809041227348</v>
      </c>
      <c r="BR79" s="21">
        <f>EXP(-LN(2)/2)*BR78+(1-EXP(-LN(2)/2))/(LN(2)/2)*BL79*BO79*VLOOKUP('Données projet'!$B$11,Paramètres!$A$1:$I$89,3,0)*0.475*44/12</f>
        <v>1.0049442985920314</v>
      </c>
      <c r="BS79" s="22">
        <f t="shared" si="63"/>
        <v>14.360753339819379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2.1794871794871797</v>
      </c>
      <c r="BY79" s="12">
        <f>IF('Données projet'!$A$114&gt;35,BY78+BX79-CG78,IF(A79&lt;'Données projet'!$A$114,$BV$205^A79,IF(A79='Données projet'!$A$114,'Données projet'!$B$114,BY78+BX79-CG78)))</f>
        <v>84.871794871794833</v>
      </c>
      <c r="BZ79" s="13">
        <f>BY79*VLOOKUP('Données projet'!$B$12,Paramètres!$A$1:$I$89,3,0)*VLOOKUP('Données projet'!$B$12,Paramètres!$A$1:$I$89,5,0)</f>
        <v>91.355999999999952</v>
      </c>
      <c r="CA79" s="13">
        <f t="shared" si="93"/>
        <v>24.891974366611418</v>
      </c>
      <c r="CB79" s="20">
        <f t="shared" si="64"/>
        <v>202.46522202184815</v>
      </c>
      <c r="CC79" s="59">
        <f t="shared" si="65"/>
        <v>491.67711803325921</v>
      </c>
      <c r="CD79" s="59">
        <f ca="1">AVERAGE(OFFSET($CC$3,0,0,'Données projet'!$E$12+1,1))-AVERAGE(OFFSET($H$3,0,0,'Données projet'!$E$12+1,1))</f>
        <v>192.88977161349993</v>
      </c>
      <c r="CE79" s="59">
        <f t="shared" si="94"/>
        <v>122.91376861456772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14.863722965236885</v>
      </c>
      <c r="CM79" s="21">
        <f>EXP(-LN(2)/2)*CM78+(1-EXP(-LN(2)/2))/(LN(2)/2)*CG79*CJ79*VLOOKUP('Données projet'!$B$12,Paramètres!$A$1:$I$89,3,0)*0.475*44/12</f>
        <v>1.1184057516588735</v>
      </c>
      <c r="CN79" s="22">
        <f t="shared" si="66"/>
        <v>15.982128716895758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2.3076923076923039</v>
      </c>
      <c r="CT79" s="12">
        <f>IF('Données projet'!$A$140&gt;35,CT78+CS79-DB78,IF(A79&lt;'Données projet'!$A$140,$CQ$205^A79,IF(A79='Données projet'!$A$140,'Données projet'!$B$140,CT78+CS79-DB78)))</f>
        <v>113.84615384615378</v>
      </c>
      <c r="CU79" s="17">
        <f>CT79*VLOOKUP('Données projet'!$B$13,Paramètres!$A$1:$I$89,3,0)*VLOOKUP('Données projet'!$B$13,Paramètres!$A$1:$I$89,5,0)</f>
        <v>92.351999999999947</v>
      </c>
      <c r="CV79" s="13">
        <f t="shared" si="95"/>
        <v>25.131616275989728</v>
      </c>
      <c r="CW79" s="20">
        <f t="shared" si="67"/>
        <v>204.61729834734868</v>
      </c>
      <c r="CX79" s="59">
        <f t="shared" si="68"/>
        <v>493.82919435875976</v>
      </c>
      <c r="CY79" s="59">
        <f ca="1">AVERAGE(OFFSET($CX$3,0,0,'Données projet'!$E$13+1,1))-AVERAGE(OFFSET($H$3,0,0,'Données projet'!$E$13+1,1))</f>
        <v>163.16040389635825</v>
      </c>
      <c r="CZ79" s="59">
        <f t="shared" si="96"/>
        <v>138.57856782158811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3.9757441163572795</v>
      </c>
      <c r="DH79" s="21">
        <f>EXP(-LN(2)/2)*DH78+(1-EXP(-LN(2)/2))/(LN(2)/2)*DB79*DE79*VLOOKUP('Données projet'!$B$13,Paramètres!$A$1:$I$89,3,0)*0.475*44/12</f>
        <v>1.1589306679280658</v>
      </c>
      <c r="DI79" s="22">
        <f t="shared" si="69"/>
        <v>5.1346747842853455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11.117500000000001</v>
      </c>
      <c r="DO79" s="12">
        <f>IF('Données projet'!$A$166&gt;35,DO78+DN79-DW78,IF(A79&lt;'Données projet'!$A$166,$DL$205^A79,IF(A79='Données projet'!$A$166,'Données projet'!$B$166,DO78+DN79-DW78)))</f>
        <v>325.10249999999991</v>
      </c>
      <c r="DP79" s="17">
        <f>DO79*VLOOKUP('Données projet'!$B$14,Paramètres!$A$1:$I$89,3,0)*VLOOKUP('Données projet'!$B$14,Paramètres!$A$1:$I$89,5,0)</f>
        <v>152.14796999999996</v>
      </c>
      <c r="DQ79" s="13">
        <f t="shared" si="97"/>
        <v>39.066314845830235</v>
      </c>
      <c r="DR79" s="20">
        <f t="shared" si="70"/>
        <v>333.03154610648761</v>
      </c>
      <c r="DS79" s="59">
        <f t="shared" si="71"/>
        <v>622.24344211789867</v>
      </c>
      <c r="DT79" s="59">
        <f ca="1">AVERAGE(OFFSET($DS$3,0,0,'Données projet'!$E$14+1,1))-AVERAGE(OFFSET($H$3,0,0,'Données projet'!$E$14+1,1))</f>
        <v>343.44193069803498</v>
      </c>
      <c r="DU79" s="59">
        <f t="shared" si="98"/>
        <v>280.67367019483481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44.410115145658594</v>
      </c>
      <c r="EB79" s="21">
        <f>EXP(-LN(2)/25)*EB78+(1-EXP(-LN(2)/25))/(LN(2)/25)*Calculateur!DW79*Calculateur!DY79*VLOOKUP('Données projet'!$B$14,Paramètres!$A$1:$I$89,3,0)*0.475*44/12</f>
        <v>21.956750552841143</v>
      </c>
      <c r="EC79" s="21">
        <f>EXP(-LN(2)/2)*EC78+(1-EXP(-LN(2)/2))/(LN(2)/2)*DW79*DZ79*VLOOKUP('Données projet'!$B$14,Paramètres!$A$1:$I$89,3,0)*0.475*44/12</f>
        <v>3.9332621223953677</v>
      </c>
      <c r="ED79" s="22">
        <f t="shared" si="72"/>
        <v>70.300127820895099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3.9743589743589665</v>
      </c>
      <c r="EJ79" s="12">
        <f>IF('Données projet'!$A$192&gt;35,EJ78+EI79-ER78,IF(A79&lt;'Données projet'!$A$192,$EG$205^A79,IF(A79='Données projet'!$A$192,'Données projet'!$B$192,EJ78+EI79-ER78)))</f>
        <v>139.87179487179486</v>
      </c>
      <c r="EK79" s="17">
        <f>EJ79*VLOOKUP('Données projet'!$B$15,Paramètres!$A$1:$I$89,3,0)*VLOOKUP('Données projet'!$B$15,Paramètres!$A$1:$I$89,5,0)</f>
        <v>141.82999999999998</v>
      </c>
      <c r="EL79" s="13">
        <f t="shared" si="99"/>
        <v>36.715915407872465</v>
      </c>
      <c r="EM79" s="20">
        <f t="shared" si="73"/>
        <v>310.96746933537781</v>
      </c>
      <c r="EN79" s="59">
        <f t="shared" si="74"/>
        <v>600.17936534678893</v>
      </c>
      <c r="EO79" s="59">
        <f ca="1">AVERAGE(OFFSET($EN$3,0,0,'Données projet'!$E$15+1,1))-AVERAGE(OFFSET($H$3,0,0,'Données projet'!$E$15+1,1))</f>
        <v>270.0029254736703</v>
      </c>
      <c r="EP79" s="59">
        <f t="shared" si="100"/>
        <v>183.80022202211441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2.3324846307466931</v>
      </c>
      <c r="EW79" s="21">
        <f>EXP(-LN(2)/25)*EW78+(1-EXP(-LN(2)/25))/(LN(2)/25)*Calculateur!ER79*Calculateur!ET79*VLOOKUP('Données projet'!$B$15,Paramètres!$A$1:$I$89,3,0)*0.475*44/12</f>
        <v>27.177864856155342</v>
      </c>
      <c r="EX79" s="21">
        <f>EXP(-LN(2)/2)*EX78+(1-EXP(-LN(2)/2))/(LN(2)/2)*ER79*EU79*VLOOKUP('Données projet'!$B$15,Paramètres!$A$1:$I$89,3,0)*0.475*44/12</f>
        <v>1.3637993661096004</v>
      </c>
      <c r="EY79" s="22">
        <f t="shared" si="75"/>
        <v>30.874148853011636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2.8</v>
      </c>
      <c r="FE79" s="12">
        <f>IF('Données projet'!$A$218&gt;35,FE78+FD79-FM78,IF(A79&lt;'Données projet'!$A$218,$FB$205^A79,IF(A79='Données projet'!$A$218,'Données projet'!$B$218,FE78+FD79-FM78)))</f>
        <v>263.79999999999978</v>
      </c>
      <c r="FF79" s="17">
        <f>FE79*VLOOKUP('Données projet'!$B$16,Paramètres!$A$1:$I$89,3,0)*VLOOKUP('Données projet'!$B$16,Paramètres!$A$1:$I$89,5,0)</f>
        <v>230.45567999999983</v>
      </c>
      <c r="FG79" s="13">
        <f t="shared" si="101"/>
        <v>56.381198848277869</v>
      </c>
      <c r="FH79" s="20">
        <f t="shared" si="76"/>
        <v>499.57423066075035</v>
      </c>
      <c r="FI79" s="59">
        <f t="shared" si="77"/>
        <v>788.78612667216134</v>
      </c>
      <c r="FJ79" s="59">
        <f ca="1">AVERAGE(OFFSET($FI$3,0,0,'Données projet'!$E$16+1,1))-AVERAGE(OFFSET($H$3,0,0,'Données projet'!$E$16+1,1))</f>
        <v>328.93328163316073</v>
      </c>
      <c r="FK79" s="59">
        <f t="shared" si="102"/>
        <v>320.27831321887072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11.783877219858693</v>
      </c>
      <c r="FR79" s="21">
        <f>EXP(-LN(2)/25)*FR78+(1-EXP(-LN(2)/25))/(LN(2)/25)*Calculateur!FM79*Calculateur!FO79*VLOOKUP('Données projet'!$B$16,Paramètres!$A$1:$I$89,3,0)*0.475*44/12</f>
        <v>12.809315780875563</v>
      </c>
      <c r="FS79" s="21">
        <f>EXP(-LN(2)/2)*FS78+(1-EXP(-LN(2)/2))/(LN(2)/2)*FM79*FP79*VLOOKUP('Données projet'!$B$16,Paramètres!$A$1:$I$89,3,0)*0.475*44/12</f>
        <v>1.6311301125375539</v>
      </c>
      <c r="FT79" s="22">
        <f t="shared" si="78"/>
        <v>26.224323113271812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3.9743589743589665</v>
      </c>
      <c r="FZ79" s="12">
        <f>IF('Données projet'!$A$244&gt;35,FZ78+FY79-GH78,IF(A79&lt;'Données projet'!$A$244,$FW$205^A79,IF(A79='Données projet'!$A$244,'Données projet'!$B$244,FZ78+FY79-GH78)))</f>
        <v>139.87179487179486</v>
      </c>
      <c r="GA79" s="17">
        <f>FZ79*VLOOKUP('Données projet'!$B$17,Paramètres!$A$1:$I$89,3,0)*VLOOKUP('Données projet'!$B$17,Paramètres!$A$1:$I$89,5,0)</f>
        <v>93.825999999999993</v>
      </c>
      <c r="GB79" s="13">
        <f t="shared" si="103"/>
        <v>25.485716397269222</v>
      </c>
      <c r="GC79" s="20">
        <f t="shared" si="79"/>
        <v>207.80123939191051</v>
      </c>
      <c r="GD79" s="59">
        <f t="shared" si="80"/>
        <v>497.0131354033216</v>
      </c>
      <c r="GE79" s="59">
        <f ca="1">AVERAGE(OFFSET($GD$3,0,0,'Données projet'!$E$17+1,1))-AVERAGE(OFFSET($H$3,0,0,'Données projet'!$E$17+1,1))</f>
        <v>192.88444860121191</v>
      </c>
      <c r="GF79" s="59">
        <f t="shared" si="104"/>
        <v>136.13737493732751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1.9018720835319194</v>
      </c>
      <c r="GM79" s="21">
        <f>EXP(-LN(2)/25)*GM78+(1-EXP(-LN(2)/25))/(LN(2)/25)*Calculateur!GH79*Calculateur!GJ79*VLOOKUP('Données projet'!$B$17,Paramètres!$A$1:$I$89,3,0)*0.475*44/12</f>
        <v>22.160412882711281</v>
      </c>
      <c r="GN79" s="21">
        <f>EXP(-LN(2)/2)*GN78+(1-EXP(-LN(2)/2))/(LN(2)/2)*GH79*GK79*VLOOKUP('Données projet'!$B$17,Paramètres!$A$1:$I$89,3,0)*0.475*44/12</f>
        <v>0.90220573450327379</v>
      </c>
      <c r="GO79" s="21">
        <f t="shared" si="81"/>
        <v>24.964490700746474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68.87597163947575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0.85000000000000009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3.1166666666666671</v>
      </c>
      <c r="H80" s="67">
        <f t="shared" si="56"/>
        <v>244.19999999999996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853.08768266101879</v>
      </c>
      <c r="S80" s="59">
        <f ca="1">AVERAGE(OFFSET($R$3,0,0,'Données projet'!$E$9+1,1))-AVERAGE(OFFSET($H$3,0,0,'Données projet'!$E$9+1,1))</f>
        <v>643.492472896403</v>
      </c>
      <c r="T80" s="59">
        <f t="shared" si="88"/>
        <v>285.0259479655341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-2.8421709430404007E-13</v>
      </c>
      <c r="AJ80" s="13">
        <f>AI80*VLOOKUP('Données projet'!$B$10,Paramètres!$A$1:$I$89,3,0)*VLOOKUP('Données projet'!$B$10,Paramètres!$A$1:$I$89,5,0)</f>
        <v>-2.2168933355715128E-13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289.89907502443873</v>
      </c>
      <c r="AO80" s="59">
        <f t="shared" si="90"/>
        <v>267.42183550360301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34.210120621498653</v>
      </c>
      <c r="AV80" s="21">
        <f>EXP(-LN(2)/25)*AV79+(1-EXP(-LN(2)/25))/(LN(2)/25)*Calculateur!AQ80*Calculateur!AS80*VLOOKUP('Données projet'!$B$10,Paramètres!$A$1:$I$89,3,0)*0.475*44/12</f>
        <v>37.074898830268566</v>
      </c>
      <c r="AW80" s="21">
        <f>EXP(-LN(2)/2)*AW79+(1-EXP(-LN(2)/2))/(LN(2)/2)*AQ80*AT80*VLOOKUP('Données projet'!$B$10,Paramètres!$A$1:$I$89,3,0)*0.475*44/12</f>
        <v>26.727239329236493</v>
      </c>
      <c r="AX80" s="21">
        <f t="shared" si="60"/>
        <v>98.012258781003723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2.1794871794871797</v>
      </c>
      <c r="BD80" s="12">
        <f>IF('Données projet'!$A$88&gt;35,BD79+BC80-BL79,IF(A80&lt;'Données projet'!$A$88,$BA$205^A80,IF(A80='Données projet'!$A$88,'Données projet'!$B$88,BD79+BC80-BL79)))</f>
        <v>87.051282051282016</v>
      </c>
      <c r="BE80" s="13">
        <f>BD80*VLOOKUP('Données projet'!$B$11,Paramètres!$A$1:$I$89,3,0)*VLOOKUP('Données projet'!$B$11,Paramètres!$A$1:$I$89,5,0)</f>
        <v>84.19599999999997</v>
      </c>
      <c r="BF80" s="13">
        <f t="shared" si="91"/>
        <v>23.160055641180868</v>
      </c>
      <c r="BG80" s="20">
        <f t="shared" si="61"/>
        <v>186.97846357505659</v>
      </c>
      <c r="BH80" s="59">
        <f t="shared" si="62"/>
        <v>476.26185730984952</v>
      </c>
      <c r="BI80" s="59">
        <f ca="1">AVERAGE(OFFSET($BH$3,0,0,'Données projet'!$E$11+1,1))-AVERAGE(OFFSET($H$3,0,0,'Données projet'!$E$11+1,1))</f>
        <v>177.54241137663234</v>
      </c>
      <c r="BJ80" s="59">
        <f t="shared" si="92"/>
        <v>114.71095021456071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12.990593740643513</v>
      </c>
      <c r="BR80" s="21">
        <f>EXP(-LN(2)/2)*BR79+(1-EXP(-LN(2)/2))/(LN(2)/2)*BL80*BO80*VLOOKUP('Données projet'!$B$11,Paramètres!$A$1:$I$89,3,0)*0.475*44/12</f>
        <v>0.71060292824918403</v>
      </c>
      <c r="BS80" s="22">
        <f t="shared" si="63"/>
        <v>13.701196668892697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2.1794871794871797</v>
      </c>
      <c r="BY80" s="12">
        <f>IF('Données projet'!$A$114&gt;35,BY79+BX80-CG79,IF(A80&lt;'Données projet'!$A$114,$BV$205^A80,IF(A80='Données projet'!$A$114,'Données projet'!$B$114,BY79+BX80-CG79)))</f>
        <v>87.051282051282016</v>
      </c>
      <c r="BZ80" s="13">
        <f>BY80*VLOOKUP('Données projet'!$B$12,Paramètres!$A$1:$I$89,3,0)*VLOOKUP('Données projet'!$B$12,Paramètres!$A$1:$I$89,5,0)</f>
        <v>93.701999999999956</v>
      </c>
      <c r="CA80" s="13">
        <f t="shared" si="93"/>
        <v>25.455952866012435</v>
      </c>
      <c r="CB80" s="20">
        <f t="shared" si="64"/>
        <v>207.53343457497158</v>
      </c>
      <c r="CC80" s="59">
        <f t="shared" si="65"/>
        <v>496.8168283097645</v>
      </c>
      <c r="CD80" s="59">
        <f ca="1">AVERAGE(OFFSET($CC$3,0,0,'Données projet'!$E$12+1,1))-AVERAGE(OFFSET($H$3,0,0,'Données projet'!$E$12+1,1))</f>
        <v>192.88977161349993</v>
      </c>
      <c r="CE80" s="59">
        <f t="shared" si="94"/>
        <v>122.91376861456772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14.457273679103263</v>
      </c>
      <c r="CM80" s="21">
        <f>EXP(-LN(2)/2)*CM79+(1-EXP(-LN(2)/2))/(LN(2)/2)*CG80*CJ80*VLOOKUP('Données projet'!$B$12,Paramètres!$A$1:$I$89,3,0)*0.475*44/12</f>
        <v>0.79083229111602726</v>
      </c>
      <c r="CN80" s="22">
        <f t="shared" si="66"/>
        <v>15.24810597021929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2.3076923076923039</v>
      </c>
      <c r="CT80" s="12">
        <f>IF('Données projet'!$A$140&gt;35,CT79+CS80-DB79,IF(A80&lt;'Données projet'!$A$140,$CQ$205^A80,IF(A80='Données projet'!$A$140,'Données projet'!$B$140,CT79+CS80-DB79)))</f>
        <v>116.15384615384609</v>
      </c>
      <c r="CU80" s="17">
        <f>CT80*VLOOKUP('Données projet'!$B$13,Paramètres!$A$1:$I$89,3,0)*VLOOKUP('Données projet'!$B$13,Paramètres!$A$1:$I$89,5,0)</f>
        <v>94.223999999999961</v>
      </c>
      <c r="CV80" s="13">
        <f t="shared" si="95"/>
        <v>25.581216834792983</v>
      </c>
      <c r="CW80" s="20">
        <f t="shared" si="67"/>
        <v>208.66075265393101</v>
      </c>
      <c r="CX80" s="59">
        <f t="shared" si="68"/>
        <v>497.94414638872394</v>
      </c>
      <c r="CY80" s="59">
        <f ca="1">AVERAGE(OFFSET($CX$3,0,0,'Données projet'!$E$13+1,1))-AVERAGE(OFFSET($H$3,0,0,'Données projet'!$E$13+1,1))</f>
        <v>163.16040389635825</v>
      </c>
      <c r="CZ80" s="59">
        <f t="shared" si="96"/>
        <v>138.57856782158811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3.8670271844201936</v>
      </c>
      <c r="DH80" s="21">
        <f>EXP(-LN(2)/2)*DH79+(1-EXP(-LN(2)/2))/(LN(2)/2)*DB80*DE80*VLOOKUP('Données projet'!$B$13,Paramètres!$A$1:$I$89,3,0)*0.475*44/12</f>
        <v>0.81948773421699017</v>
      </c>
      <c r="DI80" s="22">
        <f t="shared" si="69"/>
        <v>4.6865149186371839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11.117500000000001</v>
      </c>
      <c r="DO80" s="12">
        <f>IF('Données projet'!$A$166&gt;35,DO79+DN80-DW79,IF(A80&lt;'Données projet'!$A$166,$DL$205^A80,IF(A80='Données projet'!$A$166,'Données projet'!$B$166,DO79+DN80-DW79)))</f>
        <v>336.21999999999991</v>
      </c>
      <c r="DP80" s="17">
        <f>DO80*VLOOKUP('Données projet'!$B$14,Paramètres!$A$1:$I$89,3,0)*VLOOKUP('Données projet'!$B$14,Paramètres!$A$1:$I$89,5,0)</f>
        <v>157.35095999999996</v>
      </c>
      <c r="DQ80" s="13">
        <f t="shared" si="97"/>
        <v>40.24443771922904</v>
      </c>
      <c r="DR80" s="20">
        <f t="shared" si="70"/>
        <v>344.14531769432386</v>
      </c>
      <c r="DS80" s="59">
        <f t="shared" si="71"/>
        <v>633.42871142911679</v>
      </c>
      <c r="DT80" s="59">
        <f ca="1">AVERAGE(OFFSET($DS$3,0,0,'Données projet'!$E$14+1,1))-AVERAGE(OFFSET($H$3,0,0,'Données projet'!$E$14+1,1))</f>
        <v>343.44193069803498</v>
      </c>
      <c r="DU80" s="59">
        <f t="shared" si="98"/>
        <v>280.67367019483481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43.539259875147799</v>
      </c>
      <c r="EB80" s="21">
        <f>EXP(-LN(2)/25)*EB79+(1-EXP(-LN(2)/25))/(LN(2)/25)*Calculateur!DW80*Calculateur!DY80*VLOOKUP('Données projet'!$B$14,Paramètres!$A$1:$I$89,3,0)*0.475*44/12</f>
        <v>21.356342054318372</v>
      </c>
      <c r="EC80" s="21">
        <f>EXP(-LN(2)/2)*EC79+(1-EXP(-LN(2)/2))/(LN(2)/2)*DW80*DZ80*VLOOKUP('Données projet'!$B$14,Paramètres!$A$1:$I$89,3,0)*0.475*44/12</f>
        <v>2.7812363189299569</v>
      </c>
      <c r="ED80" s="22">
        <f t="shared" si="72"/>
        <v>67.676838248396123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3.9743589743589665</v>
      </c>
      <c r="EJ80" s="12">
        <f>IF('Données projet'!$A$192&gt;35,EJ79+EI80-ER79,IF(A80&lt;'Données projet'!$A$192,$EG$205^A80,IF(A80='Données projet'!$A$192,'Données projet'!$B$192,EJ79+EI80-ER79)))</f>
        <v>143.84615384615384</v>
      </c>
      <c r="EK80" s="17">
        <f>EJ80*VLOOKUP('Données projet'!$B$15,Paramètres!$A$1:$I$89,3,0)*VLOOKUP('Données projet'!$B$15,Paramètres!$A$1:$I$89,5,0)</f>
        <v>145.86000000000001</v>
      </c>
      <c r="EL80" s="13">
        <f t="shared" si="99"/>
        <v>37.636228738454513</v>
      </c>
      <c r="EM80" s="20">
        <f t="shared" si="73"/>
        <v>319.58926505280829</v>
      </c>
      <c r="EN80" s="59">
        <f t="shared" si="74"/>
        <v>608.87265878760127</v>
      </c>
      <c r="EO80" s="59">
        <f ca="1">AVERAGE(OFFSET($EN$3,0,0,'Données projet'!$E$15+1,1))-AVERAGE(OFFSET($H$3,0,0,'Données projet'!$E$15+1,1))</f>
        <v>270.0029254736703</v>
      </c>
      <c r="EP80" s="59">
        <f t="shared" si="100"/>
        <v>183.80022202211441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2.2867460298128979</v>
      </c>
      <c r="EW80" s="21">
        <f>EXP(-LN(2)/25)*EW79+(1-EXP(-LN(2)/25))/(LN(2)/25)*Calculateur!ER80*Calculateur!ET80*VLOOKUP('Données projet'!$B$15,Paramètres!$A$1:$I$89,3,0)*0.475*44/12</f>
        <v>26.434684712441978</v>
      </c>
      <c r="EX80" s="21">
        <f>EXP(-LN(2)/2)*EX79+(1-EXP(-LN(2)/2))/(LN(2)/2)*ER80*EU80*VLOOKUP('Données projet'!$B$15,Paramètres!$A$1:$I$89,3,0)*0.475*44/12</f>
        <v>0.96435177995401344</v>
      </c>
      <c r="EY80" s="22">
        <f t="shared" si="75"/>
        <v>29.685782522208889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2.8</v>
      </c>
      <c r="FE80" s="12">
        <f>IF('Données projet'!$A$218&gt;35,FE79+FD80-FM79,IF(A80&lt;'Données projet'!$A$218,$FB$205^A80,IF(A80='Données projet'!$A$218,'Données projet'!$B$218,FE79+FD80-FM79)))</f>
        <v>266.5999999999998</v>
      </c>
      <c r="FF80" s="17">
        <f>FE80*VLOOKUP('Données projet'!$B$16,Paramètres!$A$1:$I$89,3,0)*VLOOKUP('Données projet'!$B$16,Paramètres!$A$1:$I$89,5,0)</f>
        <v>232.90175999999985</v>
      </c>
      <c r="FG80" s="13">
        <f t="shared" si="101"/>
        <v>56.909651332233778</v>
      </c>
      <c r="FH80" s="20">
        <f t="shared" si="76"/>
        <v>504.75487473697353</v>
      </c>
      <c r="FI80" s="59">
        <f t="shared" si="77"/>
        <v>794.03826847176651</v>
      </c>
      <c r="FJ80" s="59">
        <f ca="1">AVERAGE(OFFSET($FI$3,0,0,'Données projet'!$E$16+1,1))-AVERAGE(OFFSET($H$3,0,0,'Données projet'!$E$16+1,1))</f>
        <v>328.93328163316073</v>
      </c>
      <c r="FK80" s="59">
        <f t="shared" si="102"/>
        <v>320.27831321887072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11.552802575032667</v>
      </c>
      <c r="FR80" s="21">
        <f>EXP(-LN(2)/25)*FR79+(1-EXP(-LN(2)/25))/(LN(2)/25)*Calculateur!FM80*Calculateur!FO80*VLOOKUP('Données projet'!$B$16,Paramètres!$A$1:$I$89,3,0)*0.475*44/12</f>
        <v>12.459044367234879</v>
      </c>
      <c r="FS80" s="21">
        <f>EXP(-LN(2)/2)*FS79+(1-EXP(-LN(2)/2))/(LN(2)/2)*FM80*FP80*VLOOKUP('Données projet'!$B$16,Paramètres!$A$1:$I$89,3,0)*0.475*44/12</f>
        <v>1.1533831635728808</v>
      </c>
      <c r="FT80" s="22">
        <f t="shared" si="78"/>
        <v>25.165230105840426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3.9743589743589665</v>
      </c>
      <c r="FZ80" s="12">
        <f>IF('Données projet'!$A$244&gt;35,FZ79+FY80-GH79,IF(A80&lt;'Données projet'!$A$244,$FW$205^A80,IF(A80='Données projet'!$A$244,'Données projet'!$B$244,FZ79+FY80-GH79)))</f>
        <v>143.84615384615384</v>
      </c>
      <c r="GA80" s="17">
        <f>FZ80*VLOOKUP('Données projet'!$B$17,Paramètres!$A$1:$I$89,3,0)*VLOOKUP('Données projet'!$B$17,Paramètres!$A$1:$I$89,5,0)</f>
        <v>96.49199999999999</v>
      </c>
      <c r="GB80" s="13">
        <f t="shared" si="103"/>
        <v>26.12453594675571</v>
      </c>
      <c r="GC80" s="20">
        <f t="shared" si="79"/>
        <v>213.5571334405995</v>
      </c>
      <c r="GD80" s="59">
        <f t="shared" si="80"/>
        <v>502.84052717539242</v>
      </c>
      <c r="GE80" s="59">
        <f ca="1">AVERAGE(OFFSET($GD$3,0,0,'Données projet'!$E$17+1,1))-AVERAGE(OFFSET($H$3,0,0,'Données projet'!$E$17+1,1))</f>
        <v>192.88444860121191</v>
      </c>
      <c r="GF80" s="59">
        <f t="shared" si="104"/>
        <v>136.13737493732751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1.8645775320012863</v>
      </c>
      <c r="GM80" s="21">
        <f>EXP(-LN(2)/25)*GM79+(1-EXP(-LN(2)/25))/(LN(2)/25)*Calculateur!GH80*Calculateur!GJ80*VLOOKUP('Données projet'!$B$17,Paramètres!$A$1:$I$89,3,0)*0.475*44/12</f>
        <v>21.554435227068076</v>
      </c>
      <c r="GN80" s="21">
        <f>EXP(-LN(2)/2)*GN79+(1-EXP(-LN(2)/2))/(LN(2)/2)*GH80*GK80*VLOOKUP('Données projet'!$B$17,Paramètres!$A$1:$I$89,3,0)*0.475*44/12</f>
        <v>0.6379557928926548</v>
      </c>
      <c r="GO80" s="21">
        <f t="shared" si="81"/>
        <v>24.056968551962015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68.895471018579897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0.85000000000000009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3.1166666666666671</v>
      </c>
      <c r="H81" s="67">
        <f t="shared" si="56"/>
        <v>244.19999999999996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871.40232756622231</v>
      </c>
      <c r="S81" s="59">
        <f ca="1">AVERAGE(OFFSET($R$3,0,0,'Données projet'!$E$9+1,1))-AVERAGE(OFFSET($H$3,0,0,'Données projet'!$E$9+1,1))</f>
        <v>643.492472896403</v>
      </c>
      <c r="T81" s="59">
        <f t="shared" si="88"/>
        <v>285.0259479655341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-2.8421709430404007E-13</v>
      </c>
      <c r="AJ81" s="13">
        <f>AI81*VLOOKUP('Données projet'!$B$10,Paramètres!$A$1:$I$89,3,0)*VLOOKUP('Données projet'!$B$10,Paramètres!$A$1:$I$89,5,0)</f>
        <v>-2.2168933355715128E-13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289.89907502443873</v>
      </c>
      <c r="AO81" s="59">
        <f t="shared" si="90"/>
        <v>267.42183550360301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33.539281022224287</v>
      </c>
      <c r="AV81" s="21">
        <f>EXP(-LN(2)/25)*AV80+(1-EXP(-LN(2)/25))/(LN(2)/25)*Calculateur!AQ81*Calculateur!AS81*VLOOKUP('Données projet'!$B$10,Paramètres!$A$1:$I$89,3,0)*0.475*44/12</f>
        <v>36.061083772070681</v>
      </c>
      <c r="AW81" s="21">
        <f>EXP(-LN(2)/2)*AW80+(1-EXP(-LN(2)/2))/(LN(2)/2)*AQ81*AT81*VLOOKUP('Données projet'!$B$10,Paramètres!$A$1:$I$89,3,0)*0.475*44/12</f>
        <v>18.899012172098917</v>
      </c>
      <c r="AX81" s="21">
        <f t="shared" si="60"/>
        <v>88.499376966393882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2.1794871794871797</v>
      </c>
      <c r="BD81" s="12">
        <f>IF('Données projet'!$A$88&gt;35,BD80+BC81-BL80,IF(A81&lt;'Données projet'!$A$88,$BA$205^A81,IF(A81='Données projet'!$A$88,'Données projet'!$B$88,BD80+BC81-BL80)))</f>
        <v>89.230769230769198</v>
      </c>
      <c r="BE81" s="13">
        <f>BD81*VLOOKUP('Données projet'!$B$11,Paramètres!$A$1:$I$89,3,0)*VLOOKUP('Données projet'!$B$11,Paramètres!$A$1:$I$89,5,0)</f>
        <v>86.303999999999974</v>
      </c>
      <c r="BF81" s="13">
        <f t="shared" si="91"/>
        <v>23.671675024340772</v>
      </c>
      <c r="BG81" s="20">
        <f t="shared" si="61"/>
        <v>191.54096733406013</v>
      </c>
      <c r="BH81" s="59">
        <f t="shared" si="62"/>
        <v>480.89461846657923</v>
      </c>
      <c r="BI81" s="59">
        <f ca="1">AVERAGE(OFFSET($BH$3,0,0,'Données projet'!$E$11+1,1))-AVERAGE(OFFSET($H$3,0,0,'Données projet'!$E$11+1,1))</f>
        <v>177.54241137663234</v>
      </c>
      <c r="BJ81" s="59">
        <f t="shared" si="92"/>
        <v>114.71095021456071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12.635365271659982</v>
      </c>
      <c r="BR81" s="21">
        <f>EXP(-LN(2)/2)*BR80+(1-EXP(-LN(2)/2))/(LN(2)/2)*BL81*BO81*VLOOKUP('Données projet'!$B$11,Paramètres!$A$1:$I$89,3,0)*0.475*44/12</f>
        <v>0.50247214929601569</v>
      </c>
      <c r="BS81" s="22">
        <f t="shared" si="63"/>
        <v>13.137837420955998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2.1794871794871797</v>
      </c>
      <c r="BY81" s="12">
        <f>IF('Données projet'!$A$114&gt;35,BY80+BX81-CG80,IF(A81&lt;'Données projet'!$A$114,$BV$205^A81,IF(A81='Données projet'!$A$114,'Données projet'!$B$114,BY80+BX81-CG80)))</f>
        <v>89.230769230769198</v>
      </c>
      <c r="BZ81" s="13">
        <f>BY81*VLOOKUP('Données projet'!$B$12,Paramètres!$A$1:$I$89,3,0)*VLOOKUP('Données projet'!$B$12,Paramètres!$A$1:$I$89,5,0)</f>
        <v>96.047999999999959</v>
      </c>
      <c r="CA81" s="13">
        <f t="shared" si="93"/>
        <v>26.018289982331776</v>
      </c>
      <c r="CB81" s="20">
        <f t="shared" si="64"/>
        <v>212.59878838589444</v>
      </c>
      <c r="CC81" s="59">
        <f t="shared" si="65"/>
        <v>501.9524395184136</v>
      </c>
      <c r="CD81" s="59">
        <f ca="1">AVERAGE(OFFSET($CC$3,0,0,'Données projet'!$E$12+1,1))-AVERAGE(OFFSET($H$3,0,0,'Données projet'!$E$12+1,1))</f>
        <v>192.88977161349993</v>
      </c>
      <c r="CE81" s="59">
        <f t="shared" si="94"/>
        <v>122.91376861456772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14.061938770073205</v>
      </c>
      <c r="CM81" s="21">
        <f>EXP(-LN(2)/2)*CM80+(1-EXP(-LN(2)/2))/(LN(2)/2)*CG81*CJ81*VLOOKUP('Données projet'!$B$12,Paramètres!$A$1:$I$89,3,0)*0.475*44/12</f>
        <v>0.55920287582943673</v>
      </c>
      <c r="CN81" s="22">
        <f t="shared" si="66"/>
        <v>14.621141645902641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2.3076923076923039</v>
      </c>
      <c r="CT81" s="12">
        <f>IF('Données projet'!$A$140&gt;35,CT80+CS81-DB80,IF(A81&lt;'Données projet'!$A$140,$CQ$205^A81,IF(A81='Données projet'!$A$140,'Données projet'!$B$140,CT80+CS81-DB80)))</f>
        <v>118.4615384615384</v>
      </c>
      <c r="CU81" s="17">
        <f>CT81*VLOOKUP('Données projet'!$B$13,Paramètres!$A$1:$I$89,3,0)*VLOOKUP('Données projet'!$B$13,Paramètres!$A$1:$I$89,5,0)</f>
        <v>96.095999999999947</v>
      </c>
      <c r="CV81" s="13">
        <f t="shared" si="95"/>
        <v>26.029778784173327</v>
      </c>
      <c r="CW81" s="20">
        <f t="shared" si="67"/>
        <v>212.70239804910179</v>
      </c>
      <c r="CX81" s="59">
        <f t="shared" si="68"/>
        <v>502.05604918162089</v>
      </c>
      <c r="CY81" s="59">
        <f ca="1">AVERAGE(OFFSET($CX$3,0,0,'Données projet'!$E$13+1,1))-AVERAGE(OFFSET($H$3,0,0,'Données projet'!$E$13+1,1))</f>
        <v>163.16040389635825</v>
      </c>
      <c r="CZ81" s="59">
        <f t="shared" si="96"/>
        <v>138.57856782158811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3.7612831227041021</v>
      </c>
      <c r="DH81" s="21">
        <f>EXP(-LN(2)/2)*DH80+(1-EXP(-LN(2)/2))/(LN(2)/2)*DB81*DE81*VLOOKUP('Données projet'!$B$13,Paramètres!$A$1:$I$89,3,0)*0.475*44/12</f>
        <v>0.57946533396403288</v>
      </c>
      <c r="DI81" s="22">
        <f t="shared" si="69"/>
        <v>4.3407484566681349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11.117500000000001</v>
      </c>
      <c r="DO81" s="12">
        <f>IF('Données projet'!$A$166&gt;35,DO80+DN81-DW80,IF(A81&lt;'Données projet'!$A$166,$DL$205^A81,IF(A81='Données projet'!$A$166,'Données projet'!$B$166,DO80+DN81-DW80)))</f>
        <v>347.33749999999992</v>
      </c>
      <c r="DP81" s="17">
        <f>DO81*VLOOKUP('Données projet'!$B$14,Paramètres!$A$1:$I$89,3,0)*VLOOKUP('Données projet'!$B$14,Paramètres!$A$1:$I$89,5,0)</f>
        <v>162.55394999999996</v>
      </c>
      <c r="DQ81" s="13">
        <f t="shared" si="97"/>
        <v>41.418033959800411</v>
      </c>
      <c r="DR81" s="20">
        <f t="shared" si="70"/>
        <v>355.25120539665227</v>
      </c>
      <c r="DS81" s="59">
        <f t="shared" si="71"/>
        <v>644.60485652917146</v>
      </c>
      <c r="DT81" s="59">
        <f ca="1">AVERAGE(OFFSET($DS$3,0,0,'Données projet'!$E$14+1,1))-AVERAGE(OFFSET($H$3,0,0,'Données projet'!$E$14+1,1))</f>
        <v>343.44193069803498</v>
      </c>
      <c r="DU81" s="59">
        <f t="shared" si="98"/>
        <v>280.67367019483481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42.685481545322453</v>
      </c>
      <c r="EB81" s="21">
        <f>EXP(-LN(2)/25)*EB80+(1-EXP(-LN(2)/25))/(LN(2)/25)*Calculateur!DW81*Calculateur!DY81*VLOOKUP('Données projet'!$B$14,Paramètres!$A$1:$I$89,3,0)*0.475*44/12</f>
        <v>20.772351757761818</v>
      </c>
      <c r="EC81" s="21">
        <f>EXP(-LN(2)/2)*EC80+(1-EXP(-LN(2)/2))/(LN(2)/2)*DW81*DZ81*VLOOKUP('Données projet'!$B$14,Paramètres!$A$1:$I$89,3,0)*0.475*44/12</f>
        <v>1.966631061197684</v>
      </c>
      <c r="ED81" s="22">
        <f t="shared" si="72"/>
        <v>65.42446436428196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3.9743589743589665</v>
      </c>
      <c r="EJ81" s="12">
        <f>IF('Données projet'!$A$192&gt;35,EJ80+EI81-ER80,IF(A81&lt;'Données projet'!$A$192,$EG$205^A81,IF(A81='Données projet'!$A$192,'Données projet'!$B$192,EJ80+EI81-ER80)))</f>
        <v>147.82051282051282</v>
      </c>
      <c r="EK81" s="17">
        <f>EJ81*VLOOKUP('Données projet'!$B$15,Paramètres!$A$1:$I$89,3,0)*VLOOKUP('Données projet'!$B$15,Paramètres!$A$1:$I$89,5,0)</f>
        <v>149.88999999999999</v>
      </c>
      <c r="EL81" s="13">
        <f t="shared" si="99"/>
        <v>38.553586658932218</v>
      </c>
      <c r="EM81" s="20">
        <f t="shared" si="73"/>
        <v>328.20591343097357</v>
      </c>
      <c r="EN81" s="59">
        <f t="shared" si="74"/>
        <v>617.5595645634927</v>
      </c>
      <c r="EO81" s="59">
        <f ca="1">AVERAGE(OFFSET($EN$3,0,0,'Données projet'!$E$15+1,1))-AVERAGE(OFFSET($H$3,0,0,'Données projet'!$E$15+1,1))</f>
        <v>270.0029254736703</v>
      </c>
      <c r="EP81" s="59">
        <f t="shared" si="100"/>
        <v>183.80022202211441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2.2419043349456222</v>
      </c>
      <c r="EW81" s="21">
        <f>EXP(-LN(2)/25)*EW80+(1-EXP(-LN(2)/25))/(LN(2)/25)*Calculateur!ER81*Calculateur!ET81*VLOOKUP('Données projet'!$B$15,Paramètres!$A$1:$I$89,3,0)*0.475*44/12</f>
        <v>25.7118268688406</v>
      </c>
      <c r="EX81" s="21">
        <f>EXP(-LN(2)/2)*EX80+(1-EXP(-LN(2)/2))/(LN(2)/2)*ER81*EU81*VLOOKUP('Données projet'!$B$15,Paramètres!$A$1:$I$89,3,0)*0.475*44/12</f>
        <v>0.68189968305480031</v>
      </c>
      <c r="EY81" s="22">
        <f t="shared" si="75"/>
        <v>28.635630886841025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2.8</v>
      </c>
      <c r="FE81" s="12">
        <f>IF('Données projet'!$A$218&gt;35,FE80+FD81-FM80,IF(A81&lt;'Données projet'!$A$218,$FB$205^A81,IF(A81='Données projet'!$A$218,'Données projet'!$B$218,FE80+FD81-FM80)))</f>
        <v>269.39999999999981</v>
      </c>
      <c r="FF81" s="17">
        <f>FE81*VLOOKUP('Données projet'!$B$16,Paramètres!$A$1:$I$89,3,0)*VLOOKUP('Données projet'!$B$16,Paramètres!$A$1:$I$89,5,0)</f>
        <v>235.34783999999988</v>
      </c>
      <c r="FG81" s="13">
        <f t="shared" si="101"/>
        <v>57.437458162232033</v>
      </c>
      <c r="FH81" s="20">
        <f t="shared" si="76"/>
        <v>509.93439429922063</v>
      </c>
      <c r="FI81" s="59">
        <f t="shared" si="77"/>
        <v>799.28804543173976</v>
      </c>
      <c r="FJ81" s="59">
        <f ca="1">AVERAGE(OFFSET($FI$3,0,0,'Données projet'!$E$16+1,1))-AVERAGE(OFFSET($H$3,0,0,'Données projet'!$E$16+1,1))</f>
        <v>328.93328163316073</v>
      </c>
      <c r="FK81" s="59">
        <f t="shared" si="102"/>
        <v>320.27831321887072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11.326259163050061</v>
      </c>
      <c r="FR81" s="21">
        <f>EXP(-LN(2)/25)*FR80+(1-EXP(-LN(2)/25))/(LN(2)/25)*Calculateur!FM81*Calculateur!FO81*VLOOKUP('Données projet'!$B$16,Paramètres!$A$1:$I$89,3,0)*0.475*44/12</f>
        <v>12.118351143820174</v>
      </c>
      <c r="FS81" s="21">
        <f>EXP(-LN(2)/2)*FS80+(1-EXP(-LN(2)/2))/(LN(2)/2)*FM81*FP81*VLOOKUP('Données projet'!$B$16,Paramètres!$A$1:$I$89,3,0)*0.475*44/12</f>
        <v>0.81556505626877707</v>
      </c>
      <c r="FT81" s="22">
        <f t="shared" si="78"/>
        <v>24.260175363139012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3.9743589743589665</v>
      </c>
      <c r="FZ81" s="12">
        <f>IF('Données projet'!$A$244&gt;35,FZ80+FY81-GH80,IF(A81&lt;'Données projet'!$A$244,$FW$205^A81,IF(A81='Données projet'!$A$244,'Données projet'!$B$244,FZ80+FY81-GH80)))</f>
        <v>147.82051282051282</v>
      </c>
      <c r="GA81" s="17">
        <f>FZ81*VLOOKUP('Données projet'!$B$17,Paramètres!$A$1:$I$89,3,0)*VLOOKUP('Données projet'!$B$17,Paramètres!$A$1:$I$89,5,0)</f>
        <v>99.158000000000001</v>
      </c>
      <c r="GB81" s="13">
        <f t="shared" si="103"/>
        <v>26.761304049535209</v>
      </c>
      <c r="GC81" s="20">
        <f t="shared" si="79"/>
        <v>219.30945455294048</v>
      </c>
      <c r="GD81" s="59">
        <f t="shared" si="80"/>
        <v>508.66310568545964</v>
      </c>
      <c r="GE81" s="59">
        <f ca="1">AVERAGE(OFFSET($GD$3,0,0,'Données projet'!$E$17+1,1))-AVERAGE(OFFSET($H$3,0,0,'Données projet'!$E$17+1,1))</f>
        <v>192.88444860121191</v>
      </c>
      <c r="GF81" s="59">
        <f t="shared" si="104"/>
        <v>136.13737493732751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1.8280143038787384</v>
      </c>
      <c r="GM81" s="21">
        <f>EXP(-LN(2)/25)*GM80+(1-EXP(-LN(2)/25))/(LN(2)/25)*Calculateur!GH81*Calculateur!GJ81*VLOOKUP('Données projet'!$B$17,Paramètres!$A$1:$I$89,3,0)*0.475*44/12</f>
        <v>20.965028062285413</v>
      </c>
      <c r="GN81" s="21">
        <f>EXP(-LN(2)/2)*GN80+(1-EXP(-LN(2)/2))/(LN(2)/2)*GH81*GK81*VLOOKUP('Données projet'!$B$17,Paramètres!$A$1:$I$89,3,0)*0.475*44/12</f>
        <v>0.4511028672516369</v>
      </c>
      <c r="GO81" s="21">
        <f t="shared" si="81"/>
        <v>23.244145233415789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68.914632127050666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0.85000000000000009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3.1166666666666671</v>
      </c>
      <c r="H82" s="67">
        <f t="shared" si="56"/>
        <v>244.19999999999996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889.70383424977103</v>
      </c>
      <c r="S82" s="59">
        <f ca="1">AVERAGE(OFFSET($R$3,0,0,'Données projet'!$E$9+1,1))-AVERAGE(OFFSET($H$3,0,0,'Données projet'!$E$9+1,1))</f>
        <v>643.492472896403</v>
      </c>
      <c r="T82" s="59">
        <f t="shared" si="88"/>
        <v>285.0259479655341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-2.8421709430404007E-13</v>
      </c>
      <c r="AJ82" s="13">
        <f>AI82*VLOOKUP('Données projet'!$B$10,Paramètres!$A$1:$I$89,3,0)*VLOOKUP('Données projet'!$B$10,Paramètres!$A$1:$I$89,5,0)</f>
        <v>-2.2168933355715128E-13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289.89907502443873</v>
      </c>
      <c r="AO82" s="59">
        <f t="shared" si="90"/>
        <v>267.42183550360301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32.881596178319938</v>
      </c>
      <c r="AV82" s="21">
        <f>EXP(-LN(2)/25)*AV81+(1-EXP(-LN(2)/25))/(LN(2)/25)*Calculateur!AQ82*Calculateur!AS82*VLOOKUP('Données projet'!$B$10,Paramètres!$A$1:$I$89,3,0)*0.475*44/12</f>
        <v>35.07499153995343</v>
      </c>
      <c r="AW82" s="21">
        <f>EXP(-LN(2)/2)*AW81+(1-EXP(-LN(2)/2))/(LN(2)/2)*AQ82*AT82*VLOOKUP('Données projet'!$B$10,Paramètres!$A$1:$I$89,3,0)*0.475*44/12</f>
        <v>13.363619664618248</v>
      </c>
      <c r="AX82" s="21">
        <f t="shared" si="60"/>
        <v>81.320207382891624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2.1794871794871797</v>
      </c>
      <c r="BD82" s="12">
        <f>IF('Données projet'!$A$88&gt;35,BD81+BC82-BL81,IF(A82&lt;'Données projet'!$A$88,$BA$205^A82,IF(A82='Données projet'!$A$88,'Données projet'!$B$88,BD81+BC82-BL81)))</f>
        <v>91.41025641025638</v>
      </c>
      <c r="BE82" s="13">
        <f>BD82*VLOOKUP('Données projet'!$B$11,Paramètres!$A$1:$I$89,3,0)*VLOOKUP('Données projet'!$B$11,Paramètres!$A$1:$I$89,5,0)</f>
        <v>88.411999999999964</v>
      </c>
      <c r="BF82" s="13">
        <f t="shared" si="91"/>
        <v>24.181841733826023</v>
      </c>
      <c r="BG82" s="20">
        <f t="shared" si="61"/>
        <v>196.1009410197469</v>
      </c>
      <c r="BH82" s="59">
        <f t="shared" si="62"/>
        <v>485.52363074121365</v>
      </c>
      <c r="BI82" s="59">
        <f ca="1">AVERAGE(OFFSET($BH$3,0,0,'Données projet'!$E$11+1,1))-AVERAGE(OFFSET($H$3,0,0,'Données projet'!$E$11+1,1))</f>
        <v>177.54241137663234</v>
      </c>
      <c r="BJ82" s="59">
        <f t="shared" si="92"/>
        <v>114.71095021456071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12.289850543841458</v>
      </c>
      <c r="BR82" s="21">
        <f>EXP(-LN(2)/2)*BR81+(1-EXP(-LN(2)/2))/(LN(2)/2)*BL82*BO82*VLOOKUP('Données projet'!$B$11,Paramètres!$A$1:$I$89,3,0)*0.475*44/12</f>
        <v>0.35530146412459201</v>
      </c>
      <c r="BS82" s="22">
        <f t="shared" si="63"/>
        <v>12.64515200796605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2.1794871794871797</v>
      </c>
      <c r="BY82" s="12">
        <f>IF('Données projet'!$A$114&gt;35,BY81+BX82-CG81,IF(A82&lt;'Données projet'!$A$114,$BV$205^A82,IF(A82='Données projet'!$A$114,'Données projet'!$B$114,BY81+BX82-CG81)))</f>
        <v>91.41025641025638</v>
      </c>
      <c r="BZ82" s="13">
        <f>BY82*VLOOKUP('Données projet'!$B$12,Paramètres!$A$1:$I$89,3,0)*VLOOKUP('Données projet'!$B$12,Paramètres!$A$1:$I$89,5,0)</f>
        <v>98.393999999999963</v>
      </c>
      <c r="CA82" s="13">
        <f t="shared" si="93"/>
        <v>26.579030418869145</v>
      </c>
      <c r="CB82" s="20">
        <f t="shared" si="64"/>
        <v>217.6613613128637</v>
      </c>
      <c r="CC82" s="59">
        <f t="shared" si="65"/>
        <v>507.0840510343304</v>
      </c>
      <c r="CD82" s="59">
        <f ca="1">AVERAGE(OFFSET($CC$3,0,0,'Données projet'!$E$12+1,1))-AVERAGE(OFFSET($H$3,0,0,'Données projet'!$E$12+1,1))</f>
        <v>192.88977161349993</v>
      </c>
      <c r="CE82" s="59">
        <f t="shared" si="94"/>
        <v>122.91376861456772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13.677414314920332</v>
      </c>
      <c r="CM82" s="21">
        <f>EXP(-LN(2)/2)*CM81+(1-EXP(-LN(2)/2))/(LN(2)/2)*CG82*CJ82*VLOOKUP('Données projet'!$B$12,Paramètres!$A$1:$I$89,3,0)*0.475*44/12</f>
        <v>0.39541614555801363</v>
      </c>
      <c r="CN82" s="22">
        <f t="shared" si="66"/>
        <v>14.072830460478347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2.3076923076923039</v>
      </c>
      <c r="CT82" s="12">
        <f>IF('Données projet'!$A$140&gt;35,CT81+CS82-DB81,IF(A82&lt;'Données projet'!$A$140,$CQ$205^A82,IF(A82='Données projet'!$A$140,'Données projet'!$B$140,CT81+CS82-DB81)))</f>
        <v>120.7692307692307</v>
      </c>
      <c r="CU82" s="17">
        <f>CT82*VLOOKUP('Données projet'!$B$13,Paramètres!$A$1:$I$89,3,0)*VLOOKUP('Données projet'!$B$13,Paramètres!$A$1:$I$89,5,0)</f>
        <v>97.967999999999961</v>
      </c>
      <c r="CV82" s="13">
        <f t="shared" si="95"/>
        <v>26.477324689152407</v>
      </c>
      <c r="CW82" s="20">
        <f t="shared" si="67"/>
        <v>216.74227383360707</v>
      </c>
      <c r="CX82" s="59">
        <f t="shared" si="68"/>
        <v>506.16496355507377</v>
      </c>
      <c r="CY82" s="59">
        <f ca="1">AVERAGE(OFFSET($CX$3,0,0,'Données projet'!$E$13+1,1))-AVERAGE(OFFSET($H$3,0,0,'Données projet'!$E$13+1,1))</f>
        <v>163.16040389635825</v>
      </c>
      <c r="CZ82" s="59">
        <f t="shared" si="96"/>
        <v>138.57856782158811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3.6584306379164757</v>
      </c>
      <c r="DH82" s="21">
        <f>EXP(-LN(2)/2)*DH81+(1-EXP(-LN(2)/2))/(LN(2)/2)*DB82*DE82*VLOOKUP('Données projet'!$B$13,Paramètres!$A$1:$I$89,3,0)*0.475*44/12</f>
        <v>0.40974386710849509</v>
      </c>
      <c r="DI82" s="22">
        <f t="shared" si="69"/>
        <v>4.0681745050249711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11.117500000000001</v>
      </c>
      <c r="DO82" s="12">
        <f>IF('Données projet'!$A$166&gt;35,DO81+DN82-DW81,IF(A82&lt;'Données projet'!$A$166,$DL$205^A82,IF(A82='Données projet'!$A$166,'Données projet'!$B$166,DO81+DN82-DW81)))</f>
        <v>358.45499999999993</v>
      </c>
      <c r="DP82" s="17">
        <f>DO82*VLOOKUP('Données projet'!$B$14,Paramètres!$A$1:$I$89,3,0)*VLOOKUP('Données projet'!$B$14,Paramètres!$A$1:$I$89,5,0)</f>
        <v>167.75693999999999</v>
      </c>
      <c r="DQ82" s="13">
        <f t="shared" si="97"/>
        <v>42.587265074910924</v>
      </c>
      <c r="DR82" s="20">
        <f t="shared" si="70"/>
        <v>366.34949050546987</v>
      </c>
      <c r="DS82" s="59">
        <f t="shared" si="71"/>
        <v>655.7721802269366</v>
      </c>
      <c r="DT82" s="59">
        <f ca="1">AVERAGE(OFFSET($DS$3,0,0,'Données projet'!$E$14+1,1))-AVERAGE(OFFSET($H$3,0,0,'Données projet'!$E$14+1,1))</f>
        <v>343.44193069803498</v>
      </c>
      <c r="DU82" s="59">
        <f t="shared" si="98"/>
        <v>280.67367019483481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41.84844528779162</v>
      </c>
      <c r="EB82" s="21">
        <f>EXP(-LN(2)/25)*EB81+(1-EXP(-LN(2)/25))/(LN(2)/25)*Calculateur!DW82*Calculateur!DY82*VLOOKUP('Données projet'!$B$14,Paramètres!$A$1:$I$89,3,0)*0.475*44/12</f>
        <v>20.20433070657532</v>
      </c>
      <c r="EC82" s="21">
        <f>EXP(-LN(2)/2)*EC81+(1-EXP(-LN(2)/2))/(LN(2)/2)*DW82*DZ82*VLOOKUP('Données projet'!$B$14,Paramètres!$A$1:$I$89,3,0)*0.475*44/12</f>
        <v>1.3906181594649787</v>
      </c>
      <c r="ED82" s="22">
        <f t="shared" si="72"/>
        <v>63.443394153831917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3.9743589743589665</v>
      </c>
      <c r="EJ82" s="12">
        <f>IF('Données projet'!$A$192&gt;35,EJ81+EI82-ER81,IF(A82&lt;'Données projet'!$A$192,$EG$205^A82,IF(A82='Données projet'!$A$192,'Données projet'!$B$192,EJ81+EI82-ER81)))</f>
        <v>151.7948717948718</v>
      </c>
      <c r="EK82" s="17">
        <f>EJ82*VLOOKUP('Données projet'!$B$15,Paramètres!$A$1:$I$89,3,0)*VLOOKUP('Données projet'!$B$15,Paramètres!$A$1:$I$89,5,0)</f>
        <v>153.92000000000002</v>
      </c>
      <c r="EL82" s="13">
        <f t="shared" si="99"/>
        <v>39.468077761717744</v>
      </c>
      <c r="EM82" s="20">
        <f t="shared" si="73"/>
        <v>336.81756876832509</v>
      </c>
      <c r="EN82" s="59">
        <f t="shared" si="74"/>
        <v>626.24025848979181</v>
      </c>
      <c r="EO82" s="59">
        <f ca="1">AVERAGE(OFFSET($EN$3,0,0,'Données projet'!$E$15+1,1))-AVERAGE(OFFSET($H$3,0,0,'Données projet'!$E$15+1,1))</f>
        <v>270.0029254736703</v>
      </c>
      <c r="EP82" s="59">
        <f t="shared" si="100"/>
        <v>183.80022202211441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2.1979419583639608</v>
      </c>
      <c r="EW82" s="21">
        <f>EXP(-LN(2)/25)*EW81+(1-EXP(-LN(2)/25))/(LN(2)/25)*Calculateur!ER82*Calculateur!ET82*VLOOKUP('Données projet'!$B$15,Paramètres!$A$1:$I$89,3,0)*0.475*44/12</f>
        <v>25.008735610985944</v>
      </c>
      <c r="EX82" s="21">
        <f>EXP(-LN(2)/2)*EX81+(1-EXP(-LN(2)/2))/(LN(2)/2)*ER82*EU82*VLOOKUP('Données projet'!$B$15,Paramètres!$A$1:$I$89,3,0)*0.475*44/12</f>
        <v>0.48217588997700683</v>
      </c>
      <c r="EY82" s="22">
        <f t="shared" si="75"/>
        <v>27.688853459326914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2.8</v>
      </c>
      <c r="FE82" s="12">
        <f>IF('Données projet'!$A$218&gt;35,FE81+FD82-FM81,IF(A82&lt;'Données projet'!$A$218,$FB$205^A82,IF(A82='Données projet'!$A$218,'Données projet'!$B$218,FE81+FD82-FM81)))</f>
        <v>272.19999999999982</v>
      </c>
      <c r="FF82" s="17">
        <f>FE82*VLOOKUP('Données projet'!$B$16,Paramètres!$A$1:$I$89,3,0)*VLOOKUP('Données projet'!$B$16,Paramètres!$A$1:$I$89,5,0)</f>
        <v>237.79391999999984</v>
      </c>
      <c r="FG82" s="13">
        <f t="shared" si="101"/>
        <v>57.96462682570845</v>
      </c>
      <c r="FH82" s="20">
        <f t="shared" si="76"/>
        <v>515.11280238810866</v>
      </c>
      <c r="FI82" s="59">
        <f t="shared" si="77"/>
        <v>804.53549210957544</v>
      </c>
      <c r="FJ82" s="59">
        <f ca="1">AVERAGE(OFFSET($FI$3,0,0,'Données projet'!$E$16+1,1))-AVERAGE(OFFSET($H$3,0,0,'Données projet'!$E$16+1,1))</f>
        <v>328.93328163316073</v>
      </c>
      <c r="FK82" s="59">
        <f t="shared" si="102"/>
        <v>320.27831321887072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11.104158129198597</v>
      </c>
      <c r="FR82" s="21">
        <f>EXP(-LN(2)/25)*FR81+(1-EXP(-LN(2)/25))/(LN(2)/25)*Calculateur!FM82*Calculateur!FO82*VLOOKUP('Données projet'!$B$16,Paramètres!$A$1:$I$89,3,0)*0.475*44/12</f>
        <v>11.786974194516022</v>
      </c>
      <c r="FS82" s="21">
        <f>EXP(-LN(2)/2)*FS81+(1-EXP(-LN(2)/2))/(LN(2)/2)*FM82*FP82*VLOOKUP('Données projet'!$B$16,Paramètres!$A$1:$I$89,3,0)*0.475*44/12</f>
        <v>0.57669158178644053</v>
      </c>
      <c r="FT82" s="22">
        <f t="shared" si="78"/>
        <v>23.46782390550106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3.9743589743589665</v>
      </c>
      <c r="FZ82" s="12">
        <f>IF('Données projet'!$A$244&gt;35,FZ81+FY82-GH81,IF(A82&lt;'Données projet'!$A$244,$FW$205^A82,IF(A82='Données projet'!$A$244,'Données projet'!$B$244,FZ81+FY82-GH81)))</f>
        <v>151.7948717948718</v>
      </c>
      <c r="GA82" s="17">
        <f>FZ82*VLOOKUP('Données projet'!$B$17,Paramètres!$A$1:$I$89,3,0)*VLOOKUP('Données projet'!$B$17,Paramètres!$A$1:$I$89,5,0)</f>
        <v>101.824</v>
      </c>
      <c r="GB82" s="13">
        <f t="shared" si="103"/>
        <v>27.396082200495339</v>
      </c>
      <c r="GC82" s="20">
        <f t="shared" si="79"/>
        <v>225.05830983252937</v>
      </c>
      <c r="GD82" s="59">
        <f t="shared" si="80"/>
        <v>514.48099955399607</v>
      </c>
      <c r="GE82" s="59">
        <f ca="1">AVERAGE(OFFSET($GD$3,0,0,'Données projet'!$E$17+1,1))-AVERAGE(OFFSET($H$3,0,0,'Données projet'!$E$17+1,1))</f>
        <v>192.88444860121191</v>
      </c>
      <c r="GF82" s="59">
        <f t="shared" si="104"/>
        <v>136.13737493732751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1.7921680583583068</v>
      </c>
      <c r="GM82" s="21">
        <f>EXP(-LN(2)/25)*GM81+(1-EXP(-LN(2)/25))/(LN(2)/25)*Calculateur!GH82*Calculateur!GJ82*VLOOKUP('Données projet'!$B$17,Paramètres!$A$1:$I$89,3,0)*0.475*44/12</f>
        <v>20.39173826741931</v>
      </c>
      <c r="GN82" s="21">
        <f>EXP(-LN(2)/2)*GN81+(1-EXP(-LN(2)/2))/(LN(2)/2)*GH82*GK82*VLOOKUP('Données projet'!$B$17,Paramètres!$A$1:$I$89,3,0)*0.475*44/12</f>
        <v>0.3189778964463274</v>
      </c>
      <c r="GO82" s="21">
        <f t="shared" si="81"/>
        <v>22.502884222223944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68.933460833127299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0.85000000000000009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3.1166666666666671</v>
      </c>
      <c r="H83" s="67">
        <f t="shared" si="56"/>
        <v>244.19999999999996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907.9926365777942</v>
      </c>
      <c r="S83" s="59">
        <f ca="1">AVERAGE(OFFSET($R$3,0,0,'Données projet'!$E$9+1,1))-AVERAGE(OFFSET($H$3,0,0,'Données projet'!$E$9+1,1))</f>
        <v>643.492472896403</v>
      </c>
      <c r="T83" s="59">
        <f t="shared" si="88"/>
        <v>285.0259479655341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-2.8421709430404007E-13</v>
      </c>
      <c r="AJ83" s="13">
        <f>AI83*VLOOKUP('Données projet'!$B$10,Paramètres!$A$1:$I$89,3,0)*VLOOKUP('Données projet'!$B$10,Paramètres!$A$1:$I$89,5,0)</f>
        <v>-2.2168933355715128E-13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289.89907502443873</v>
      </c>
      <c r="AO83" s="59">
        <f t="shared" si="90"/>
        <v>267.42183550360301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32.236808133056407</v>
      </c>
      <c r="AV83" s="21">
        <f>EXP(-LN(2)/25)*AV82+(1-EXP(-LN(2)/25))/(LN(2)/25)*Calculateur!AQ83*Calculateur!AS83*VLOOKUP('Données projet'!$B$10,Paramètres!$A$1:$I$89,3,0)*0.475*44/12</f>
        <v>34.115864051779766</v>
      </c>
      <c r="AW83" s="21">
        <f>EXP(-LN(2)/2)*AW82+(1-EXP(-LN(2)/2))/(LN(2)/2)*AQ83*AT83*VLOOKUP('Données projet'!$B$10,Paramètres!$A$1:$I$89,3,0)*0.475*44/12</f>
        <v>9.4495060860494604</v>
      </c>
      <c r="AX83" s="21">
        <f t="shared" si="60"/>
        <v>75.802178270885634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93.589743589743591</v>
      </c>
      <c r="BB83" s="12">
        <f>VLOOKUP(A83,'Données projet'!$A$87:$I$107,9,0)</f>
        <v>2.1794871794871797</v>
      </c>
      <c r="BC83" s="12">
        <f t="array" ref="BC83">INDEX(BB:BB,MIN(IF(ISNUMBER(BB83:BB279),ROW(BB83:BB279),"")))</f>
        <v>2.1794871794871797</v>
      </c>
      <c r="BD83" s="12">
        <f>IF('Données projet'!$A$88&gt;35,BD82+BC83-BL82,IF(A83&lt;'Données projet'!$A$88,$BA$205^A83,IF(A83='Données projet'!$A$88,'Données projet'!$B$88,BD82+BC83-BL82)))</f>
        <v>93.589743589743563</v>
      </c>
      <c r="BE83" s="13">
        <f>BD83*VLOOKUP('Données projet'!$B$11,Paramètres!$A$1:$I$89,3,0)*VLOOKUP('Données projet'!$B$11,Paramètres!$A$1:$I$89,5,0)</f>
        <v>90.519999999999982</v>
      </c>
      <c r="BF83" s="13">
        <f t="shared" si="91"/>
        <v>24.690594391033635</v>
      </c>
      <c r="BG83" s="20">
        <f t="shared" si="61"/>
        <v>200.65845189771687</v>
      </c>
      <c r="BH83" s="59">
        <f t="shared" si="62"/>
        <v>490.14898254296014</v>
      </c>
      <c r="BI83" s="59">
        <f ca="1">AVERAGE(OFFSET($BH$3,0,0,'Données projet'!$E$11+1,1))-AVERAGE(OFFSET($H$3,0,0,'Données projet'!$E$11+1,1))</f>
        <v>177.54241137663234</v>
      </c>
      <c r="BJ83" s="59">
        <f t="shared" si="92"/>
        <v>114.71095021456071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5.7692307692307692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0.34400000000000003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14.067401423067139</v>
      </c>
      <c r="BR83" s="21">
        <f>EXP(-LN(2)/2)*BR82+(1-EXP(-LN(2)/2))/(LN(2)/2)*BL83*BO83*VLOOKUP('Données projet'!$B$11,Paramètres!$A$1:$I$89,3,0)*0.475*44/12</f>
        <v>1.3042121113476211</v>
      </c>
      <c r="BS83" s="22">
        <f t="shared" si="63"/>
        <v>15.37161353441476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93.589743589743591</v>
      </c>
      <c r="BW83" s="12">
        <f>VLOOKUP(A83,'Données projet'!$A$113:$I$133,9,0)</f>
        <v>2.1794871794871797</v>
      </c>
      <c r="BX83" s="12">
        <f t="array" ref="BX83">INDEX(BW:BW,MIN(IF(ISNUMBER(BW83:BW279),ROW(BW83:BW279),"")))</f>
        <v>2.1794871794871797</v>
      </c>
      <c r="BY83" s="12">
        <f>IF('Données projet'!$A$114&gt;35,BY82+BX83-CG82,IF(A83&lt;'Données projet'!$A$114,$BV$205^A83,IF(A83='Données projet'!$A$114,'Données projet'!$B$114,BY82+BX83-CG82)))</f>
        <v>93.589743589743563</v>
      </c>
      <c r="BZ83" s="13">
        <f>BY83*VLOOKUP('Données projet'!$B$12,Paramètres!$A$1:$I$89,3,0)*VLOOKUP('Données projet'!$B$12,Paramètres!$A$1:$I$89,5,0)</f>
        <v>100.73999999999997</v>
      </c>
      <c r="CA83" s="13">
        <f t="shared" si="93"/>
        <v>27.138216625628822</v>
      </c>
      <c r="CB83" s="20">
        <f t="shared" si="64"/>
        <v>222.7212272896368</v>
      </c>
      <c r="CC83" s="59">
        <f t="shared" si="65"/>
        <v>512.2117579348801</v>
      </c>
      <c r="CD83" s="59">
        <f ca="1">AVERAGE(OFFSET($CC$3,0,0,'Données projet'!$E$12+1,1))-AVERAGE(OFFSET($H$3,0,0,'Données projet'!$E$12+1,1))</f>
        <v>192.88977161349993</v>
      </c>
      <c r="CE83" s="59">
        <f t="shared" si="94"/>
        <v>122.91376861456772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5.7692307692307692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0.34400000000000003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15.655656422445686</v>
      </c>
      <c r="CM83" s="21">
        <f>EXP(-LN(2)/2)*CM82+(1-EXP(-LN(2)/2))/(LN(2)/2)*CG83*CJ83*VLOOKUP('Données projet'!$B$12,Paramètres!$A$1:$I$89,3,0)*0.475*44/12</f>
        <v>1.4514618658546108</v>
      </c>
      <c r="CN83" s="22">
        <f t="shared" si="66"/>
        <v>17.107118288300295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123.07692307692307</v>
      </c>
      <c r="CR83" s="12">
        <f>VLOOKUP(A83,'Données projet'!$A$139:$I$159,9,0)</f>
        <v>2.3076923076923039</v>
      </c>
      <c r="CS83" s="12">
        <f t="array" ref="CS83">INDEX(CR:CR,MIN(IF(ISNUMBER(CR83:CR279),ROW(CR83:CR279),"")))</f>
        <v>2.3076923076923039</v>
      </c>
      <c r="CT83" s="12">
        <f>IF('Données projet'!$A$140&gt;35,CT82+CS83-DB82,IF(A83&lt;'Données projet'!$A$140,$CQ$205^A83,IF(A83='Données projet'!$A$140,'Données projet'!$B$140,CT82+CS83-DB82)))</f>
        <v>123.07692307692301</v>
      </c>
      <c r="CU83" s="17">
        <f>CT83*VLOOKUP('Données projet'!$B$13,Paramètres!$A$1:$I$89,3,0)*VLOOKUP('Données projet'!$B$13,Paramètres!$A$1:$I$89,5,0)</f>
        <v>99.839999999999947</v>
      </c>
      <c r="CV83" s="13">
        <f t="shared" si="95"/>
        <v>26.923876203052842</v>
      </c>
      <c r="CW83" s="20">
        <f t="shared" si="67"/>
        <v>220.78041772031693</v>
      </c>
      <c r="CX83" s="59">
        <f t="shared" si="68"/>
        <v>510.27094836556023</v>
      </c>
      <c r="CY83" s="59">
        <f ca="1">AVERAGE(OFFSET($CX$3,0,0,'Données projet'!$E$13+1,1))-AVERAGE(OFFSET($H$3,0,0,'Données projet'!$E$13+1,1))</f>
        <v>163.16040389635825</v>
      </c>
      <c r="CZ83" s="59">
        <f t="shared" si="96"/>
        <v>138.57856782158811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7.0512820512820511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0.1075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4.2354679466423679</v>
      </c>
      <c r="DH83" s="21">
        <f>EXP(-LN(2)/2)*DH82+(1-EXP(-LN(2)/2))/(LN(2)/2)*DB83*DE83*VLOOKUP('Données projet'!$B$13,Paramètres!$A$1:$I$89,3,0)*0.475*44/12</f>
        <v>1.6389761548677217</v>
      </c>
      <c r="DI83" s="22">
        <f t="shared" si="69"/>
        <v>5.8744441015100897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11.117500000000001</v>
      </c>
      <c r="DO83" s="12">
        <f>IF('Données projet'!$A$166&gt;35,DO82+DN83-DW82,IF(A83&lt;'Données projet'!$A$166,$DL$205^A83,IF(A83='Données projet'!$A$166,'Données projet'!$B$166,DO82+DN83-DW82)))</f>
        <v>369.57249999999993</v>
      </c>
      <c r="DP83" s="17">
        <f>DO83*VLOOKUP('Données projet'!$B$14,Paramètres!$A$1:$I$89,3,0)*VLOOKUP('Données projet'!$B$14,Paramètres!$A$1:$I$89,5,0)</f>
        <v>172.95992999999996</v>
      </c>
      <c r="DQ83" s="13">
        <f t="shared" si="97"/>
        <v>43.752281984506958</v>
      </c>
      <c r="DR83" s="20">
        <f t="shared" si="70"/>
        <v>377.44043587301621</v>
      </c>
      <c r="DS83" s="59">
        <f t="shared" si="71"/>
        <v>666.93096651825954</v>
      </c>
      <c r="DT83" s="59">
        <f ca="1">AVERAGE(OFFSET($DS$3,0,0,'Données projet'!$E$14+1,1))-AVERAGE(OFFSET($H$3,0,0,'Données projet'!$E$14+1,1))</f>
        <v>343.44193069803498</v>
      </c>
      <c r="DU83" s="59">
        <f t="shared" si="98"/>
        <v>280.67367019483481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41.027822800729261</v>
      </c>
      <c r="EB83" s="21">
        <f>EXP(-LN(2)/25)*EB82+(1-EXP(-LN(2)/25))/(LN(2)/25)*Calculateur!DW83*Calculateur!DY83*VLOOKUP('Données projet'!$B$14,Paramètres!$A$1:$I$89,3,0)*0.475*44/12</f>
        <v>19.651842220904442</v>
      </c>
      <c r="EC83" s="21">
        <f>EXP(-LN(2)/2)*EC82+(1-EXP(-LN(2)/2))/(LN(2)/2)*DW83*DZ83*VLOOKUP('Données projet'!$B$14,Paramètres!$A$1:$I$89,3,0)*0.475*44/12</f>
        <v>0.98331553059884225</v>
      </c>
      <c r="ED83" s="22">
        <f t="shared" si="72"/>
        <v>61.662980552232547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155.76923076923075</v>
      </c>
      <c r="EH83" s="12">
        <f>VLOOKUP(A83,'Données projet'!$A$191:$I$211,9,0)</f>
        <v>3.9743589743589665</v>
      </c>
      <c r="EI83" s="12">
        <f t="array" ref="EI83">INDEX(EH:EH,MIN(IF(ISNUMBER(EH83:EH279),ROW(EH83:EH279),"")))</f>
        <v>3.9743589743589665</v>
      </c>
      <c r="EJ83" s="12">
        <f>IF('Données projet'!$A$192&gt;35,EJ82+EI83-ER82,IF(A83&lt;'Données projet'!$A$192,$EG$205^A83,IF(A83='Données projet'!$A$192,'Données projet'!$B$192,EJ82+EI83-ER82)))</f>
        <v>155.76923076923077</v>
      </c>
      <c r="EK83" s="17">
        <f>EJ83*VLOOKUP('Données projet'!$B$15,Paramètres!$A$1:$I$89,3,0)*VLOOKUP('Données projet'!$B$15,Paramètres!$A$1:$I$89,5,0)</f>
        <v>157.95000000000002</v>
      </c>
      <c r="EL83" s="13">
        <f t="shared" si="99"/>
        <v>40.379785735878301</v>
      </c>
      <c r="EM83" s="20">
        <f t="shared" si="73"/>
        <v>345.42437682332138</v>
      </c>
      <c r="EN83" s="59">
        <f t="shared" si="74"/>
        <v>634.91490746856471</v>
      </c>
      <c r="EO83" s="59">
        <f ca="1">AVERAGE(OFFSET($EN$3,0,0,'Données projet'!$E$15+1,1))-AVERAGE(OFFSET($H$3,0,0,'Données projet'!$E$15+1,1))</f>
        <v>270.0029254736703</v>
      </c>
      <c r="EP83" s="59">
        <f t="shared" si="100"/>
        <v>183.80022202211441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13.461538461538462</v>
      </c>
      <c r="ES83" s="16">
        <f>IF(ISNA(VLOOKUP(A83,'Données projet'!$A$191:$I$211,5,0)),0%,VLOOKUP(A83,'Données projet'!$A$191:$I$211,5,0)*VLOOKUP('Données projet'!$B$15,Paramètres!$A$1:$I$89,7,0))</f>
        <v>0.15049999999999999</v>
      </c>
      <c r="ET83" s="16">
        <f>IF(ISNA(VLOOKUP(A83,'Données projet'!$A$191:$I$211,6,0)),0%,VLOOKUP(A83,'Données projet'!$A$191:$I$211,6,0)*VLOOKUP('Données projet'!$B$15,Paramètres!$A$1:$I$89,7,0))</f>
        <v>8.6000000000000007E-2</v>
      </c>
      <c r="EU83" s="16">
        <f>IF(ISNA(VLOOKUP(A83,'Données projet'!$A$191:$I$211,7,0)),0%,VLOOKUP(A83,'Données projet'!$A$191:$I$211,7,0))</f>
        <v>0.1</v>
      </c>
      <c r="EV83" s="21">
        <f>EXP(-LN(2)/35)*EV82+(1-EXP(-LN(2)/35))/(LN(2)/35)*ER83*ES83*VLOOKUP('Données projet'!$B$15,Paramètres!$A$1:$I$89,3,0)*0.475*44/12</f>
        <v>4.4258370946066918</v>
      </c>
      <c r="EW83" s="21">
        <f>EXP(-LN(2)/25)*EW82+(1-EXP(-LN(2)/25))/(LN(2)/25)*Calculateur!ER83*Calculateur!ET83*VLOOKUP('Données projet'!$B$15,Paramètres!$A$1:$I$89,3,0)*0.475*44/12</f>
        <v>25.617472513739713</v>
      </c>
      <c r="EX83" s="21">
        <f>EXP(-LN(2)/2)*EX82+(1-EXP(-LN(2)/2))/(LN(2)/2)*ER83*EU83*VLOOKUP('Données projet'!$B$15,Paramètres!$A$1:$I$89,3,0)*0.475*44/12</f>
        <v>1.6288640799637553</v>
      </c>
      <c r="EY83" s="22">
        <f t="shared" si="75"/>
        <v>31.67217368831016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275</v>
      </c>
      <c r="FC83" s="12">
        <f>VLOOKUP(A83,'Données projet'!$A$217:$I$237,9,0)</f>
        <v>2.8</v>
      </c>
      <c r="FD83" s="12">
        <f t="array" ref="FD83">INDEX(FC:FC,MIN(IF(ISNUMBER(FC83:FC279),ROW(FC83:FC279),"")))</f>
        <v>2.8</v>
      </c>
      <c r="FE83" s="12">
        <f>IF('Données projet'!$A$218&gt;35,FE82+FD83-FM82,IF(A83&lt;'Données projet'!$A$218,$FB$205^A83,IF(A83='Données projet'!$A$218,'Données projet'!$B$218,FE82+FD83-FM82)))</f>
        <v>274.99999999999983</v>
      </c>
      <c r="FF83" s="17">
        <f>FE83*VLOOKUP('Données projet'!$B$16,Paramètres!$A$1:$I$89,3,0)*VLOOKUP('Données projet'!$B$16,Paramètres!$A$1:$I$89,5,0)</f>
        <v>240.23999999999987</v>
      </c>
      <c r="FG83" s="13">
        <f t="shared" si="101"/>
        <v>58.491164647183084</v>
      </c>
      <c r="FH83" s="20">
        <f t="shared" si="76"/>
        <v>520.29011176051029</v>
      </c>
      <c r="FI83" s="59">
        <f t="shared" si="77"/>
        <v>809.7806424057535</v>
      </c>
      <c r="FJ83" s="59">
        <f ca="1">AVERAGE(OFFSET($FI$3,0,0,'Données projet'!$E$16+1,1))-AVERAGE(OFFSET($H$3,0,0,'Données projet'!$E$16+1,1))</f>
        <v>328.93328163316073</v>
      </c>
      <c r="FK83" s="59">
        <f t="shared" si="102"/>
        <v>320.27831321887072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275</v>
      </c>
      <c r="FN83" s="16">
        <f>IF(ISNA(VLOOKUP(A83,'Données projet'!$A$217:$I$237,5,0)),0%,VLOOKUP(A83,'Données projet'!$A$217:$I$237,5,0)*VLOOKUP('Données projet'!$B$16,Paramètres!$A$1:$I$89,7,0))</f>
        <v>0.13250000000000001</v>
      </c>
      <c r="FO83" s="16">
        <f>IF(ISNA(VLOOKUP(A83,'Données projet'!$A$217:$I$237,6,0)),0%,VLOOKUP(A83,'Données projet'!$A$217:$I$237,6,0)*VLOOKUP('Données projet'!$B$16,Paramètres!$A$1:$I$89,7,0))</f>
        <v>0.13250000000000001</v>
      </c>
      <c r="FP83" s="16">
        <f>IF(ISNA(VLOOKUP(A83,'Données projet'!$A$217:$I$237,7,0)),0%,VLOOKUP(A83,'Données projet'!$A$217:$I$237,7,0))</f>
        <v>0.25</v>
      </c>
      <c r="FQ83" s="21">
        <f>EXP(-LN(2)/35)*FQ82+(1-EXP(-LN(2)/35))/(LN(2)/35)*FM83*FN83*VLOOKUP('Données projet'!$B$16,Paramètres!$A$1:$I$89,3,0)*0.475*44/12</f>
        <v>46.075524388369679</v>
      </c>
      <c r="FR83" s="21">
        <f>EXP(-LN(2)/25)*FR82+(1-EXP(-LN(2)/25))/(LN(2)/25)*Calculateur!FM83*Calculateur!FO83*VLOOKUP('Données projet'!$B$16,Paramètres!$A$1:$I$89,3,0)*0.475*44/12</f>
        <v>46.515217850379898</v>
      </c>
      <c r="FS83" s="21">
        <f>EXP(-LN(2)/2)*FS82+(1-EXP(-LN(2)/2))/(LN(2)/2)*FM83*FP83*VLOOKUP('Données projet'!$B$16,Paramètres!$A$1:$I$89,3,0)*0.475*44/12</f>
        <v>57.076009019334002</v>
      </c>
      <c r="FT83" s="22">
        <f t="shared" si="78"/>
        <v>149.66675125808359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155.76923076923075</v>
      </c>
      <c r="FX83" s="12">
        <f>VLOOKUP(A83,'Données projet'!$A$243:$I$263,9,0)</f>
        <v>3.9743589743589665</v>
      </c>
      <c r="FY83" s="12">
        <f t="array" ref="FY83">INDEX(FX:FX,MIN(IF(ISNUMBER(FX83:FX279),ROW(FX83:FX279),"")))</f>
        <v>3.9743589743589665</v>
      </c>
      <c r="FZ83" s="12">
        <f>IF('Données projet'!$A$244&gt;35,FZ82+FY83-GH82,IF(A83&lt;'Données projet'!$A$244,$FW$205^A83,IF(A83='Données projet'!$A$244,'Données projet'!$B$244,FZ82+FY83-GH82)))</f>
        <v>155.76923076923077</v>
      </c>
      <c r="GA83" s="17">
        <f>FZ83*VLOOKUP('Données projet'!$B$17,Paramètres!$A$1:$I$89,3,0)*VLOOKUP('Données projet'!$B$17,Paramètres!$A$1:$I$89,5,0)</f>
        <v>104.49</v>
      </c>
      <c r="GB83" s="13">
        <f t="shared" si="103"/>
        <v>28.028928490951767</v>
      </c>
      <c r="GC83" s="20">
        <f t="shared" si="79"/>
        <v>230.80380045507431</v>
      </c>
      <c r="GD83" s="59">
        <f t="shared" si="80"/>
        <v>520.29433110031755</v>
      </c>
      <c r="GE83" s="59">
        <f ca="1">AVERAGE(OFFSET($GD$3,0,0,'Données projet'!$E$17+1,1))-AVERAGE(OFFSET($H$3,0,0,'Données projet'!$E$17+1,1))</f>
        <v>192.88444860121191</v>
      </c>
      <c r="GF83" s="59">
        <f t="shared" si="104"/>
        <v>136.13737493732751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13.461538461538462</v>
      </c>
      <c r="GI83" s="16">
        <f>IF(ISNA(VLOOKUP(A83,'Données projet'!$A$243:$I$263,5,0)),0%,VLOOKUP(A83,'Données projet'!$A$243:$I$263,5,0)*VLOOKUP('Données projet'!$B$17,Paramètres!$A$1:$I$89,7,0))</f>
        <v>0.1855</v>
      </c>
      <c r="GJ83" s="16">
        <f>IF(ISNA(VLOOKUP(A83,'Données projet'!$A$243:$I$263,6,0)),0%,VLOOKUP(A83,'Données projet'!$A$243:$I$263,6,0)*VLOOKUP('Données projet'!$B$17,Paramètres!$A$1:$I$89,7,0))</f>
        <v>0.10600000000000001</v>
      </c>
      <c r="GK83" s="16">
        <f>IF(ISNA(VLOOKUP(A83,'Données projet'!$A$243:$I$263,7,0)),0%,VLOOKUP(A83,'Données projet'!$A$243:$I$263,7,0))</f>
        <v>0.1</v>
      </c>
      <c r="GL83" s="21">
        <f>EXP(-LN(2)/35)*GL82+(1-EXP(-LN(2)/35))/(LN(2)/35)*GH83*GI83*VLOOKUP('Données projet'!$B$17,Paramètres!$A$1:$I$89,3,0)*0.475*44/12</f>
        <v>3.6087594771408407</v>
      </c>
      <c r="GM83" s="21">
        <f>EXP(-LN(2)/25)*GM82+(1-EXP(-LN(2)/25))/(LN(2)/25)*Calculateur!GH83*Calculateur!GJ83*VLOOKUP('Données projet'!$B$17,Paramètres!$A$1:$I$89,3,0)*0.475*44/12</f>
        <v>20.888092972741614</v>
      </c>
      <c r="GN83" s="21">
        <f>EXP(-LN(2)/2)*GN82+(1-EXP(-LN(2)/2))/(LN(2)/2)*GH83*GK83*VLOOKUP('Données projet'!$B$17,Paramètres!$A$1:$I$89,3,0)*0.475*44/12</f>
        <v>1.0775562375144843</v>
      </c>
      <c r="GO83" s="21">
        <f t="shared" si="81"/>
        <v>25.574408687396939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68.951962903248173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0.85000000000000009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3.1166666666666671</v>
      </c>
      <c r="H84" s="67">
        <f t="shared" si="56"/>
        <v>244.19999999999996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926.26914176899686</v>
      </c>
      <c r="S84" s="59">
        <f ca="1">AVERAGE(OFFSET($R$3,0,0,'Données projet'!$E$9+1,1))-AVERAGE(OFFSET($H$3,0,0,'Données projet'!$E$9+1,1))</f>
        <v>643.492472896403</v>
      </c>
      <c r="T84" s="59">
        <f t="shared" si="88"/>
        <v>285.0259479655341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-2.8421709430404007E-13</v>
      </c>
      <c r="AJ84" s="13">
        <f>AI84*VLOOKUP('Données projet'!$B$10,Paramètres!$A$1:$I$89,3,0)*VLOOKUP('Données projet'!$B$10,Paramètres!$A$1:$I$89,5,0)</f>
        <v>-2.2168933355715128E-13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289.89907502443873</v>
      </c>
      <c r="AO84" s="59">
        <f t="shared" si="90"/>
        <v>267.42183550360301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31.60466398807862</v>
      </c>
      <c r="AV84" s="21">
        <f>EXP(-LN(2)/25)*AV83+(1-EXP(-LN(2)/25))/(LN(2)/25)*Calculateur!AQ84*Calculateur!AS84*VLOOKUP('Données projet'!$B$10,Paramètres!$A$1:$I$89,3,0)*0.475*44/12</f>
        <v>33.182963955208528</v>
      </c>
      <c r="AW84" s="21">
        <f>EXP(-LN(2)/2)*AW83+(1-EXP(-LN(2)/2))/(LN(2)/2)*AQ84*AT84*VLOOKUP('Données projet'!$B$10,Paramètres!$A$1:$I$89,3,0)*0.475*44/12</f>
        <v>6.6818098323091251</v>
      </c>
      <c r="AX84" s="21">
        <f t="shared" si="60"/>
        <v>71.469437775596276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1.9230769230769227</v>
      </c>
      <c r="BD84" s="12">
        <f>IF('Données projet'!$A$88&gt;35,BD83+BC84-BL83,IF(A84&lt;'Données projet'!$A$88,$BA$205^A84,IF(A84='Données projet'!$A$88,'Données projet'!$B$88,BD83+BC84-BL83)))</f>
        <v>89.743589743589709</v>
      </c>
      <c r="BE84" s="13">
        <f>BD84*VLOOKUP('Données projet'!$B$11,Paramètres!$A$1:$I$89,3,0)*VLOOKUP('Données projet'!$B$11,Paramètres!$A$1:$I$89,5,0)</f>
        <v>86.799999999999969</v>
      </c>
      <c r="BF84" s="13">
        <f t="shared" si="91"/>
        <v>23.791843477385193</v>
      </c>
      <c r="BG84" s="20">
        <f t="shared" si="61"/>
        <v>192.61412738977916</v>
      </c>
      <c r="BH84" s="59">
        <f t="shared" si="62"/>
        <v>482.17132207044108</v>
      </c>
      <c r="BI84" s="59">
        <f ca="1">AVERAGE(OFFSET($BH$3,0,0,'Données projet'!$E$11+1,1))-AVERAGE(OFFSET($H$3,0,0,'Données projet'!$E$11+1,1))</f>
        <v>177.54241137663234</v>
      </c>
      <c r="BJ84" s="59">
        <f t="shared" si="92"/>
        <v>114.71095021456071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13.682727591380878</v>
      </c>
      <c r="BR84" s="21">
        <f>EXP(-LN(2)/2)*BR83+(1-EXP(-LN(2)/2))/(LN(2)/2)*BL84*BO84*VLOOKUP('Données projet'!$B$11,Paramètres!$A$1:$I$89,3,0)*0.475*44/12</f>
        <v>0.92221722803952755</v>
      </c>
      <c r="BS84" s="22">
        <f t="shared" si="63"/>
        <v>14.604944819420407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1.9230769230769227</v>
      </c>
      <c r="BY84" s="12">
        <f>IF('Données projet'!$A$114&gt;35,BY83+BX84-CG83,IF(A84&lt;'Données projet'!$A$114,$BV$205^A84,IF(A84='Données projet'!$A$114,'Données projet'!$B$114,BY83+BX84-CG83)))</f>
        <v>89.743589743589709</v>
      </c>
      <c r="BZ84" s="13">
        <f>BY84*VLOOKUP('Données projet'!$B$12,Paramètres!$A$1:$I$89,3,0)*VLOOKUP('Données projet'!$B$12,Paramètres!$A$1:$I$89,5,0)</f>
        <v>96.599999999999952</v>
      </c>
      <c r="CA84" s="13">
        <f t="shared" si="93"/>
        <v>26.150370946387891</v>
      </c>
      <c r="CB84" s="20">
        <f t="shared" si="64"/>
        <v>213.79022939829215</v>
      </c>
      <c r="CC84" s="59">
        <f t="shared" si="65"/>
        <v>503.34742407895408</v>
      </c>
      <c r="CD84" s="59">
        <f ca="1">AVERAGE(OFFSET($CC$3,0,0,'Données projet'!$E$12+1,1))-AVERAGE(OFFSET($H$3,0,0,'Données projet'!$E$12+1,1))</f>
        <v>192.88977161349993</v>
      </c>
      <c r="CE84" s="59">
        <f t="shared" si="94"/>
        <v>122.91376861456772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15.227551674278718</v>
      </c>
      <c r="CM84" s="21">
        <f>EXP(-LN(2)/2)*CM83+(1-EXP(-LN(2)/2))/(LN(2)/2)*CG84*CJ84*VLOOKUP('Données projet'!$B$12,Paramètres!$A$1:$I$89,3,0)*0.475*44/12</f>
        <v>1.0263385279794743</v>
      </c>
      <c r="CN84" s="22">
        <f t="shared" si="66"/>
        <v>16.253890202258191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2.0512820512820498</v>
      </c>
      <c r="CT84" s="12">
        <f>IF('Données projet'!$A$140&gt;35,CT83+CS84-DB83,IF(A84&lt;'Données projet'!$A$140,$CQ$205^A84,IF(A84='Données projet'!$A$140,'Données projet'!$B$140,CT83+CS84-DB83)))</f>
        <v>118.07692307692301</v>
      </c>
      <c r="CU84" s="17">
        <f>CT84*VLOOKUP('Données projet'!$B$13,Paramètres!$A$1:$I$89,3,0)*VLOOKUP('Données projet'!$B$13,Paramètres!$A$1:$I$89,5,0)</f>
        <v>95.783999999999963</v>
      </c>
      <c r="CV84" s="13">
        <f t="shared" si="95"/>
        <v>25.955089615728056</v>
      </c>
      <c r="CW84" s="20">
        <f t="shared" si="67"/>
        <v>212.02891441405961</v>
      </c>
      <c r="CX84" s="59">
        <f t="shared" si="68"/>
        <v>501.58610909472151</v>
      </c>
      <c r="CY84" s="59">
        <f ca="1">AVERAGE(OFFSET($CX$3,0,0,'Données projet'!$E$13+1,1))-AVERAGE(OFFSET($H$3,0,0,'Données projet'!$E$13+1,1))</f>
        <v>163.16040389635825</v>
      </c>
      <c r="CZ84" s="59">
        <f t="shared" si="96"/>
        <v>138.57856782158811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4.1196488529078534</v>
      </c>
      <c r="DH84" s="21">
        <f>EXP(-LN(2)/2)*DH83+(1-EXP(-LN(2)/2))/(LN(2)/2)*DB84*DE84*VLOOKUP('Données projet'!$B$13,Paramètres!$A$1:$I$89,3,0)*0.475*44/12</f>
        <v>1.1589311533100193</v>
      </c>
      <c r="DI84" s="22">
        <f t="shared" si="69"/>
        <v>5.2785800062178723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11.117500000000001</v>
      </c>
      <c r="DO84" s="12">
        <f>IF('Données projet'!$A$166&gt;35,DO83+DN84-DW83,IF(A84&lt;'Données projet'!$A$166,$DL$205^A84,IF(A84='Données projet'!$A$166,'Données projet'!$B$166,DO83+DN84-DW83)))</f>
        <v>380.68999999999994</v>
      </c>
      <c r="DP84" s="17">
        <f>DO84*VLOOKUP('Données projet'!$B$14,Paramètres!$A$1:$I$89,3,0)*VLOOKUP('Données projet'!$B$14,Paramètres!$A$1:$I$89,5,0)</f>
        <v>178.16291999999999</v>
      </c>
      <c r="DQ84" s="13">
        <f t="shared" si="97"/>
        <v>44.913226012533627</v>
      </c>
      <c r="DR84" s="20">
        <f t="shared" si="70"/>
        <v>388.52428763849611</v>
      </c>
      <c r="DS84" s="59">
        <f t="shared" si="71"/>
        <v>678.081482319158</v>
      </c>
      <c r="DT84" s="59">
        <f ca="1">AVERAGE(OFFSET($DS$3,0,0,'Données projet'!$E$14+1,1))-AVERAGE(OFFSET($H$3,0,0,'Données projet'!$E$14+1,1))</f>
        <v>343.44193069803498</v>
      </c>
      <c r="DU84" s="59">
        <f t="shared" si="98"/>
        <v>280.67367019483481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40.223292220107908</v>
      </c>
      <c r="EB84" s="21">
        <f>EXP(-LN(2)/25)*EB83+(1-EXP(-LN(2)/25))/(LN(2)/25)*Calculateur!DW84*Calculateur!DY84*VLOOKUP('Données projet'!$B$14,Paramètres!$A$1:$I$89,3,0)*0.475*44/12</f>
        <v>19.114461561928341</v>
      </c>
      <c r="EC84" s="21">
        <f>EXP(-LN(2)/2)*EC83+(1-EXP(-LN(2)/2))/(LN(2)/2)*DW84*DZ84*VLOOKUP('Données projet'!$B$14,Paramètres!$A$1:$I$89,3,0)*0.475*44/12</f>
        <v>0.69530907973248945</v>
      </c>
      <c r="ED84" s="22">
        <f t="shared" si="72"/>
        <v>60.033062861768734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3.7179487179487181</v>
      </c>
      <c r="EJ84" s="12">
        <f>IF('Données projet'!$A$192&gt;35,EJ83+EI84-ER83,IF(A84&lt;'Données projet'!$A$192,$EG$205^A84,IF(A84='Données projet'!$A$192,'Données projet'!$B$192,EJ83+EI84-ER83)))</f>
        <v>146.02564102564105</v>
      </c>
      <c r="EK84" s="17">
        <f>EJ84*VLOOKUP('Données projet'!$B$15,Paramètres!$A$1:$I$89,3,0)*VLOOKUP('Données projet'!$B$15,Paramètres!$A$1:$I$89,5,0)</f>
        <v>148.07000000000002</v>
      </c>
      <c r="EL84" s="13">
        <f t="shared" si="99"/>
        <v>38.139656171112442</v>
      </c>
      <c r="EM84" s="20">
        <f t="shared" si="73"/>
        <v>324.31515116468751</v>
      </c>
      <c r="EN84" s="59">
        <f t="shared" si="74"/>
        <v>613.8723458453494</v>
      </c>
      <c r="EO84" s="59">
        <f ca="1">AVERAGE(OFFSET($EN$3,0,0,'Données projet'!$E$15+1,1))-AVERAGE(OFFSET($H$3,0,0,'Données projet'!$E$15+1,1))</f>
        <v>270.0029254736703</v>
      </c>
      <c r="EP84" s="59">
        <f t="shared" si="100"/>
        <v>183.80022202211441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4.3390491286755291</v>
      </c>
      <c r="EW84" s="21">
        <f>EXP(-LN(2)/25)*EW83+(1-EXP(-LN(2)/25))/(LN(2)/25)*Calculateur!ER84*Calculateur!ET84*VLOOKUP('Données projet'!$B$15,Paramètres!$A$1:$I$89,3,0)*0.475*44/12</f>
        <v>24.916961380687169</v>
      </c>
      <c r="EX84" s="21">
        <f>EXP(-LN(2)/2)*EX83+(1-EXP(-LN(2)/2))/(LN(2)/2)*ER84*EU84*VLOOKUP('Données projet'!$B$15,Paramètres!$A$1:$I$89,3,0)*0.475*44/12</f>
        <v>1.1517808365735582</v>
      </c>
      <c r="EY84" s="22">
        <f t="shared" si="75"/>
        <v>30.407791345936257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-1.4897523215040567E-13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328.93328163316073</v>
      </c>
      <c r="FK84" s="59">
        <f t="shared" si="102"/>
        <v>320.27831321887072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45.172011458408655</v>
      </c>
      <c r="FR84" s="21">
        <f>EXP(-LN(2)/25)*FR83+(1-EXP(-LN(2)/25))/(LN(2)/25)*Calculateur!FM84*Calculateur!FO84*VLOOKUP('Données projet'!$B$16,Paramètres!$A$1:$I$89,3,0)*0.475*44/12</f>
        <v>45.243256772132263</v>
      </c>
      <c r="FS84" s="21">
        <f>EXP(-LN(2)/2)*FS83+(1-EXP(-LN(2)/2))/(LN(2)/2)*FM84*FP84*VLOOKUP('Données projet'!$B$16,Paramètres!$A$1:$I$89,3,0)*0.475*44/12</f>
        <v>40.358833020635622</v>
      </c>
      <c r="FT84" s="22">
        <f t="shared" si="78"/>
        <v>130.77410125117655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3.7179487179487181</v>
      </c>
      <c r="FZ84" s="12">
        <f>IF('Données projet'!$A$244&gt;35,FZ83+FY84-GH83,IF(A84&lt;'Données projet'!$A$244,$FW$205^A84,IF(A84='Données projet'!$A$244,'Données projet'!$B$244,FZ83+FY84-GH83)))</f>
        <v>146.02564102564105</v>
      </c>
      <c r="GA84" s="17">
        <f>FZ84*VLOOKUP('Données projet'!$B$17,Paramètres!$A$1:$I$89,3,0)*VLOOKUP('Données projet'!$B$17,Paramètres!$A$1:$I$89,5,0)</f>
        <v>97.954000000000008</v>
      </c>
      <c r="GB84" s="13">
        <f t="shared" si="103"/>
        <v>26.473981374788675</v>
      </c>
      <c r="GC84" s="20">
        <f t="shared" si="79"/>
        <v>216.71206756109029</v>
      </c>
      <c r="GD84" s="59">
        <f t="shared" si="80"/>
        <v>506.26926224175219</v>
      </c>
      <c r="GE84" s="59">
        <f ca="1">AVERAGE(OFFSET($GD$3,0,0,'Données projet'!$E$17+1,1))-AVERAGE(OFFSET($H$3,0,0,'Données projet'!$E$17+1,1))</f>
        <v>192.88444860121191</v>
      </c>
      <c r="GF84" s="59">
        <f t="shared" si="104"/>
        <v>136.13737493732751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3.5379939049200466</v>
      </c>
      <c r="GM84" s="21">
        <f>EXP(-LN(2)/25)*GM83+(1-EXP(-LN(2)/25))/(LN(2)/25)*Calculateur!GH84*Calculateur!GJ84*VLOOKUP('Données projet'!$B$17,Paramètres!$A$1:$I$89,3,0)*0.475*44/12</f>
        <v>20.316906971944924</v>
      </c>
      <c r="GN84" s="21">
        <f>EXP(-LN(2)/2)*GN83+(1-EXP(-LN(2)/2))/(LN(2)/2)*GH84*GK84*VLOOKUP('Données projet'!$B$17,Paramètres!$A$1:$I$89,3,0)*0.475*44/12</f>
        <v>0.7619473226563539</v>
      </c>
      <c r="GO84" s="21">
        <f t="shared" si="81"/>
        <v>24.616848199521325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68.970144003816884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0.85000000000000009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3.1166666666666671</v>
      </c>
      <c r="H85" s="67">
        <f t="shared" si="56"/>
        <v>244.19999999999996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944.53373279353127</v>
      </c>
      <c r="S85" s="59">
        <f ca="1">AVERAGE(OFFSET($R$3,0,0,'Données projet'!$E$9+1,1))-AVERAGE(OFFSET($H$3,0,0,'Données projet'!$E$9+1,1))</f>
        <v>643.492472896403</v>
      </c>
      <c r="T85" s="59">
        <f t="shared" si="88"/>
        <v>285.0259479655341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-2.8421709430404007E-13</v>
      </c>
      <c r="AJ85" s="13">
        <f>AI85*VLOOKUP('Données projet'!$B$10,Paramètres!$A$1:$I$89,3,0)*VLOOKUP('Données projet'!$B$10,Paramètres!$A$1:$I$89,5,0)</f>
        <v>-2.2168933355715128E-13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289.89907502443873</v>
      </c>
      <c r="AO85" s="59">
        <f t="shared" si="90"/>
        <v>267.42183550360301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30.98491580421399</v>
      </c>
      <c r="AV85" s="21">
        <f>EXP(-LN(2)/25)*AV84+(1-EXP(-LN(2)/25))/(LN(2)/25)*Calculateur!AQ85*Calculateur!AS85*VLOOKUP('Données projet'!$B$10,Paramètres!$A$1:$I$89,3,0)*0.475*44/12</f>
        <v>32.275574060837116</v>
      </c>
      <c r="AW85" s="21">
        <f>EXP(-LN(2)/2)*AW84+(1-EXP(-LN(2)/2))/(LN(2)/2)*AQ85*AT85*VLOOKUP('Données projet'!$B$10,Paramètres!$A$1:$I$89,3,0)*0.475*44/12</f>
        <v>4.7247530430247302</v>
      </c>
      <c r="AX85" s="21">
        <f t="shared" si="60"/>
        <v>67.985242908075833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1.9230769230769227</v>
      </c>
      <c r="BD85" s="12">
        <f>IF('Données projet'!$A$88&gt;35,BD84+BC85-BL84,IF(A85&lt;'Données projet'!$A$88,$BA$205^A85,IF(A85='Données projet'!$A$88,'Données projet'!$B$88,BD84+BC85-BL84)))</f>
        <v>91.666666666666629</v>
      </c>
      <c r="BE85" s="13">
        <f>BD85*VLOOKUP('Données projet'!$B$11,Paramètres!$A$1:$I$89,3,0)*VLOOKUP('Données projet'!$B$11,Paramètres!$A$1:$I$89,5,0)</f>
        <v>88.659999999999968</v>
      </c>
      <c r="BF85" s="13">
        <f t="shared" si="91"/>
        <v>24.241767654539562</v>
      </c>
      <c r="BG85" s="20">
        <f t="shared" si="61"/>
        <v>196.63724533165635</v>
      </c>
      <c r="BH85" s="59">
        <f t="shared" si="62"/>
        <v>486.2599475757608</v>
      </c>
      <c r="BI85" s="59">
        <f ca="1">AVERAGE(OFFSET($BH$3,0,0,'Données projet'!$E$11+1,1))-AVERAGE(OFFSET($H$3,0,0,'Données projet'!$E$11+1,1))</f>
        <v>177.54241137663234</v>
      </c>
      <c r="BJ85" s="59">
        <f t="shared" si="92"/>
        <v>114.71095021456071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13.308572685851196</v>
      </c>
      <c r="BR85" s="21">
        <f>EXP(-LN(2)/2)*BR84+(1-EXP(-LN(2)/2))/(LN(2)/2)*BL85*BO85*VLOOKUP('Données projet'!$B$11,Paramètres!$A$1:$I$89,3,0)*0.475*44/12</f>
        <v>0.65210605567381064</v>
      </c>
      <c r="BS85" s="22">
        <f t="shared" si="63"/>
        <v>13.960678741525006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1.9230769230769227</v>
      </c>
      <c r="BY85" s="12">
        <f>IF('Données projet'!$A$114&gt;35,BY84+BX85-CG84,IF(A85&lt;'Données projet'!$A$114,$BV$205^A85,IF(A85='Données projet'!$A$114,'Données projet'!$B$114,BY84+BX85-CG84)))</f>
        <v>91.666666666666629</v>
      </c>
      <c r="BZ85" s="13">
        <f>BY85*VLOOKUP('Données projet'!$B$12,Paramètres!$A$1:$I$89,3,0)*VLOOKUP('Données projet'!$B$12,Paramètres!$A$1:$I$89,5,0)</f>
        <v>98.669999999999959</v>
      </c>
      <c r="CA85" s="13">
        <f t="shared" si="93"/>
        <v>26.644896901954066</v>
      </c>
      <c r="CB85" s="20">
        <f t="shared" si="64"/>
        <v>218.25677877090325</v>
      </c>
      <c r="CC85" s="59">
        <f t="shared" si="65"/>
        <v>507.87948101500774</v>
      </c>
      <c r="CD85" s="59">
        <f ca="1">AVERAGE(OFFSET($CC$3,0,0,'Données projet'!$E$12+1,1))-AVERAGE(OFFSET($H$3,0,0,'Données projet'!$E$12+1,1))</f>
        <v>192.88977161349993</v>
      </c>
      <c r="CE85" s="59">
        <f t="shared" si="94"/>
        <v>122.91376861456772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14.811153472963428</v>
      </c>
      <c r="CM85" s="21">
        <f>EXP(-LN(2)/2)*CM84+(1-EXP(-LN(2)/2))/(LN(2)/2)*CG85*CJ85*VLOOKUP('Données projet'!$B$12,Paramètres!$A$1:$I$89,3,0)*0.475*44/12</f>
        <v>0.72573093292730551</v>
      </c>
      <c r="CN85" s="22">
        <f t="shared" si="66"/>
        <v>15.536884405890733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2.0512820512820498</v>
      </c>
      <c r="CT85" s="12">
        <f>IF('Données projet'!$A$140&gt;35,CT84+CS85-DB84,IF(A85&lt;'Données projet'!$A$140,$CQ$205^A85,IF(A85='Données projet'!$A$140,'Données projet'!$B$140,CT84+CS85-DB84)))</f>
        <v>120.12820512820505</v>
      </c>
      <c r="CU85" s="17">
        <f>CT85*VLOOKUP('Données projet'!$B$13,Paramètres!$A$1:$I$89,3,0)*VLOOKUP('Données projet'!$B$13,Paramètres!$A$1:$I$89,5,0)</f>
        <v>97.447999999999951</v>
      </c>
      <c r="CV85" s="13">
        <f t="shared" si="95"/>
        <v>26.353107037128467</v>
      </c>
      <c r="CW85" s="20">
        <f t="shared" si="67"/>
        <v>215.62026142299865</v>
      </c>
      <c r="CX85" s="59">
        <f t="shared" si="68"/>
        <v>505.24296366710314</v>
      </c>
      <c r="CY85" s="59">
        <f ca="1">AVERAGE(OFFSET($CX$3,0,0,'Données projet'!$E$13+1,1))-AVERAGE(OFFSET($H$3,0,0,'Données projet'!$E$13+1,1))</f>
        <v>163.16040389635825</v>
      </c>
      <c r="CZ85" s="59">
        <f t="shared" si="96"/>
        <v>138.57856782158811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4.0069968383821708</v>
      </c>
      <c r="DH85" s="21">
        <f>EXP(-LN(2)/2)*DH84+(1-EXP(-LN(2)/2))/(LN(2)/2)*DB85*DE85*VLOOKUP('Données projet'!$B$13,Paramètres!$A$1:$I$89,3,0)*0.475*44/12</f>
        <v>0.81948807743386098</v>
      </c>
      <c r="DI85" s="22">
        <f t="shared" si="69"/>
        <v>4.8264849158160317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11.117500000000001</v>
      </c>
      <c r="DO85" s="12">
        <f>IF('Données projet'!$A$166&gt;35,DO84+DN85-DW84,IF(A85&lt;'Données projet'!$A$166,$DL$205^A85,IF(A85='Données projet'!$A$166,'Données projet'!$B$166,DO84+DN85-DW84)))</f>
        <v>391.80749999999995</v>
      </c>
      <c r="DP85" s="17">
        <f>DO85*VLOOKUP('Données projet'!$B$14,Paramètres!$A$1:$I$89,3,0)*VLOOKUP('Données projet'!$B$14,Paramètres!$A$1:$I$89,5,0)</f>
        <v>183.36590999999999</v>
      </c>
      <c r="DQ85" s="13">
        <f t="shared" si="97"/>
        <v>46.070229759286974</v>
      </c>
      <c r="DR85" s="20">
        <f t="shared" si="70"/>
        <v>399.60127674742472</v>
      </c>
      <c r="DS85" s="59">
        <f t="shared" si="71"/>
        <v>689.22397899152918</v>
      </c>
      <c r="DT85" s="59">
        <f ca="1">AVERAGE(OFFSET($DS$3,0,0,'Données projet'!$E$14+1,1))-AVERAGE(OFFSET($H$3,0,0,'Données projet'!$E$14+1,1))</f>
        <v>343.44193069803498</v>
      </c>
      <c r="DU85" s="59">
        <f t="shared" si="98"/>
        <v>280.67367019483481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39.434537993457333</v>
      </c>
      <c r="EB85" s="21">
        <f>EXP(-LN(2)/25)*EB84+(1-EXP(-LN(2)/25))/(LN(2)/25)*Calculateur!DW85*Calculateur!DY85*VLOOKUP('Données projet'!$B$14,Paramètres!$A$1:$I$89,3,0)*0.475*44/12</f>
        <v>18.591775605331563</v>
      </c>
      <c r="EC85" s="21">
        <f>EXP(-LN(2)/2)*EC84+(1-EXP(-LN(2)/2))/(LN(2)/2)*DW85*DZ85*VLOOKUP('Données projet'!$B$14,Paramètres!$A$1:$I$89,3,0)*0.475*44/12</f>
        <v>0.49165776529942118</v>
      </c>
      <c r="ED85" s="22">
        <f t="shared" si="72"/>
        <v>58.517971364088318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3.7179487179487181</v>
      </c>
      <c r="EJ85" s="12">
        <f>IF('Données projet'!$A$192&gt;35,EJ84+EI85-ER84,IF(A85&lt;'Données projet'!$A$192,$EG$205^A85,IF(A85='Données projet'!$A$192,'Données projet'!$B$192,EJ84+EI85-ER84)))</f>
        <v>149.74358974358978</v>
      </c>
      <c r="EK85" s="17">
        <f>EJ85*VLOOKUP('Données projet'!$B$15,Paramètres!$A$1:$I$89,3,0)*VLOOKUP('Données projet'!$B$15,Paramètres!$A$1:$I$89,5,0)</f>
        <v>151.84000000000003</v>
      </c>
      <c r="EL85" s="13">
        <f t="shared" si="99"/>
        <v>38.996435054152862</v>
      </c>
      <c r="EM85" s="20">
        <f t="shared" si="73"/>
        <v>332.37345771931626</v>
      </c>
      <c r="EN85" s="59">
        <f t="shared" si="74"/>
        <v>621.99615996342072</v>
      </c>
      <c r="EO85" s="59">
        <f ca="1">AVERAGE(OFFSET($EN$3,0,0,'Données projet'!$E$15+1,1))-AVERAGE(OFFSET($H$3,0,0,'Données projet'!$E$15+1,1))</f>
        <v>270.0029254736703</v>
      </c>
      <c r="EP85" s="59">
        <f t="shared" si="100"/>
        <v>183.80022202211441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4.2539630218208444</v>
      </c>
      <c r="EW85" s="21">
        <f>EXP(-LN(2)/25)*EW84+(1-EXP(-LN(2)/25))/(LN(2)/25)*Calculateur!ER85*Calculateur!ET85*VLOOKUP('Données projet'!$B$15,Paramètres!$A$1:$I$89,3,0)*0.475*44/12</f>
        <v>24.235605761406227</v>
      </c>
      <c r="EX85" s="21">
        <f>EXP(-LN(2)/2)*EX84+(1-EXP(-LN(2)/2))/(LN(2)/2)*ER85*EU85*VLOOKUP('Données projet'!$B$15,Paramètres!$A$1:$I$89,3,0)*0.475*44/12</f>
        <v>0.81443203998187774</v>
      </c>
      <c r="EY85" s="22">
        <f t="shared" si="75"/>
        <v>29.304000823208948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-1.4897523215040567E-13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328.93328163316073</v>
      </c>
      <c r="FK85" s="59">
        <f t="shared" si="102"/>
        <v>320.27831321887072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44.286215865915693</v>
      </c>
      <c r="FR85" s="21">
        <f>EXP(-LN(2)/25)*FR84+(1-EXP(-LN(2)/25))/(LN(2)/25)*Calculateur!FM85*Calculateur!FO85*VLOOKUP('Données projet'!$B$16,Paramètres!$A$1:$I$89,3,0)*0.475*44/12</f>
        <v>44.006077536458839</v>
      </c>
      <c r="FS85" s="21">
        <f>EXP(-LN(2)/2)*FS84+(1-EXP(-LN(2)/2))/(LN(2)/2)*FM85*FP85*VLOOKUP('Données projet'!$B$16,Paramètres!$A$1:$I$89,3,0)*0.475*44/12</f>
        <v>28.538004509667005</v>
      </c>
      <c r="FT85" s="22">
        <f t="shared" si="78"/>
        <v>116.83029791204153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3.7179487179487181</v>
      </c>
      <c r="FZ85" s="12">
        <f>IF('Données projet'!$A$244&gt;35,FZ84+FY85-GH84,IF(A85&lt;'Données projet'!$A$244,$FW$205^A85,IF(A85='Données projet'!$A$244,'Données projet'!$B$244,FZ84+FY85-GH84)))</f>
        <v>149.74358974358978</v>
      </c>
      <c r="GA85" s="17">
        <f>FZ85*VLOOKUP('Données projet'!$B$17,Paramètres!$A$1:$I$89,3,0)*VLOOKUP('Données projet'!$B$17,Paramètres!$A$1:$I$89,5,0)</f>
        <v>100.44800000000002</v>
      </c>
      <c r="GB85" s="13">
        <f t="shared" si="103"/>
        <v>27.068699588559635</v>
      </c>
      <c r="GC85" s="20">
        <f t="shared" si="79"/>
        <v>222.09158511674138</v>
      </c>
      <c r="GD85" s="59">
        <f t="shared" si="80"/>
        <v>511.71428736084584</v>
      </c>
      <c r="GE85" s="59">
        <f ca="1">AVERAGE(OFFSET($GD$3,0,0,'Données projet'!$E$17+1,1))-AVERAGE(OFFSET($H$3,0,0,'Données projet'!$E$17+1,1))</f>
        <v>192.88444860121191</v>
      </c>
      <c r="GF85" s="59">
        <f t="shared" si="104"/>
        <v>136.13737493732751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3.4686160024077655</v>
      </c>
      <c r="GM85" s="21">
        <f>EXP(-LN(2)/25)*GM84+(1-EXP(-LN(2)/25))/(LN(2)/25)*Calculateur!GH85*Calculateur!GJ85*VLOOKUP('Données projet'!$B$17,Paramètres!$A$1:$I$89,3,0)*0.475*44/12</f>
        <v>19.761340082377387</v>
      </c>
      <c r="GN85" s="21">
        <f>EXP(-LN(2)/2)*GN84+(1-EXP(-LN(2)/2))/(LN(2)/2)*GH85*GK85*VLOOKUP('Données projet'!$B$17,Paramètres!$A$1:$I$89,3,0)*0.475*44/12</f>
        <v>0.53877811875724224</v>
      </c>
      <c r="GO85" s="21">
        <f t="shared" si="81"/>
        <v>23.768734203542394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68.988009702937575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0.85000000000000009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3.1166666666666671</v>
      </c>
      <c r="H86" s="67">
        <f t="shared" si="56"/>
        <v>244.19999999999996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962.7867704921855</v>
      </c>
      <c r="S86" s="59">
        <f ca="1">AVERAGE(OFFSET($R$3,0,0,'Données projet'!$E$9+1,1))-AVERAGE(OFFSET($H$3,0,0,'Données projet'!$E$9+1,1))</f>
        <v>643.492472896403</v>
      </c>
      <c r="T86" s="59">
        <f t="shared" si="88"/>
        <v>285.0259479655341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-2.8421709430404007E-13</v>
      </c>
      <c r="AJ86" s="13">
        <f>AI86*VLOOKUP('Données projet'!$B$10,Paramètres!$A$1:$I$89,3,0)*VLOOKUP('Données projet'!$B$10,Paramètres!$A$1:$I$89,5,0)</f>
        <v>-2.2168933355715128E-13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289.89907502443873</v>
      </c>
      <c r="AO86" s="59">
        <f t="shared" si="90"/>
        <v>267.42183550360301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30.377320504225882</v>
      </c>
      <c r="AV86" s="21">
        <f>EXP(-LN(2)/25)*AV85+(1-EXP(-LN(2)/25))/(LN(2)/25)*Calculateur!AQ86*Calculateur!AS86*VLOOKUP('Données projet'!$B$10,Paramètres!$A$1:$I$89,3,0)*0.475*44/12</f>
        <v>31.392996790844851</v>
      </c>
      <c r="AW86" s="21">
        <f>EXP(-LN(2)/2)*AW85+(1-EXP(-LN(2)/2))/(LN(2)/2)*AQ86*AT86*VLOOKUP('Données projet'!$B$10,Paramètres!$A$1:$I$89,3,0)*0.475*44/12</f>
        <v>3.3409049161545625</v>
      </c>
      <c r="AX86" s="21">
        <f t="shared" si="60"/>
        <v>65.111222211225297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1.9230769230769227</v>
      </c>
      <c r="BD86" s="12">
        <f>IF('Données projet'!$A$88&gt;35,BD85+BC86-BL85,IF(A86&lt;'Données projet'!$A$88,$BA$205^A86,IF(A86='Données projet'!$A$88,'Données projet'!$B$88,BD85+BC86-BL85)))</f>
        <v>93.589743589743549</v>
      </c>
      <c r="BE86" s="13">
        <f>BD86*VLOOKUP('Données projet'!$B$11,Paramètres!$A$1:$I$89,3,0)*VLOOKUP('Données projet'!$B$11,Paramètres!$A$1:$I$89,5,0)</f>
        <v>90.519999999999968</v>
      </c>
      <c r="BF86" s="13">
        <f t="shared" si="91"/>
        <v>24.690594391033635</v>
      </c>
      <c r="BG86" s="20">
        <f t="shared" si="61"/>
        <v>200.65845189771684</v>
      </c>
      <c r="BH86" s="59">
        <f t="shared" si="62"/>
        <v>490.34552529549114</v>
      </c>
      <c r="BI86" s="59">
        <f ca="1">AVERAGE(OFFSET($BH$3,0,0,'Données projet'!$E$11+1,1))-AVERAGE(OFFSET($H$3,0,0,'Données projet'!$E$11+1,1))</f>
        <v>177.54241137663234</v>
      </c>
      <c r="BJ86" s="59">
        <f t="shared" si="92"/>
        <v>114.71095021456071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12.944649065889175</v>
      </c>
      <c r="BR86" s="21">
        <f>EXP(-LN(2)/2)*BR85+(1-EXP(-LN(2)/2))/(LN(2)/2)*BL86*BO86*VLOOKUP('Données projet'!$B$11,Paramètres!$A$1:$I$89,3,0)*0.475*44/12</f>
        <v>0.46110861401976383</v>
      </c>
      <c r="BS86" s="22">
        <f t="shared" si="63"/>
        <v>13.405757679908939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1.9230769230769227</v>
      </c>
      <c r="BY86" s="12">
        <f>IF('Données projet'!$A$114&gt;35,BY85+BX86-CG85,IF(A86&lt;'Données projet'!$A$114,$BV$205^A86,IF(A86='Données projet'!$A$114,'Données projet'!$B$114,BY85+BX86-CG85)))</f>
        <v>93.589743589743549</v>
      </c>
      <c r="BZ86" s="13">
        <f>BY86*VLOOKUP('Données projet'!$B$12,Paramètres!$A$1:$I$89,3,0)*VLOOKUP('Données projet'!$B$12,Paramètres!$A$1:$I$89,5,0)</f>
        <v>100.73999999999994</v>
      </c>
      <c r="CA86" s="13">
        <f t="shared" si="93"/>
        <v>27.138216625628822</v>
      </c>
      <c r="CB86" s="20">
        <f t="shared" si="64"/>
        <v>222.72122728963677</v>
      </c>
      <c r="CC86" s="59">
        <f t="shared" si="65"/>
        <v>512.40830068741104</v>
      </c>
      <c r="CD86" s="59">
        <f ca="1">AVERAGE(OFFSET($CC$3,0,0,'Données projet'!$E$12+1,1))-AVERAGE(OFFSET($H$3,0,0,'Données projet'!$E$12+1,1))</f>
        <v>192.88977161349993</v>
      </c>
      <c r="CE86" s="59">
        <f t="shared" si="94"/>
        <v>122.91376861456772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14.406141702360532</v>
      </c>
      <c r="CM86" s="21">
        <f>EXP(-LN(2)/2)*CM85+(1-EXP(-LN(2)/2))/(LN(2)/2)*CG86*CJ86*VLOOKUP('Données projet'!$B$12,Paramètres!$A$1:$I$89,3,0)*0.475*44/12</f>
        <v>0.51316926398973728</v>
      </c>
      <c r="CN86" s="22">
        <f t="shared" si="66"/>
        <v>14.91931096635027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2.0512820512820498</v>
      </c>
      <c r="CT86" s="12">
        <f>IF('Données projet'!$A$140&gt;35,CT85+CS86-DB85,IF(A86&lt;'Données projet'!$A$140,$CQ$205^A86,IF(A86='Données projet'!$A$140,'Données projet'!$B$140,CT85+CS86-DB85)))</f>
        <v>122.1794871794871</v>
      </c>
      <c r="CU86" s="17">
        <f>CT86*VLOOKUP('Données projet'!$B$13,Paramètres!$A$1:$I$89,3,0)*VLOOKUP('Données projet'!$B$13,Paramètres!$A$1:$I$89,5,0)</f>
        <v>99.111999999999938</v>
      </c>
      <c r="CV86" s="13">
        <f t="shared" si="95"/>
        <v>26.750334096198984</v>
      </c>
      <c r="CW86" s="20">
        <f t="shared" si="67"/>
        <v>219.21023188421313</v>
      </c>
      <c r="CX86" s="59">
        <f t="shared" si="68"/>
        <v>508.89730528198743</v>
      </c>
      <c r="CY86" s="59">
        <f ca="1">AVERAGE(OFFSET($CX$3,0,0,'Données projet'!$E$13+1,1))-AVERAGE(OFFSET($H$3,0,0,'Données projet'!$E$13+1,1))</f>
        <v>163.16040389635825</v>
      </c>
      <c r="CZ86" s="59">
        <f t="shared" si="96"/>
        <v>138.57856782158811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3.8974252991178049</v>
      </c>
      <c r="DH86" s="21">
        <f>EXP(-LN(2)/2)*DH85+(1-EXP(-LN(2)/2))/(LN(2)/2)*DB86*DE86*VLOOKUP('Données projet'!$B$13,Paramètres!$A$1:$I$89,3,0)*0.475*44/12</f>
        <v>0.57946557665500964</v>
      </c>
      <c r="DI86" s="22">
        <f t="shared" si="69"/>
        <v>4.4768908757728143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11.117500000000001</v>
      </c>
      <c r="DO86" s="12">
        <f>IF('Données projet'!$A$166&gt;35,DO85+DN86-DW85,IF(A86&lt;'Données projet'!$A$166,$DL$205^A86,IF(A86='Données projet'!$A$166,'Données projet'!$B$166,DO85+DN86-DW85)))</f>
        <v>402.92499999999995</v>
      </c>
      <c r="DP86" s="17">
        <f>DO86*VLOOKUP('Données projet'!$B$14,Paramètres!$A$1:$I$89,3,0)*VLOOKUP('Données projet'!$B$14,Paramètres!$A$1:$I$89,5,0)</f>
        <v>188.56889999999996</v>
      </c>
      <c r="DQ86" s="13">
        <f t="shared" si="97"/>
        <v>47.223417871971755</v>
      </c>
      <c r="DR86" s="20">
        <f t="shared" si="70"/>
        <v>410.67162029368404</v>
      </c>
      <c r="DS86" s="59">
        <f t="shared" si="71"/>
        <v>700.35869369145826</v>
      </c>
      <c r="DT86" s="59">
        <f ca="1">AVERAGE(OFFSET($DS$3,0,0,'Données projet'!$E$14+1,1))-AVERAGE(OFFSET($H$3,0,0,'Données projet'!$E$14+1,1))</f>
        <v>343.44193069803498</v>
      </c>
      <c r="DU86" s="59">
        <f t="shared" si="98"/>
        <v>280.67367019483481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38.661250756098802</v>
      </c>
      <c r="EB86" s="21">
        <f>EXP(-LN(2)/25)*EB85+(1-EXP(-LN(2)/25))/(LN(2)/25)*Calculateur!DW86*Calculateur!DY86*VLOOKUP('Données projet'!$B$14,Paramètres!$A$1:$I$89,3,0)*0.475*44/12</f>
        <v>18.083382523704785</v>
      </c>
      <c r="EC86" s="21">
        <f>EXP(-LN(2)/2)*EC85+(1-EXP(-LN(2)/2))/(LN(2)/2)*DW86*DZ86*VLOOKUP('Données projet'!$B$14,Paramètres!$A$1:$I$89,3,0)*0.475*44/12</f>
        <v>0.34765453986624478</v>
      </c>
      <c r="ED86" s="22">
        <f t="shared" si="72"/>
        <v>57.092287819669835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3.7179487179487181</v>
      </c>
      <c r="EJ86" s="12">
        <f>IF('Données projet'!$A$192&gt;35,EJ85+EI86-ER85,IF(A86&lt;'Données projet'!$A$192,$EG$205^A86,IF(A86='Données projet'!$A$192,'Données projet'!$B$192,EJ85+EI86-ER85)))</f>
        <v>153.46153846153851</v>
      </c>
      <c r="EK86" s="17">
        <f>EJ86*VLOOKUP('Données projet'!$B$15,Paramètres!$A$1:$I$89,3,0)*VLOOKUP('Données projet'!$B$15,Paramètres!$A$1:$I$89,5,0)</f>
        <v>155.61000000000004</v>
      </c>
      <c r="EL86" s="13">
        <f t="shared" si="99"/>
        <v>39.850741093704222</v>
      </c>
      <c r="EM86" s="20">
        <f t="shared" si="73"/>
        <v>340.42745740486822</v>
      </c>
      <c r="EN86" s="59">
        <f t="shared" si="74"/>
        <v>630.11453080264255</v>
      </c>
      <c r="EO86" s="59">
        <f ca="1">AVERAGE(OFFSET($EN$3,0,0,'Données projet'!$E$15+1,1))-AVERAGE(OFFSET($H$3,0,0,'Données projet'!$E$15+1,1))</f>
        <v>270.0029254736703</v>
      </c>
      <c r="EP86" s="59">
        <f t="shared" si="100"/>
        <v>183.80022202211441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4.1705454016241799</v>
      </c>
      <c r="EW86" s="21">
        <f>EXP(-LN(2)/25)*EW85+(1-EXP(-LN(2)/25))/(LN(2)/25)*Calculateur!ER86*Calculateur!ET86*VLOOKUP('Données projet'!$B$15,Paramètres!$A$1:$I$89,3,0)*0.475*44/12</f>
        <v>23.572881847365458</v>
      </c>
      <c r="EX86" s="21">
        <f>EXP(-LN(2)/2)*EX85+(1-EXP(-LN(2)/2))/(LN(2)/2)*ER86*EU86*VLOOKUP('Données projet'!$B$15,Paramètres!$A$1:$I$89,3,0)*0.475*44/12</f>
        <v>0.57589041828677923</v>
      </c>
      <c r="EY86" s="22">
        <f t="shared" si="75"/>
        <v>28.319317667276419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-1.4897523215040567E-13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328.93328163316073</v>
      </c>
      <c r="FK86" s="59">
        <f t="shared" si="102"/>
        <v>320.27831321887072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43.41779018470956</v>
      </c>
      <c r="FR86" s="21">
        <f>EXP(-LN(2)/25)*FR85+(1-EXP(-LN(2)/25))/(LN(2)/25)*Calculateur!FM86*Calculateur!FO86*VLOOKUP('Données projet'!$B$16,Paramètres!$A$1:$I$89,3,0)*0.475*44/12</f>
        <v>42.802729032045335</v>
      </c>
      <c r="FS86" s="21">
        <f>EXP(-LN(2)/2)*FS85+(1-EXP(-LN(2)/2))/(LN(2)/2)*FM86*FP86*VLOOKUP('Données projet'!$B$16,Paramètres!$A$1:$I$89,3,0)*0.475*44/12</f>
        <v>20.179416510317814</v>
      </c>
      <c r="FT86" s="22">
        <f t="shared" si="78"/>
        <v>106.39993572707272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3.7179487179487181</v>
      </c>
      <c r="FZ86" s="12">
        <f>IF('Données projet'!$A$244&gt;35,FZ85+FY86-GH85,IF(A86&lt;'Données projet'!$A$244,$FW$205^A86,IF(A86='Données projet'!$A$244,'Données projet'!$B$244,FZ85+FY86-GH85)))</f>
        <v>153.46153846153851</v>
      </c>
      <c r="GA86" s="17">
        <f>FZ86*VLOOKUP('Données projet'!$B$17,Paramètres!$A$1:$I$89,3,0)*VLOOKUP('Données projet'!$B$17,Paramètres!$A$1:$I$89,5,0)</f>
        <v>102.94200000000005</v>
      </c>
      <c r="GB86" s="13">
        <f t="shared" si="103"/>
        <v>27.661701320876837</v>
      </c>
      <c r="GC86" s="20">
        <f t="shared" si="79"/>
        <v>227.46811313386058</v>
      </c>
      <c r="GD86" s="59">
        <f t="shared" si="80"/>
        <v>517.15518653163485</v>
      </c>
      <c r="GE86" s="59">
        <f ca="1">AVERAGE(OFFSET($GD$3,0,0,'Données projet'!$E$17+1,1))-AVERAGE(OFFSET($H$3,0,0,'Données projet'!$E$17+1,1))</f>
        <v>192.88444860121191</v>
      </c>
      <c r="GF86" s="59">
        <f t="shared" si="104"/>
        <v>136.13737493732751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3.4005985582474079</v>
      </c>
      <c r="GM86" s="21">
        <f>EXP(-LN(2)/25)*GM85+(1-EXP(-LN(2)/25))/(LN(2)/25)*Calculateur!GH86*Calculateur!GJ86*VLOOKUP('Données projet'!$B$17,Paramètres!$A$1:$I$89,3,0)*0.475*44/12</f>
        <v>19.220965198621069</v>
      </c>
      <c r="GN86" s="21">
        <f>EXP(-LN(2)/2)*GN85+(1-EXP(-LN(2)/2))/(LN(2)/2)*GH86*GK86*VLOOKUP('Données projet'!$B$17,Paramètres!$A$1:$I$89,3,0)*0.475*44/12</f>
        <v>0.380973661328177</v>
      </c>
      <c r="GO86" s="21">
        <f t="shared" si="81"/>
        <v>23.002537418196653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69.005565472120253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0.85000000000000009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3.1166666666666671</v>
      </c>
      <c r="H87" s="67">
        <f t="shared" si="56"/>
        <v>244.19999999999996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981.0285954553915</v>
      </c>
      <c r="S87" s="59">
        <f ca="1">AVERAGE(OFFSET($R$3,0,0,'Données projet'!$E$9+1,1))-AVERAGE(OFFSET($H$3,0,0,'Données projet'!$E$9+1,1))</f>
        <v>643.492472896403</v>
      </c>
      <c r="T87" s="59">
        <f t="shared" si="88"/>
        <v>285.0259479655341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-2.8421709430404007E-13</v>
      </c>
      <c r="AJ87" s="13">
        <f>AI87*VLOOKUP('Données projet'!$B$10,Paramètres!$A$1:$I$89,3,0)*VLOOKUP('Données projet'!$B$10,Paramètres!$A$1:$I$89,5,0)</f>
        <v>-2.2168933355715128E-13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289.89907502443873</v>
      </c>
      <c r="AO87" s="59">
        <f t="shared" si="90"/>
        <v>267.42183550360301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29.781639777473998</v>
      </c>
      <c r="AV87" s="21">
        <f>EXP(-LN(2)/25)*AV86+(1-EXP(-LN(2)/25))/(LN(2)/25)*Calculateur!AQ87*Calculateur!AS87*VLOOKUP('Données projet'!$B$10,Paramètres!$A$1:$I$89,3,0)*0.475*44/12</f>
        <v>30.534553642713249</v>
      </c>
      <c r="AW87" s="21">
        <f>EXP(-LN(2)/2)*AW86+(1-EXP(-LN(2)/2))/(LN(2)/2)*AQ87*AT87*VLOOKUP('Données projet'!$B$10,Paramètres!$A$1:$I$89,3,0)*0.475*44/12</f>
        <v>2.3623765215123651</v>
      </c>
      <c r="AX87" s="21">
        <f t="shared" si="60"/>
        <v>62.678569941699614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1.9230769230769227</v>
      </c>
      <c r="BD87" s="12">
        <f>IF('Données projet'!$A$88&gt;35,BD86+BC87-BL86,IF(A87&lt;'Données projet'!$A$88,$BA$205^A87,IF(A87='Données projet'!$A$88,'Données projet'!$B$88,BD86+BC87-BL86)))</f>
        <v>95.512820512820468</v>
      </c>
      <c r="BE87" s="13">
        <f>BD87*VLOOKUP('Données projet'!$B$11,Paramètres!$A$1:$I$89,3,0)*VLOOKUP('Données projet'!$B$11,Paramètres!$A$1:$I$89,5,0)</f>
        <v>92.379999999999953</v>
      </c>
      <c r="BF87" s="13">
        <f t="shared" si="91"/>
        <v>25.138348835345543</v>
      </c>
      <c r="BG87" s="20">
        <f t="shared" si="61"/>
        <v>204.6777908882267</v>
      </c>
      <c r="BH87" s="59">
        <f t="shared" si="62"/>
        <v>494.42811874406692</v>
      </c>
      <c r="BI87" s="59">
        <f ca="1">AVERAGE(OFFSET($BH$3,0,0,'Données projet'!$E$11+1,1))-AVERAGE(OFFSET($H$3,0,0,'Données projet'!$E$11+1,1))</f>
        <v>177.54241137663234</v>
      </c>
      <c r="BJ87" s="59">
        <f t="shared" si="92"/>
        <v>114.71095021456071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12.590676956452926</v>
      </c>
      <c r="BR87" s="21">
        <f>EXP(-LN(2)/2)*BR86+(1-EXP(-LN(2)/2))/(LN(2)/2)*BL87*BO87*VLOOKUP('Données projet'!$B$11,Paramètres!$A$1:$I$89,3,0)*0.475*44/12</f>
        <v>0.32605302783690537</v>
      </c>
      <c r="BS87" s="22">
        <f t="shared" si="63"/>
        <v>12.916729984289832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1.9230769230769227</v>
      </c>
      <c r="BY87" s="12">
        <f>IF('Données projet'!$A$114&gt;35,BY86+BX87-CG86,IF(A87&lt;'Données projet'!$A$114,$BV$205^A87,IF(A87='Données projet'!$A$114,'Données projet'!$B$114,BY86+BX87-CG86)))</f>
        <v>95.512820512820468</v>
      </c>
      <c r="BZ87" s="13">
        <f>BY87*VLOOKUP('Données projet'!$B$12,Paramètres!$A$1:$I$89,3,0)*VLOOKUP('Données projet'!$B$12,Paramètres!$A$1:$I$89,5,0)</f>
        <v>102.80999999999995</v>
      </c>
      <c r="CA87" s="13">
        <f t="shared" si="93"/>
        <v>27.630357758903308</v>
      </c>
      <c r="CB87" s="20">
        <f t="shared" si="64"/>
        <v>227.18362309675649</v>
      </c>
      <c r="CC87" s="59">
        <f t="shared" si="65"/>
        <v>516.93395095259666</v>
      </c>
      <c r="CD87" s="59">
        <f ca="1">AVERAGE(OFFSET($CC$3,0,0,'Données projet'!$E$12+1,1))-AVERAGE(OFFSET($H$3,0,0,'Données projet'!$E$12+1,1))</f>
        <v>192.88977161349993</v>
      </c>
      <c r="CE87" s="59">
        <f t="shared" si="94"/>
        <v>122.91376861456772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14.012204999923418</v>
      </c>
      <c r="CM87" s="21">
        <f>EXP(-LN(2)/2)*CM86+(1-EXP(-LN(2)/2))/(LN(2)/2)*CG87*CJ87*VLOOKUP('Données projet'!$B$12,Paramètres!$A$1:$I$89,3,0)*0.475*44/12</f>
        <v>0.36286546646365281</v>
      </c>
      <c r="CN87" s="22">
        <f t="shared" si="66"/>
        <v>14.37507046638707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2.0512820512820498</v>
      </c>
      <c r="CT87" s="12">
        <f>IF('Données projet'!$A$140&gt;35,CT86+CS87-DB86,IF(A87&lt;'Données projet'!$A$140,$CQ$205^A87,IF(A87='Données projet'!$A$140,'Données projet'!$B$140,CT86+CS87-DB86)))</f>
        <v>124.23076923076914</v>
      </c>
      <c r="CU87" s="17">
        <f>CT87*VLOOKUP('Données projet'!$B$13,Paramètres!$A$1:$I$89,3,0)*VLOOKUP('Données projet'!$B$13,Paramètres!$A$1:$I$89,5,0)</f>
        <v>100.77599999999993</v>
      </c>
      <c r="CV87" s="13">
        <f t="shared" si="95"/>
        <v>27.146785593902447</v>
      </c>
      <c r="CW87" s="20">
        <f t="shared" si="67"/>
        <v>222.79885157604664</v>
      </c>
      <c r="CX87" s="59">
        <f t="shared" si="68"/>
        <v>512.54917943188684</v>
      </c>
      <c r="CY87" s="59">
        <f ca="1">AVERAGE(OFFSET($CX$3,0,0,'Données projet'!$E$13+1,1))-AVERAGE(OFFSET($H$3,0,0,'Données projet'!$E$13+1,1))</f>
        <v>163.16040389635825</v>
      </c>
      <c r="CZ87" s="59">
        <f t="shared" si="96"/>
        <v>138.57856782158811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3.7908499993567397</v>
      </c>
      <c r="DH87" s="21">
        <f>EXP(-LN(2)/2)*DH86+(1-EXP(-LN(2)/2))/(LN(2)/2)*DB87*DE87*VLOOKUP('Données projet'!$B$13,Paramètres!$A$1:$I$89,3,0)*0.475*44/12</f>
        <v>0.40974403871693049</v>
      </c>
      <c r="DI87" s="22">
        <f t="shared" si="69"/>
        <v>4.2005940380736702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11.117500000000001</v>
      </c>
      <c r="DO87" s="12">
        <f>IF('Données projet'!$A$166&gt;35,DO86+DN87-DW86,IF(A87&lt;'Données projet'!$A$166,$DL$205^A87,IF(A87='Données projet'!$A$166,'Données projet'!$B$166,DO86+DN87-DW86)))</f>
        <v>414.04249999999996</v>
      </c>
      <c r="DP87" s="17">
        <f>DO87*VLOOKUP('Données projet'!$B$14,Paramètres!$A$1:$I$89,3,0)*VLOOKUP('Données projet'!$B$14,Paramètres!$A$1:$I$89,5,0)</f>
        <v>193.77188999999998</v>
      </c>
      <c r="DQ87" s="13">
        <f t="shared" si="97"/>
        <v>48.372907727823183</v>
      </c>
      <c r="DR87" s="20">
        <f t="shared" si="70"/>
        <v>421.73552270929196</v>
      </c>
      <c r="DS87" s="59">
        <f t="shared" si="71"/>
        <v>711.48585056513218</v>
      </c>
      <c r="DT87" s="59">
        <f ca="1">AVERAGE(OFFSET($DS$3,0,0,'Données projet'!$E$14+1,1))-AVERAGE(OFFSET($H$3,0,0,'Données projet'!$E$14+1,1))</f>
        <v>343.44193069803498</v>
      </c>
      <c r="DU87" s="59">
        <f t="shared" si="98"/>
        <v>280.67367019483481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37.903127209806229</v>
      </c>
      <c r="EB87" s="21">
        <f>EXP(-LN(2)/25)*EB86+(1-EXP(-LN(2)/25))/(LN(2)/25)*Calculateur!DW87*Calculateur!DY87*VLOOKUP('Données projet'!$B$14,Paramètres!$A$1:$I$89,3,0)*0.475*44/12</f>
        <v>17.58889147763032</v>
      </c>
      <c r="EC87" s="21">
        <f>EXP(-LN(2)/2)*EC86+(1-EXP(-LN(2)/2))/(LN(2)/2)*DW87*DZ87*VLOOKUP('Données projet'!$B$14,Paramètres!$A$1:$I$89,3,0)*0.475*44/12</f>
        <v>0.24582888264971062</v>
      </c>
      <c r="ED87" s="22">
        <f t="shared" si="72"/>
        <v>55.737847570086259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3.7179487179487181</v>
      </c>
      <c r="EJ87" s="12">
        <f>IF('Données projet'!$A$192&gt;35,EJ86+EI87-ER86,IF(A87&lt;'Données projet'!$A$192,$EG$205^A87,IF(A87='Données projet'!$A$192,'Données projet'!$B$192,EJ86+EI87-ER86)))</f>
        <v>157.17948717948724</v>
      </c>
      <c r="EK87" s="17">
        <f>EJ87*VLOOKUP('Données projet'!$B$15,Paramètres!$A$1:$I$89,3,0)*VLOOKUP('Données projet'!$B$15,Paramètres!$A$1:$I$89,5,0)</f>
        <v>159.38000000000008</v>
      </c>
      <c r="EL87" s="13">
        <f t="shared" si="99"/>
        <v>40.702641092465413</v>
      </c>
      <c r="EM87" s="20">
        <f t="shared" si="73"/>
        <v>348.47726656937743</v>
      </c>
      <c r="EN87" s="59">
        <f t="shared" si="74"/>
        <v>638.2275944252176</v>
      </c>
      <c r="EO87" s="59">
        <f ca="1">AVERAGE(OFFSET($EN$3,0,0,'Données projet'!$E$15+1,1))-AVERAGE(OFFSET($H$3,0,0,'Données projet'!$E$15+1,1))</f>
        <v>270.0029254736703</v>
      </c>
      <c r="EP87" s="59">
        <f t="shared" si="100"/>
        <v>183.80022202211441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4.0887635500798467</v>
      </c>
      <c r="EW87" s="21">
        <f>EXP(-LN(2)/25)*EW86+(1-EXP(-LN(2)/25))/(LN(2)/25)*Calculateur!ER87*Calculateur!ET87*VLOOKUP('Données projet'!$B$15,Paramètres!$A$1:$I$89,3,0)*0.475*44/12</f>
        <v>22.928280153605272</v>
      </c>
      <c r="EX87" s="21">
        <f>EXP(-LN(2)/2)*EX86+(1-EXP(-LN(2)/2))/(LN(2)/2)*ER87*EU87*VLOOKUP('Données projet'!$B$15,Paramètres!$A$1:$I$89,3,0)*0.475*44/12</f>
        <v>0.40721601999093893</v>
      </c>
      <c r="EY87" s="22">
        <f t="shared" si="75"/>
        <v>27.424259723676059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-1.4897523215040567E-13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328.93328163316073</v>
      </c>
      <c r="FK87" s="59">
        <f t="shared" si="102"/>
        <v>320.27831321887072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42.566393801424518</v>
      </c>
      <c r="FR87" s="21">
        <f>EXP(-LN(2)/25)*FR86+(1-EXP(-LN(2)/25))/(LN(2)/25)*Calculateur!FM87*Calculateur!FO87*VLOOKUP('Données projet'!$B$16,Paramètres!$A$1:$I$89,3,0)*0.475*44/12</f>
        <v>41.632286155766359</v>
      </c>
      <c r="FS87" s="21">
        <f>EXP(-LN(2)/2)*FS86+(1-EXP(-LN(2)/2))/(LN(2)/2)*FM87*FP87*VLOOKUP('Données projet'!$B$16,Paramètres!$A$1:$I$89,3,0)*0.475*44/12</f>
        <v>14.269002254833504</v>
      </c>
      <c r="FT87" s="22">
        <f t="shared" si="78"/>
        <v>98.467682212024386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3.7179487179487181</v>
      </c>
      <c r="FZ87" s="12">
        <f>IF('Données projet'!$A$244&gt;35,FZ86+FY87-GH86,IF(A87&lt;'Données projet'!$A$244,$FW$205^A87,IF(A87='Données projet'!$A$244,'Données projet'!$B$244,FZ86+FY87-GH86)))</f>
        <v>157.17948717948724</v>
      </c>
      <c r="GA87" s="17">
        <f>FZ87*VLOOKUP('Données projet'!$B$17,Paramètres!$A$1:$I$89,3,0)*VLOOKUP('Données projet'!$B$17,Paramètres!$A$1:$I$89,5,0)</f>
        <v>105.43600000000004</v>
      </c>
      <c r="GB87" s="13">
        <f t="shared" si="103"/>
        <v>28.253032941676011</v>
      </c>
      <c r="GC87" s="20">
        <f t="shared" si="79"/>
        <v>232.84173237341909</v>
      </c>
      <c r="GD87" s="59">
        <f t="shared" si="80"/>
        <v>522.59206022925935</v>
      </c>
      <c r="GE87" s="59">
        <f ca="1">AVERAGE(OFFSET($GD$3,0,0,'Données projet'!$E$17+1,1))-AVERAGE(OFFSET($H$3,0,0,'Données projet'!$E$17+1,1))</f>
        <v>192.88444860121191</v>
      </c>
      <c r="GF87" s="59">
        <f t="shared" si="104"/>
        <v>136.13737493732751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3.3339148946804906</v>
      </c>
      <c r="GM87" s="21">
        <f>EXP(-LN(2)/25)*GM86+(1-EXP(-LN(2)/25))/(LN(2)/25)*Calculateur!GH87*Calculateur!GJ87*VLOOKUP('Données projet'!$B$17,Paramètres!$A$1:$I$89,3,0)*0.475*44/12</f>
        <v>18.695366894478148</v>
      </c>
      <c r="GN87" s="21">
        <f>EXP(-LN(2)/2)*GN86+(1-EXP(-LN(2)/2))/(LN(2)/2)*GH87*GK87*VLOOKUP('Données projet'!$B$17,Paramètres!$A$1:$I$89,3,0)*0.475*44/12</f>
        <v>0.26938905937862112</v>
      </c>
      <c r="GO87" s="21">
        <f t="shared" si="81"/>
        <v>22.29867084853726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69.022816687956421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0.85000000000000009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3.1166666666666671</v>
      </c>
      <c r="H88" s="67">
        <f t="shared" si="56"/>
        <v>244.19999999999996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871.41221952616115</v>
      </c>
      <c r="S88" s="59">
        <f ca="1">AVERAGE(OFFSET($R$3,0,0,'Données projet'!$E$9+1,1))-AVERAGE(OFFSET($H$3,0,0,'Données projet'!$E$9+1,1))</f>
        <v>643.492472896403</v>
      </c>
      <c r="T88" s="59">
        <f t="shared" si="88"/>
        <v>285.0259479655341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-2.8421709430404007E-13</v>
      </c>
      <c r="AJ88" s="13">
        <f>AI88*VLOOKUP('Données projet'!$B$10,Paramètres!$A$1:$I$89,3,0)*VLOOKUP('Données projet'!$B$10,Paramètres!$A$1:$I$89,5,0)</f>
        <v>-2.2168933355715128E-13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289.89907502443873</v>
      </c>
      <c r="AO88" s="59">
        <f t="shared" si="90"/>
        <v>267.42183550360301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29.197639986444351</v>
      </c>
      <c r="AV88" s="21">
        <f>EXP(-LN(2)/25)*AV87+(1-EXP(-LN(2)/25))/(LN(2)/25)*Calculateur!AQ88*Calculateur!AS88*VLOOKUP('Données projet'!$B$10,Paramètres!$A$1:$I$89,3,0)*0.475*44/12</f>
        <v>29.699584667610868</v>
      </c>
      <c r="AW88" s="21">
        <f>EXP(-LN(2)/2)*AW87+(1-EXP(-LN(2)/2))/(LN(2)/2)*AQ88*AT88*VLOOKUP('Données projet'!$B$10,Paramètres!$A$1:$I$89,3,0)*0.475*44/12</f>
        <v>1.6704524580772813</v>
      </c>
      <c r="AX88" s="21">
        <f t="shared" si="60"/>
        <v>60.5676771121325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97.435897435897431</v>
      </c>
      <c r="BB88" s="12">
        <f>VLOOKUP(A88,'Données projet'!$A$87:$I$107,9,0)</f>
        <v>1.9230769230769227</v>
      </c>
      <c r="BC88" s="12">
        <f t="array" ref="BC88">INDEX(BB:BB,MIN(IF(ISNUMBER(BB88:BB284),ROW(BB88:BB284),"")))</f>
        <v>1.9230769230769227</v>
      </c>
      <c r="BD88" s="12">
        <f>IF('Données projet'!$A$88&gt;35,BD87+BC88-BL87,IF(A88&lt;'Données projet'!$A$88,$BA$205^A88,IF(A88='Données projet'!$A$88,'Données projet'!$B$88,BD87+BC88-BL87)))</f>
        <v>97.435897435897388</v>
      </c>
      <c r="BE88" s="13">
        <f>BD88*VLOOKUP('Données projet'!$B$11,Paramètres!$A$1:$I$89,3,0)*VLOOKUP('Données projet'!$B$11,Paramètres!$A$1:$I$89,5,0)</f>
        <v>94.239999999999952</v>
      </c>
      <c r="BF88" s="13">
        <f t="shared" si="91"/>
        <v>25.585055065362205</v>
      </c>
      <c r="BG88" s="20">
        <f t="shared" si="61"/>
        <v>208.6953042388391</v>
      </c>
      <c r="BH88" s="59">
        <f t="shared" si="62"/>
        <v>498.50778922931363</v>
      </c>
      <c r="BI88" s="59">
        <f ca="1">AVERAGE(OFFSET($BH$3,0,0,'Données projet'!$E$11+1,1))-AVERAGE(OFFSET($H$3,0,0,'Données projet'!$E$11+1,1))</f>
        <v>177.54241137663234</v>
      </c>
      <c r="BJ88" s="59">
        <f t="shared" si="92"/>
        <v>114.71095021456071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5.7692307692307692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0.34400000000000003</v>
      </c>
      <c r="BO88" s="16">
        <f>IF(ISNA(VLOOKUP(A88,'Données projet'!$A$87:$I$107,7,0)),0%,VLOOKUP(A88,'Données projet'!$A$87:$I$107,7,0))</f>
        <v>0.2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14.360001721605974</v>
      </c>
      <c r="BR88" s="21">
        <f>EXP(-LN(2)/2)*BR87+(1-EXP(-LN(2)/2))/(LN(2)/2)*BL88*BO88*VLOOKUP('Données projet'!$B$11,Paramètres!$A$1:$I$89,3,0)*0.475*44/12</f>
        <v>1.2835303437094951</v>
      </c>
      <c r="BS88" s="22">
        <f t="shared" si="63"/>
        <v>15.643532065315469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97.435897435897431</v>
      </c>
      <c r="BW88" s="12">
        <f>VLOOKUP(A88,'Données projet'!$A$113:$I$133,9,0)</f>
        <v>1.9230769230769227</v>
      </c>
      <c r="BX88" s="12">
        <f t="array" ref="BX88">INDEX(BW:BW,MIN(IF(ISNUMBER(BW88:BW284),ROW(BW88:BW284),"")))</f>
        <v>1.9230769230769227</v>
      </c>
      <c r="BY88" s="12">
        <f>IF('Données projet'!$A$114&gt;35,BY87+BX88-CG87,IF(A88&lt;'Données projet'!$A$114,$BV$205^A88,IF(A88='Données projet'!$A$114,'Données projet'!$B$114,BY87+BX88-CG87)))</f>
        <v>97.435897435897388</v>
      </c>
      <c r="BZ88" s="13">
        <f>BY88*VLOOKUP('Données projet'!$B$12,Paramètres!$A$1:$I$89,3,0)*VLOOKUP('Données projet'!$B$12,Paramètres!$A$1:$I$89,5,0)</f>
        <v>104.87999999999995</v>
      </c>
      <c r="CA88" s="13">
        <f t="shared" si="93"/>
        <v>28.121346766547983</v>
      </c>
      <c r="CB88" s="20">
        <f t="shared" si="64"/>
        <v>231.64401228507097</v>
      </c>
      <c r="CC88" s="59">
        <f t="shared" si="65"/>
        <v>521.45649727554542</v>
      </c>
      <c r="CD88" s="59">
        <f ca="1">AVERAGE(OFFSET($CC$3,0,0,'Données projet'!$E$12+1,1))-AVERAGE(OFFSET($H$3,0,0,'Données projet'!$E$12+1,1))</f>
        <v>192.88977161349993</v>
      </c>
      <c r="CE88" s="59">
        <f t="shared" si="94"/>
        <v>122.91376861456772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5.7692307692307692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0.34400000000000003</v>
      </c>
      <c r="CJ88" s="16">
        <f>IF(ISNA(VLOOKUP(A88,'Données projet'!$A$113:$I$133,7,0)),0%,VLOOKUP(A88,'Données projet'!$A$113:$I$133,7,0))</f>
        <v>0.2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15.981292238561485</v>
      </c>
      <c r="CM88" s="21">
        <f>EXP(-LN(2)/2)*CM87+(1-EXP(-LN(2)/2))/(LN(2)/2)*CG88*CJ88*VLOOKUP('Données projet'!$B$12,Paramètres!$A$1:$I$89,3,0)*0.475*44/12</f>
        <v>1.4284450599347609</v>
      </c>
      <c r="CN88" s="22">
        <f t="shared" si="66"/>
        <v>17.409737298496246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126.28205128205127</v>
      </c>
      <c r="CR88" s="12">
        <f>VLOOKUP(A88,'Données projet'!$A$139:$I$159,9,0)</f>
        <v>2.0512820512820498</v>
      </c>
      <c r="CS88" s="12">
        <f t="array" ref="CS88">INDEX(CR:CR,MIN(IF(ISNUMBER(CR88:CR284),ROW(CR88:CR284),"")))</f>
        <v>2.0512820512820498</v>
      </c>
      <c r="CT88" s="12">
        <f>IF('Données projet'!$A$140&gt;35,CT87+CS88-DB87,IF(A88&lt;'Données projet'!$A$140,$CQ$205^A88,IF(A88='Données projet'!$A$140,'Données projet'!$B$140,CT87+CS88-DB87)))</f>
        <v>126.28205128205119</v>
      </c>
      <c r="CU88" s="17">
        <f>CT88*VLOOKUP('Données projet'!$B$13,Paramètres!$A$1:$I$89,3,0)*VLOOKUP('Données projet'!$B$13,Paramètres!$A$1:$I$89,5,0)</f>
        <v>102.43999999999993</v>
      </c>
      <c r="CV88" s="13">
        <f t="shared" si="95"/>
        <v>27.542475814398081</v>
      </c>
      <c r="CW88" s="20">
        <f t="shared" si="67"/>
        <v>226.3861453767432</v>
      </c>
      <c r="CX88" s="59">
        <f t="shared" si="68"/>
        <v>516.19863036721767</v>
      </c>
      <c r="CY88" s="59">
        <f ca="1">AVERAGE(OFFSET($CX$3,0,0,'Données projet'!$E$13+1,1))-AVERAGE(OFFSET($H$3,0,0,'Données projet'!$E$13+1,1))</f>
        <v>163.16040389635825</v>
      </c>
      <c r="CZ88" s="59">
        <f t="shared" si="96"/>
        <v>138.57856782158811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6.4102564102564097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0.1075</v>
      </c>
      <c r="DE88" s="16">
        <f>IF(ISNA(VLOOKUP(A88,'Données projet'!$A$139:$I$159,7,0)),0%,VLOOKUP(A88,'Données projet'!$A$139:$I$159,7,0))</f>
        <v>0.25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4.3027138130523959</v>
      </c>
      <c r="DH88" s="21">
        <f>EXP(-LN(2)/2)*DH87+(1-EXP(-LN(2)/2))/(LN(2)/2)*DB88*DE88*VLOOKUP('Données projet'!$B$13,Paramètres!$A$1:$I$89,3,0)*0.475*44/12</f>
        <v>1.5163177773145096</v>
      </c>
      <c r="DI88" s="22">
        <f t="shared" si="69"/>
        <v>5.8190315903669054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425.16</v>
      </c>
      <c r="DM88" s="12">
        <f>VLOOKUP(A88,'Données projet'!$A$165:$I$185,9,0)</f>
        <v>11.117500000000001</v>
      </c>
      <c r="DN88" s="12">
        <f t="array" ref="DN88">INDEX(DM:DM,MIN(IF(ISNUMBER(DM88:DM284),ROW(DM88:DM284),"")))</f>
        <v>11.117500000000001</v>
      </c>
      <c r="DO88" s="12">
        <f>IF('Données projet'!$A$166&gt;35,DO87+DN88-DW87,IF(A88&lt;'Données projet'!$A$166,$DL$205^A88,IF(A88='Données projet'!$A$166,'Données projet'!$B$166,DO87+DN88-DW87)))</f>
        <v>425.15999999999997</v>
      </c>
      <c r="DP88" s="17">
        <f>DO88*VLOOKUP('Données projet'!$B$14,Paramètres!$A$1:$I$89,3,0)*VLOOKUP('Données projet'!$B$14,Paramètres!$A$1:$I$89,5,0)</f>
        <v>198.97487999999998</v>
      </c>
      <c r="DQ88" s="13">
        <f t="shared" si="97"/>
        <v>49.518810041794701</v>
      </c>
      <c r="DR88" s="20">
        <f t="shared" si="70"/>
        <v>432.79317682279242</v>
      </c>
      <c r="DS88" s="59">
        <f t="shared" si="71"/>
        <v>722.60566181326692</v>
      </c>
      <c r="DT88" s="59">
        <f ca="1">AVERAGE(OFFSET($DS$3,0,0,'Données projet'!$E$14+1,1))-AVERAGE(OFFSET($H$3,0,0,'Données projet'!$E$14+1,1))</f>
        <v>343.44193069803498</v>
      </c>
      <c r="DU88" s="59">
        <f t="shared" si="98"/>
        <v>280.67367019483481</v>
      </c>
      <c r="DV88" s="15">
        <f>IF(ISNA(VLOOKUP(A88,'Données projet'!$A$165:$I$185,3,0)),0,VLOOKUP(A88,'Données projet'!$A$165:$I$185,3,0))</f>
        <v>4</v>
      </c>
      <c r="DW88" s="15">
        <f>IF(ISNA(VLOOKUP(A88,'Données projet'!$A$165:$I$185,4,0)),0,VLOOKUP(A88,'Données projet'!$A$165:$I$185,4,0))</f>
        <v>95.720000000000027</v>
      </c>
      <c r="DX88" s="16">
        <f>IF(ISNA(VLOOKUP(A88,'Données projet'!$A$165:$I$185,5,0)),0%,VLOOKUP(A88,'Données projet'!$A$165:$I$185,5,0)*VLOOKUP('Données projet'!$B$14,Paramètres!$A$1:$I$89,7,0))</f>
        <v>0.33</v>
      </c>
      <c r="DY88" s="16">
        <f>IF(ISNA(VLOOKUP(A88,'Données projet'!$A$165:$I$185,6,0)),0%,VLOOKUP(A88,'Données projet'!$A$165:$I$185,6,0)*VLOOKUP('Données projet'!$B$14,Paramètres!$A$1:$I$89,7,0))</f>
        <v>0.11000000000000001</v>
      </c>
      <c r="DZ88" s="16">
        <f>IF(ISNA(VLOOKUP(A88,'Données projet'!$A$165:$I$185,7,0)),0%,VLOOKUP(A88,'Données projet'!$A$165:$I$185,7,0))</f>
        <v>0.2</v>
      </c>
      <c r="EA88" s="21">
        <f>EXP(-LN(2)/35)*EA87+(1-EXP(-LN(2)/35))/(LN(2)/35)*DW88*DX88*VLOOKUP('Données projet'!$B$14,Paramètres!$A$1:$I$89,3,0)*0.475*44/12</f>
        <v>56.770468103603221</v>
      </c>
      <c r="EB88" s="21">
        <f>EXP(-LN(2)/25)*EB87+(1-EXP(-LN(2)/25))/(LN(2)/25)*Calculateur!DW88*Calculateur!DY88*VLOOKUP('Données projet'!$B$14,Paramètres!$A$1:$I$89,3,0)*0.475*44/12</f>
        <v>23.619050216152928</v>
      </c>
      <c r="EC88" s="21">
        <f>EXP(-LN(2)/2)*EC87+(1-EXP(-LN(2)/2))/(LN(2)/2)*DW88*DZ88*VLOOKUP('Données projet'!$B$14,Paramètres!$A$1:$I$89,3,0)*0.475*44/12</f>
        <v>10.317940258533362</v>
      </c>
      <c r="ED88" s="22">
        <f t="shared" si="72"/>
        <v>90.707458578289504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160.89743589743588</v>
      </c>
      <c r="EH88" s="12">
        <f>VLOOKUP(A88,'Données projet'!$A$191:$I$211,9,0)</f>
        <v>3.7179487179487181</v>
      </c>
      <c r="EI88" s="12">
        <f t="array" ref="EI88">INDEX(EH:EH,MIN(IF(ISNUMBER(EH88:EH284),ROW(EH88:EH284),"")))</f>
        <v>3.7179487179487181</v>
      </c>
      <c r="EJ88" s="12">
        <f>IF('Données projet'!$A$192&gt;35,EJ87+EI88-ER87,IF(A88&lt;'Données projet'!$A$192,$EG$205^A88,IF(A88='Données projet'!$A$192,'Données projet'!$B$192,EJ87+EI88-ER87)))</f>
        <v>160.89743589743597</v>
      </c>
      <c r="EK88" s="17">
        <f>EJ88*VLOOKUP('Données projet'!$B$15,Paramètres!$A$1:$I$89,3,0)*VLOOKUP('Données projet'!$B$15,Paramètres!$A$1:$I$89,5,0)</f>
        <v>163.15000000000009</v>
      </c>
      <c r="EL88" s="13">
        <f t="shared" si="99"/>
        <v>41.552198512543036</v>
      </c>
      <c r="EM88" s="20">
        <f t="shared" si="73"/>
        <v>356.52299574267926</v>
      </c>
      <c r="EN88" s="59">
        <f t="shared" si="74"/>
        <v>646.33548073315376</v>
      </c>
      <c r="EO88" s="59">
        <f ca="1">AVERAGE(OFFSET($EN$3,0,0,'Données projet'!$E$15+1,1))-AVERAGE(OFFSET($H$3,0,0,'Données projet'!$E$15+1,1))</f>
        <v>270.0029254736703</v>
      </c>
      <c r="EP88" s="59">
        <f t="shared" si="100"/>
        <v>183.80022202211441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12.820512820512819</v>
      </c>
      <c r="ES88" s="16">
        <f>IF(ISNA(VLOOKUP(A88,'Données projet'!$A$191:$I$211,5,0)),0%,VLOOKUP(A88,'Données projet'!$A$191:$I$211,5,0)*VLOOKUP('Données projet'!$B$15,Paramètres!$A$1:$I$89,7,0))</f>
        <v>0.15049999999999999</v>
      </c>
      <c r="ET88" s="16">
        <f>IF(ISNA(VLOOKUP(A88,'Données projet'!$A$191:$I$211,6,0)),0%,VLOOKUP(A88,'Données projet'!$A$191:$I$211,6,0)*VLOOKUP('Données projet'!$B$15,Paramètres!$A$1:$I$89,7,0))</f>
        <v>8.6000000000000007E-2</v>
      </c>
      <c r="EU88" s="16">
        <f>IF(ISNA(VLOOKUP(A88,'Données projet'!$A$191:$I$211,7,0)),0%,VLOOKUP(A88,'Données projet'!$A$191:$I$211,7,0))</f>
        <v>0.1</v>
      </c>
      <c r="EV88" s="21">
        <f>EXP(-LN(2)/35)*EV87+(1-EXP(-LN(2)/35))/(LN(2)/35)*ER88*ES88*VLOOKUP('Données projet'!$B$15,Paramètres!$A$1:$I$89,3,0)*0.475*44/12</f>
        <v>6.1714381883185112</v>
      </c>
      <c r="EW88" s="21">
        <f>EXP(-LN(2)/25)*EW87+(1-EXP(-LN(2)/25))/(LN(2)/25)*Calculateur!ER88*Calculateur!ET88*VLOOKUP('Données projet'!$B$15,Paramètres!$A$1:$I$89,3,0)*0.475*44/12</f>
        <v>23.532354739619493</v>
      </c>
      <c r="EX88" s="21">
        <f>EXP(-LN(2)/2)*EX87+(1-EXP(-LN(2)/2))/(LN(2)/2)*ER88*EU88*VLOOKUP('Données projet'!$B$15,Paramètres!$A$1:$I$89,3,0)*0.475*44/12</f>
        <v>1.5145301981303942</v>
      </c>
      <c r="EY88" s="22">
        <f t="shared" si="75"/>
        <v>31.218323126068398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-1.4897523215040567E-13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328.93328163316073</v>
      </c>
      <c r="FK88" s="59">
        <f t="shared" si="102"/>
        <v>320.27831321887072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41.731692781915172</v>
      </c>
      <c r="FR88" s="21">
        <f>EXP(-LN(2)/25)*FR87+(1-EXP(-LN(2)/25))/(LN(2)/25)*Calculateur!FM88*Calculateur!FO88*VLOOKUP('Données projet'!$B$16,Paramètres!$A$1:$I$89,3,0)*0.475*44/12</f>
        <v>40.493849101490149</v>
      </c>
      <c r="FS88" s="21">
        <f>EXP(-LN(2)/2)*FS87+(1-EXP(-LN(2)/2))/(LN(2)/2)*FM88*FP88*VLOOKUP('Données projet'!$B$16,Paramètres!$A$1:$I$89,3,0)*0.475*44/12</f>
        <v>10.089708255158909</v>
      </c>
      <c r="FT88" s="22">
        <f t="shared" si="78"/>
        <v>92.315250138564238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160.89743589743588</v>
      </c>
      <c r="FX88" s="12">
        <f>VLOOKUP(A88,'Données projet'!$A$243:$I$263,9,0)</f>
        <v>3.7179487179487181</v>
      </c>
      <c r="FY88" s="12">
        <f t="array" ref="FY88">INDEX(FX:FX,MIN(IF(ISNUMBER(FX88:FX284),ROW(FX88:FX284),"")))</f>
        <v>3.7179487179487181</v>
      </c>
      <c r="FZ88" s="12">
        <f>IF('Données projet'!$A$244&gt;35,FZ87+FY88-GH87,IF(A88&lt;'Données projet'!$A$244,$FW$205^A88,IF(A88='Données projet'!$A$244,'Données projet'!$B$244,FZ87+FY88-GH87)))</f>
        <v>160.89743589743597</v>
      </c>
      <c r="GA88" s="17">
        <f>FZ88*VLOOKUP('Données projet'!$B$17,Paramètres!$A$1:$I$89,3,0)*VLOOKUP('Données projet'!$B$17,Paramètres!$A$1:$I$89,5,0)</f>
        <v>107.93000000000004</v>
      </c>
      <c r="GB88" s="13">
        <f t="shared" si="103"/>
        <v>28.842738502078618</v>
      </c>
      <c r="GC88" s="20">
        <f t="shared" si="79"/>
        <v>238.21251955778698</v>
      </c>
      <c r="GD88" s="59">
        <f t="shared" si="80"/>
        <v>528.02500454826145</v>
      </c>
      <c r="GE88" s="59">
        <f ca="1">AVERAGE(OFFSET($GD$3,0,0,'Données projet'!$E$17+1,1))-AVERAGE(OFFSET($H$3,0,0,'Données projet'!$E$17+1,1))</f>
        <v>192.88444860121191</v>
      </c>
      <c r="GF88" s="59">
        <f t="shared" si="104"/>
        <v>136.13737493732751</v>
      </c>
      <c r="GG88" s="15">
        <f>IF(ISNA(VLOOKUP(A88,'Données projet'!$A$243:$I$263,3,0)),0,VLOOKUP(A88,'Données projet'!$A$243:$I$263,3,0))</f>
        <v>14</v>
      </c>
      <c r="GH88" s="15">
        <f>IF(ISNA(VLOOKUP(A88,'Données projet'!$A$243:$I$263,4,0)),0,VLOOKUP(A88,'Données projet'!$A$243:$I$263,4,0))</f>
        <v>12.820512820512819</v>
      </c>
      <c r="GI88" s="16">
        <f>IF(ISNA(VLOOKUP(A88,'Données projet'!$A$243:$I$263,5,0)),0%,VLOOKUP(A88,'Données projet'!$A$243:$I$263,5,0)*VLOOKUP('Données projet'!$B$17,Paramètres!$A$1:$I$89,7,0))</f>
        <v>0.1855</v>
      </c>
      <c r="GJ88" s="16">
        <f>IF(ISNA(VLOOKUP(A88,'Données projet'!$A$243:$I$263,6,0)),0%,VLOOKUP(A88,'Données projet'!$A$243:$I$263,6,0)*VLOOKUP('Données projet'!$B$17,Paramètres!$A$1:$I$89,7,0))</f>
        <v>0.10600000000000001</v>
      </c>
      <c r="GK88" s="16">
        <f>IF(ISNA(VLOOKUP(A88,'Données projet'!$A$243:$I$263,7,0)),0%,VLOOKUP(A88,'Données projet'!$A$243:$I$263,7,0))</f>
        <v>0.1</v>
      </c>
      <c r="GL88" s="21">
        <f>EXP(-LN(2)/35)*GL87+(1-EXP(-LN(2)/35))/(LN(2)/35)*GH88*GI88*VLOOKUP('Données projet'!$B$17,Paramètres!$A$1:$I$89,3,0)*0.475*44/12</f>
        <v>5.0320957535520172</v>
      </c>
      <c r="GM88" s="21">
        <f>EXP(-LN(2)/25)*GM87+(1-EXP(-LN(2)/25))/(LN(2)/25)*Calculateur!GH88*Calculateur!GJ88*VLOOKUP('Données projet'!$B$17,Paramètres!$A$1:$I$89,3,0)*0.475*44/12</f>
        <v>19.187920018458975</v>
      </c>
      <c r="GN88" s="21">
        <f>EXP(-LN(2)/2)*GN87+(1-EXP(-LN(2)/2))/(LN(2)/2)*GH88*GK88*VLOOKUP('Données projet'!$B$17,Paramètres!$A$1:$I$89,3,0)*0.475*44/12</f>
        <v>1.0019199772247223</v>
      </c>
      <c r="GO88" s="21">
        <f t="shared" si="81"/>
        <v>25.221935749235715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69.039768633765775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0.85000000000000009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3.1166666666666671</v>
      </c>
      <c r="H89" s="67">
        <f t="shared" si="56"/>
        <v>244.19999999999996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888.99201302678148</v>
      </c>
      <c r="S89" s="59">
        <f ca="1">AVERAGE(OFFSET($R$3,0,0,'Données projet'!$E$9+1,1))-AVERAGE(OFFSET($H$3,0,0,'Données projet'!$E$9+1,1))</f>
        <v>643.492472896403</v>
      </c>
      <c r="T89" s="59">
        <f t="shared" si="88"/>
        <v>285.0259479655341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-2.8421709430404007E-13</v>
      </c>
      <c r="AJ89" s="13">
        <f>AI89*VLOOKUP('Données projet'!$B$10,Paramètres!$A$1:$I$89,3,0)*VLOOKUP('Données projet'!$B$10,Paramètres!$A$1:$I$89,5,0)</f>
        <v>-2.2168933355715128E-13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289.89907502443873</v>
      </c>
      <c r="AO89" s="59">
        <f t="shared" si="90"/>
        <v>267.42183550360301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28.625092075112097</v>
      </c>
      <c r="AV89" s="21">
        <f>EXP(-LN(2)/25)*AV88+(1-EXP(-LN(2)/25))/(LN(2)/25)*Calculateur!AQ89*Calculateur!AS89*VLOOKUP('Données projet'!$B$10,Paramètres!$A$1:$I$89,3,0)*0.475*44/12</f>
        <v>28.887447963041769</v>
      </c>
      <c r="AW89" s="21">
        <f>EXP(-LN(2)/2)*AW88+(1-EXP(-LN(2)/2))/(LN(2)/2)*AQ89*AT89*VLOOKUP('Données projet'!$B$10,Paramètres!$A$1:$I$89,3,0)*0.475*44/12</f>
        <v>1.1811882607561826</v>
      </c>
      <c r="AX89" s="21">
        <f t="shared" si="60"/>
        <v>58.693728298910045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2.0512820512820524</v>
      </c>
      <c r="BD89" s="12">
        <f>IF('Données projet'!$A$88&gt;35,BD88+BC89-BL88,IF(A89&lt;'Données projet'!$A$88,$BA$205^A89,IF(A89='Données projet'!$A$88,'Données projet'!$B$88,BD88+BC89-BL88)))</f>
        <v>93.717948717948673</v>
      </c>
      <c r="BE89" s="13">
        <f>BD89*VLOOKUP('Données projet'!$B$11,Paramètres!$A$1:$I$89,3,0)*VLOOKUP('Données projet'!$B$11,Paramètres!$A$1:$I$89,5,0)</f>
        <v>90.643999999999949</v>
      </c>
      <c r="BF89" s="13">
        <f t="shared" si="91"/>
        <v>24.720477775606724</v>
      </c>
      <c r="BG89" s="20">
        <f t="shared" si="61"/>
        <v>200.9264654591816</v>
      </c>
      <c r="BH89" s="59">
        <f t="shared" si="62"/>
        <v>490.80002929696707</v>
      </c>
      <c r="BI89" s="59">
        <f ca="1">AVERAGE(OFFSET($BH$3,0,0,'Données projet'!$E$11+1,1))-AVERAGE(OFFSET($H$3,0,0,'Données projet'!$E$11+1,1))</f>
        <v>177.54241137663234</v>
      </c>
      <c r="BJ89" s="59">
        <f t="shared" si="92"/>
        <v>114.71095021456071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13.967326719368987</v>
      </c>
      <c r="BR89" s="21">
        <f>EXP(-LN(2)/2)*BR88+(1-EXP(-LN(2)/2))/(LN(2)/2)*BL89*BO89*VLOOKUP('Données projet'!$B$11,Paramètres!$A$1:$I$89,3,0)*0.475*44/12</f>
        <v>0.90759300989568414</v>
      </c>
      <c r="BS89" s="22">
        <f t="shared" si="63"/>
        <v>14.874919729264672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2.0512820512820524</v>
      </c>
      <c r="BY89" s="12">
        <f>IF('Données projet'!$A$114&gt;35,BY88+BX89-CG88,IF(A89&lt;'Données projet'!$A$114,$BV$205^A89,IF(A89='Données projet'!$A$114,'Données projet'!$B$114,BY88+BX89-CG88)))</f>
        <v>93.717948717948673</v>
      </c>
      <c r="BZ89" s="13">
        <f>BY89*VLOOKUP('Données projet'!$B$12,Paramètres!$A$1:$I$89,3,0)*VLOOKUP('Données projet'!$B$12,Paramètres!$A$1:$I$89,5,0)</f>
        <v>100.87799999999996</v>
      </c>
      <c r="CA89" s="13">
        <f t="shared" si="93"/>
        <v>27.171062402899619</v>
      </c>
      <c r="CB89" s="20">
        <f t="shared" si="64"/>
        <v>223.01878368505007</v>
      </c>
      <c r="CC89" s="59">
        <f t="shared" si="65"/>
        <v>512.89234752283551</v>
      </c>
      <c r="CD89" s="59">
        <f ca="1">AVERAGE(OFFSET($CC$3,0,0,'Données projet'!$E$12+1,1))-AVERAGE(OFFSET($H$3,0,0,'Données projet'!$E$12+1,1))</f>
        <v>192.88977161349993</v>
      </c>
      <c r="CE89" s="59">
        <f t="shared" si="94"/>
        <v>122.91376861456772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15.544282961878388</v>
      </c>
      <c r="CM89" s="21">
        <f>EXP(-LN(2)/2)*CM88+(1-EXP(-LN(2)/2))/(LN(2)/2)*CG89*CJ89*VLOOKUP('Données projet'!$B$12,Paramètres!$A$1:$I$89,3,0)*0.475*44/12</f>
        <v>1.0100631884322937</v>
      </c>
      <c r="CN89" s="22">
        <f t="shared" si="66"/>
        <v>16.554346150310682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1.9230769230769227</v>
      </c>
      <c r="CT89" s="12">
        <f>IF('Données projet'!$A$140&gt;35,CT88+CS89-DB88,IF(A89&lt;'Données projet'!$A$140,$CQ$205^A89,IF(A89='Données projet'!$A$140,'Données projet'!$B$140,CT88+CS89-DB88)))</f>
        <v>121.79487179487171</v>
      </c>
      <c r="CU89" s="17">
        <f>CT89*VLOOKUP('Données projet'!$B$13,Paramètres!$A$1:$I$89,3,0)*VLOOKUP('Données projet'!$B$13,Paramètres!$A$1:$I$89,5,0)</f>
        <v>98.79999999999994</v>
      </c>
      <c r="CV89" s="13">
        <f t="shared" si="95"/>
        <v>26.675913537633271</v>
      </c>
      <c r="CW89" s="20">
        <f t="shared" si="67"/>
        <v>218.53721607804448</v>
      </c>
      <c r="CX89" s="59">
        <f t="shared" si="68"/>
        <v>508.41077991582995</v>
      </c>
      <c r="CY89" s="59">
        <f ca="1">AVERAGE(OFFSET($CX$3,0,0,'Données projet'!$E$13+1,1))-AVERAGE(OFFSET($H$3,0,0,'Données projet'!$E$13+1,1))</f>
        <v>163.16040389635825</v>
      </c>
      <c r="CZ89" s="59">
        <f t="shared" si="96"/>
        <v>138.57856782158811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4.1850558775645927</v>
      </c>
      <c r="DH89" s="21">
        <f>EXP(-LN(2)/2)*DH88+(1-EXP(-LN(2)/2))/(LN(2)/2)*DB89*DE89*VLOOKUP('Données projet'!$B$13,Paramètres!$A$1:$I$89,3,0)*0.475*44/12</f>
        <v>1.0721985827728031</v>
      </c>
      <c r="DI89" s="22">
        <f t="shared" si="69"/>
        <v>5.2572544603373963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10.192500000000001</v>
      </c>
      <c r="DO89" s="12">
        <f>IF('Données projet'!$A$166&gt;35,DO88+DN89-DW88,IF(A89&lt;'Données projet'!$A$166,$DL$205^A89,IF(A89='Données projet'!$A$166,'Données projet'!$B$166,DO88+DN89-DW88)))</f>
        <v>339.63249999999994</v>
      </c>
      <c r="DP89" s="17">
        <f>DO89*VLOOKUP('Données projet'!$B$14,Paramètres!$A$1:$I$89,3,0)*VLOOKUP('Données projet'!$B$14,Paramètres!$A$1:$I$89,5,0)</f>
        <v>158.94800999999998</v>
      </c>
      <c r="DQ89" s="13">
        <f t="shared" si="97"/>
        <v>40.605145105192584</v>
      </c>
      <c r="DR89" s="20">
        <f t="shared" si="70"/>
        <v>347.55507847487706</v>
      </c>
      <c r="DS89" s="59">
        <f t="shared" si="71"/>
        <v>637.42864231266253</v>
      </c>
      <c r="DT89" s="59">
        <f ca="1">AVERAGE(OFFSET($DS$3,0,0,'Données projet'!$E$14+1,1))-AVERAGE(OFFSET($H$3,0,0,'Données projet'!$E$14+1,1))</f>
        <v>343.44193069803498</v>
      </c>
      <c r="DU89" s="59">
        <f t="shared" si="98"/>
        <v>280.67367019483481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55.657233850658017</v>
      </c>
      <c r="EB89" s="21">
        <f>EXP(-LN(2)/25)*EB88+(1-EXP(-LN(2)/25))/(LN(2)/25)*Calculateur!DW89*Calculateur!DY89*VLOOKUP('Données projet'!$B$14,Paramètres!$A$1:$I$89,3,0)*0.475*44/12</f>
        <v>22.973186045920357</v>
      </c>
      <c r="EC89" s="21">
        <f>EXP(-LN(2)/2)*EC88+(1-EXP(-LN(2)/2))/(LN(2)/2)*DW89*DZ89*VLOOKUP('Données projet'!$B$14,Paramètres!$A$1:$I$89,3,0)*0.475*44/12</f>
        <v>7.2958855246866197</v>
      </c>
      <c r="ED89" s="22">
        <f t="shared" si="72"/>
        <v>85.926305421264999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3.5897435897435912</v>
      </c>
      <c r="EJ89" s="12">
        <f>IF('Données projet'!$A$192&gt;35,EJ88+EI89-ER88,IF(A89&lt;'Données projet'!$A$192,$EG$205^A89,IF(A89='Données projet'!$A$192,'Données projet'!$B$192,EJ88+EI89-ER88)))</f>
        <v>151.66666666666674</v>
      </c>
      <c r="EK89" s="17">
        <f>EJ89*VLOOKUP('Données projet'!$B$15,Paramètres!$A$1:$I$89,3,0)*VLOOKUP('Données projet'!$B$15,Paramètres!$A$1:$I$89,5,0)</f>
        <v>153.79000000000008</v>
      </c>
      <c r="EL89" s="13">
        <f t="shared" si="99"/>
        <v>39.4386219270095</v>
      </c>
      <c r="EM89" s="20">
        <f t="shared" si="73"/>
        <v>336.53984985620832</v>
      </c>
      <c r="EN89" s="59">
        <f t="shared" si="74"/>
        <v>626.41341369399379</v>
      </c>
      <c r="EO89" s="59">
        <f ca="1">AVERAGE(OFFSET($EN$3,0,0,'Données projet'!$E$15+1,1))-AVERAGE(OFFSET($H$3,0,0,'Données projet'!$E$15+1,1))</f>
        <v>270.0029254736703</v>
      </c>
      <c r="EP89" s="59">
        <f t="shared" si="100"/>
        <v>183.80022202211441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6.050420049651196</v>
      </c>
      <c r="EW89" s="21">
        <f>EXP(-LN(2)/25)*EW88+(1-EXP(-LN(2)/25))/(LN(2)/25)*Calculateur!ER89*Calculateur!ET89*VLOOKUP('Données projet'!$B$15,Paramètres!$A$1:$I$89,3,0)*0.475*44/12</f>
        <v>22.888861261751845</v>
      </c>
      <c r="EX89" s="21">
        <f>EXP(-LN(2)/2)*EX88+(1-EXP(-LN(2)/2))/(LN(2)/2)*ER89*EU89*VLOOKUP('Données projet'!$B$15,Paramètres!$A$1:$I$89,3,0)*0.475*44/12</f>
        <v>1.0709345734098072</v>
      </c>
      <c r="EY89" s="22">
        <f t="shared" si="75"/>
        <v>30.010215884812851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-1.4897523215040567E-13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328.93328163316073</v>
      </c>
      <c r="FK89" s="59">
        <f t="shared" si="102"/>
        <v>320.27831321887072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40.913359740281059</v>
      </c>
      <c r="FR89" s="21">
        <f>EXP(-LN(2)/25)*FR88+(1-EXP(-LN(2)/25))/(LN(2)/25)*Calculateur!FM89*Calculateur!FO89*VLOOKUP('Données projet'!$B$16,Paramètres!$A$1:$I$89,3,0)*0.475*44/12</f>
        <v>39.386542668330925</v>
      </c>
      <c r="FS89" s="21">
        <f>EXP(-LN(2)/2)*FS88+(1-EXP(-LN(2)/2))/(LN(2)/2)*FM89*FP89*VLOOKUP('Données projet'!$B$16,Paramètres!$A$1:$I$89,3,0)*0.475*44/12</f>
        <v>7.1345011274167538</v>
      </c>
      <c r="FT89" s="22">
        <f t="shared" si="78"/>
        <v>87.434403536028739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3.5897435897435912</v>
      </c>
      <c r="FZ89" s="12">
        <f>IF('Données projet'!$A$244&gt;35,FZ88+FY89-GH88,IF(A89&lt;'Données projet'!$A$244,$FW$205^A89,IF(A89='Données projet'!$A$244,'Données projet'!$B$244,FZ88+FY89-GH88)))</f>
        <v>151.66666666666674</v>
      </c>
      <c r="GA89" s="17">
        <f>FZ89*VLOOKUP('Données projet'!$B$17,Paramètres!$A$1:$I$89,3,0)*VLOOKUP('Données projet'!$B$17,Paramètres!$A$1:$I$89,5,0)</f>
        <v>101.73800000000006</v>
      </c>
      <c r="GB89" s="13">
        <f t="shared" si="103"/>
        <v>27.375635943299255</v>
      </c>
      <c r="GC89" s="20">
        <f t="shared" si="79"/>
        <v>224.87291593457962</v>
      </c>
      <c r="GD89" s="59">
        <f t="shared" si="80"/>
        <v>514.74647977236509</v>
      </c>
      <c r="GE89" s="59">
        <f ca="1">AVERAGE(OFFSET($GD$3,0,0,'Données projet'!$E$17+1,1))-AVERAGE(OFFSET($H$3,0,0,'Données projet'!$E$17+1,1))</f>
        <v>192.88444860121191</v>
      </c>
      <c r="GF89" s="59">
        <f t="shared" si="104"/>
        <v>136.13737493732751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4.9334194251002064</v>
      </c>
      <c r="GM89" s="21">
        <f>EXP(-LN(2)/25)*GM88+(1-EXP(-LN(2)/25))/(LN(2)/25)*Calculateur!GH89*Calculateur!GJ89*VLOOKUP('Données projet'!$B$17,Paramètres!$A$1:$I$89,3,0)*0.475*44/12</f>
        <v>18.663225336505356</v>
      </c>
      <c r="GN89" s="21">
        <f>EXP(-LN(2)/2)*GN88+(1-EXP(-LN(2)/2))/(LN(2)/2)*GH89*GK89*VLOOKUP('Données projet'!$B$17,Paramètres!$A$1:$I$89,3,0)*0.475*44/12</f>
        <v>0.70846441010187244</v>
      </c>
      <c r="GO89" s="21">
        <f t="shared" si="81"/>
        <v>24.305109171707432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69.056426501214219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0.85000000000000009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3.1166666666666671</v>
      </c>
      <c r="H90" s="67">
        <f t="shared" si="56"/>
        <v>244.19999999999996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906.560100737433</v>
      </c>
      <c r="S90" s="59">
        <f ca="1">AVERAGE(OFFSET($R$3,0,0,'Données projet'!$E$9+1,1))-AVERAGE(OFFSET($H$3,0,0,'Données projet'!$E$9+1,1))</f>
        <v>643.492472896403</v>
      </c>
      <c r="T90" s="59">
        <f t="shared" si="88"/>
        <v>285.0259479655341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-2.8421709430404007E-13</v>
      </c>
      <c r="AJ90" s="13">
        <f>AI90*VLOOKUP('Données projet'!$B$10,Paramètres!$A$1:$I$89,3,0)*VLOOKUP('Données projet'!$B$10,Paramètres!$A$1:$I$89,5,0)</f>
        <v>-2.2168933355715128E-13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289.89907502443873</v>
      </c>
      <c r="AO90" s="59">
        <f t="shared" si="90"/>
        <v>267.42183550360301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28.063771479101323</v>
      </c>
      <c r="AV90" s="21">
        <f>EXP(-LN(2)/25)*AV89+(1-EXP(-LN(2)/25))/(LN(2)/25)*Calculateur!AQ90*Calculateur!AS90*VLOOKUP('Données projet'!$B$10,Paramètres!$A$1:$I$89,3,0)*0.475*44/12</f>
        <v>28.097519179367527</v>
      </c>
      <c r="AW90" s="21">
        <f>EXP(-LN(2)/2)*AW89+(1-EXP(-LN(2)/2))/(LN(2)/2)*AQ90*AT90*VLOOKUP('Données projet'!$B$10,Paramètres!$A$1:$I$89,3,0)*0.475*44/12</f>
        <v>0.83522622903864063</v>
      </c>
      <c r="AX90" s="21">
        <f t="shared" si="60"/>
        <v>56.996516887507489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2.0512820512820524</v>
      </c>
      <c r="BD90" s="12">
        <f>IF('Données projet'!$A$88&gt;35,BD89+BC90-BL89,IF(A90&lt;'Données projet'!$A$88,$BA$205^A90,IF(A90='Données projet'!$A$88,'Données projet'!$B$88,BD89+BC90-BL89)))</f>
        <v>95.769230769230731</v>
      </c>
      <c r="BE90" s="13">
        <f>BD90*VLOOKUP('Données projet'!$B$11,Paramètres!$A$1:$I$89,3,0)*VLOOKUP('Données projet'!$B$11,Paramètres!$A$1:$I$89,5,0)</f>
        <v>92.627999999999972</v>
      </c>
      <c r="BF90" s="13">
        <f t="shared" si="91"/>
        <v>25.197969715925712</v>
      </c>
      <c r="BG90" s="20">
        <f t="shared" si="61"/>
        <v>205.2135639219039</v>
      </c>
      <c r="BH90" s="59">
        <f t="shared" si="62"/>
        <v>495.14714702555125</v>
      </c>
      <c r="BI90" s="59">
        <f ca="1">AVERAGE(OFFSET($BH$3,0,0,'Données projet'!$E$11+1,1))-AVERAGE(OFFSET($H$3,0,0,'Données projet'!$E$11+1,1))</f>
        <v>177.54241137663234</v>
      </c>
      <c r="BJ90" s="59">
        <f t="shared" si="92"/>
        <v>114.71095021456071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13.585389435718053</v>
      </c>
      <c r="BR90" s="21">
        <f>EXP(-LN(2)/2)*BR89+(1-EXP(-LN(2)/2))/(LN(2)/2)*BL90*BO90*VLOOKUP('Données projet'!$B$11,Paramètres!$A$1:$I$89,3,0)*0.475*44/12</f>
        <v>0.64176517185474768</v>
      </c>
      <c r="BS90" s="22">
        <f t="shared" si="63"/>
        <v>14.2271546075728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2.0512820512820524</v>
      </c>
      <c r="BY90" s="12">
        <f>IF('Données projet'!$A$114&gt;35,BY89+BX90-CG89,IF(A90&lt;'Données projet'!$A$114,$BV$205^A90,IF(A90='Données projet'!$A$114,'Données projet'!$B$114,BY89+BX90-CG89)))</f>
        <v>95.769230769230731</v>
      </c>
      <c r="BZ90" s="13">
        <f>BY90*VLOOKUP('Données projet'!$B$12,Paramètres!$A$1:$I$89,3,0)*VLOOKUP('Données projet'!$B$12,Paramètres!$A$1:$I$89,5,0)</f>
        <v>103.08599999999994</v>
      </c>
      <c r="CA90" s="13">
        <f t="shared" si="93"/>
        <v>27.695888962687679</v>
      </c>
      <c r="CB90" s="20">
        <f t="shared" si="64"/>
        <v>227.77845661001425</v>
      </c>
      <c r="CC90" s="59">
        <f t="shared" si="65"/>
        <v>517.71203971366162</v>
      </c>
      <c r="CD90" s="59">
        <f ca="1">AVERAGE(OFFSET($CC$3,0,0,'Données projet'!$E$12+1,1))-AVERAGE(OFFSET($H$3,0,0,'Données projet'!$E$12+1,1))</f>
        <v>192.88977161349993</v>
      </c>
      <c r="CE90" s="59">
        <f t="shared" si="94"/>
        <v>122.91376861456772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15.119223726847508</v>
      </c>
      <c r="CM90" s="21">
        <f>EXP(-LN(2)/2)*CM89+(1-EXP(-LN(2)/2))/(LN(2)/2)*CG90*CJ90*VLOOKUP('Données projet'!$B$12,Paramètres!$A$1:$I$89,3,0)*0.475*44/12</f>
        <v>0.71422252996738045</v>
      </c>
      <c r="CN90" s="22">
        <f t="shared" si="66"/>
        <v>15.833446256814888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1.9230769230769227</v>
      </c>
      <c r="CT90" s="12">
        <f>IF('Données projet'!$A$140&gt;35,CT89+CS90-DB89,IF(A90&lt;'Données projet'!$A$140,$CQ$205^A90,IF(A90='Données projet'!$A$140,'Données projet'!$B$140,CT89+CS90-DB89)))</f>
        <v>123.71794871794863</v>
      </c>
      <c r="CU90" s="17">
        <f>CT90*VLOOKUP('Données projet'!$B$13,Paramètres!$A$1:$I$89,3,0)*VLOOKUP('Données projet'!$B$13,Paramètres!$A$1:$I$89,5,0)</f>
        <v>100.35999999999993</v>
      </c>
      <c r="CV90" s="13">
        <f t="shared" si="95"/>
        <v>27.047744638609704</v>
      </c>
      <c r="CW90" s="20">
        <f t="shared" si="67"/>
        <v>221.90182191224508</v>
      </c>
      <c r="CX90" s="59">
        <f t="shared" si="68"/>
        <v>511.83540501589243</v>
      </c>
      <c r="CY90" s="59">
        <f ca="1">AVERAGE(OFFSET($CX$3,0,0,'Données projet'!$E$13+1,1))-AVERAGE(OFFSET($H$3,0,0,'Données projet'!$E$13+1,1))</f>
        <v>163.16040389635825</v>
      </c>
      <c r="CZ90" s="59">
        <f t="shared" si="96"/>
        <v>138.57856782158811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4.0706153045100653</v>
      </c>
      <c r="DH90" s="21">
        <f>EXP(-LN(2)/2)*DH89+(1-EXP(-LN(2)/2))/(LN(2)/2)*DB90*DE90*VLOOKUP('Données projet'!$B$13,Paramètres!$A$1:$I$89,3,0)*0.475*44/12</f>
        <v>0.75815888865725489</v>
      </c>
      <c r="DI90" s="22">
        <f t="shared" si="69"/>
        <v>4.8287741931673205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10.192500000000001</v>
      </c>
      <c r="DO90" s="12">
        <f>IF('Données projet'!$A$166&gt;35,DO89+DN90-DW89,IF(A90&lt;'Données projet'!$A$166,$DL$205^A90,IF(A90='Données projet'!$A$166,'Données projet'!$B$166,DO89+DN90-DW89)))</f>
        <v>349.82499999999993</v>
      </c>
      <c r="DP90" s="17">
        <f>DO90*VLOOKUP('Données projet'!$B$14,Paramètres!$A$1:$I$89,3,0)*VLOOKUP('Données projet'!$B$14,Paramètres!$A$1:$I$89,5,0)</f>
        <v>163.71809999999996</v>
      </c>
      <c r="DQ90" s="13">
        <f t="shared" si="97"/>
        <v>41.680018719903437</v>
      </c>
      <c r="DR90" s="20">
        <f t="shared" si="70"/>
        <v>357.73505677049843</v>
      </c>
      <c r="DS90" s="59">
        <f t="shared" si="71"/>
        <v>647.66863987414581</v>
      </c>
      <c r="DT90" s="59">
        <f ca="1">AVERAGE(OFFSET($DS$3,0,0,'Données projet'!$E$14+1,1))-AVERAGE(OFFSET($H$3,0,0,'Données projet'!$E$14+1,1))</f>
        <v>343.44193069803498</v>
      </c>
      <c r="DU90" s="59">
        <f t="shared" si="98"/>
        <v>280.67367019483481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54.565829442407221</v>
      </c>
      <c r="EB90" s="21">
        <f>EXP(-LN(2)/25)*EB89+(1-EXP(-LN(2)/25))/(LN(2)/25)*Calculateur!DW90*Calculateur!DY90*VLOOKUP('Données projet'!$B$14,Paramètres!$A$1:$I$89,3,0)*0.475*44/12</f>
        <v>22.344983065387318</v>
      </c>
      <c r="EC90" s="21">
        <f>EXP(-LN(2)/2)*EC89+(1-EXP(-LN(2)/2))/(LN(2)/2)*DW90*DZ90*VLOOKUP('Données projet'!$B$14,Paramètres!$A$1:$I$89,3,0)*0.475*44/12</f>
        <v>5.158970129266681</v>
      </c>
      <c r="ED90" s="22">
        <f t="shared" si="72"/>
        <v>82.069782637061209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3.5897435897435912</v>
      </c>
      <c r="EJ90" s="12">
        <f>IF('Données projet'!$A$192&gt;35,EJ89+EI90-ER89,IF(A90&lt;'Données projet'!$A$192,$EG$205^A90,IF(A90='Données projet'!$A$192,'Données projet'!$B$192,EJ89+EI90-ER89)))</f>
        <v>155.25641025641033</v>
      </c>
      <c r="EK90" s="17">
        <f>EJ90*VLOOKUP('Données projet'!$B$15,Paramètres!$A$1:$I$89,3,0)*VLOOKUP('Données projet'!$B$15,Paramètres!$A$1:$I$89,5,0)</f>
        <v>157.43000000000009</v>
      </c>
      <c r="EL90" s="13">
        <f t="shared" si="99"/>
        <v>40.262299568142438</v>
      </c>
      <c r="EM90" s="20">
        <f t="shared" si="73"/>
        <v>344.31408841451486</v>
      </c>
      <c r="EN90" s="59">
        <f t="shared" si="74"/>
        <v>634.24767151816218</v>
      </c>
      <c r="EO90" s="59">
        <f ca="1">AVERAGE(OFFSET($EN$3,0,0,'Données projet'!$E$15+1,1))-AVERAGE(OFFSET($H$3,0,0,'Données projet'!$E$15+1,1))</f>
        <v>270.0029254736703</v>
      </c>
      <c r="EP90" s="59">
        <f t="shared" si="100"/>
        <v>183.80022202211441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5.9317750028693705</v>
      </c>
      <c r="EW90" s="21">
        <f>EXP(-LN(2)/25)*EW89+(1-EXP(-LN(2)/25))/(LN(2)/25)*Calculateur!ER90*Calculateur!ET90*VLOOKUP('Données projet'!$B$15,Paramètres!$A$1:$I$89,3,0)*0.475*44/12</f>
        <v>22.262964146876342</v>
      </c>
      <c r="EX90" s="21">
        <f>EXP(-LN(2)/2)*EX89+(1-EXP(-LN(2)/2))/(LN(2)/2)*ER90*EU90*VLOOKUP('Données projet'!$B$15,Paramètres!$A$1:$I$89,3,0)*0.475*44/12</f>
        <v>0.75726509906519723</v>
      </c>
      <c r="EY90" s="22">
        <f t="shared" si="75"/>
        <v>28.952004248810912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-1.4897523215040567E-13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328.93328163316073</v>
      </c>
      <c r="FK90" s="59">
        <f t="shared" si="102"/>
        <v>320.27831321887072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40.111073710459522</v>
      </c>
      <c r="FR90" s="21">
        <f>EXP(-LN(2)/25)*FR89+(1-EXP(-LN(2)/25))/(LN(2)/25)*Calculateur!FM90*Calculateur!FO90*VLOOKUP('Données projet'!$B$16,Paramètres!$A$1:$I$89,3,0)*0.475*44/12</f>
        <v>38.30951558781716</v>
      </c>
      <c r="FS90" s="21">
        <f>EXP(-LN(2)/2)*FS89+(1-EXP(-LN(2)/2))/(LN(2)/2)*FM90*FP90*VLOOKUP('Données projet'!$B$16,Paramètres!$A$1:$I$89,3,0)*0.475*44/12</f>
        <v>5.0448541275794554</v>
      </c>
      <c r="FT90" s="22">
        <f t="shared" si="78"/>
        <v>83.465443425856137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3.5897435897435912</v>
      </c>
      <c r="FZ90" s="12">
        <f>IF('Données projet'!$A$244&gt;35,FZ89+FY90-GH89,IF(A90&lt;'Données projet'!$A$244,$FW$205^A90,IF(A90='Données projet'!$A$244,'Données projet'!$B$244,FZ89+FY90-GH89)))</f>
        <v>155.25641025641033</v>
      </c>
      <c r="GA90" s="17">
        <f>FZ90*VLOOKUP('Données projet'!$B$17,Paramètres!$A$1:$I$89,3,0)*VLOOKUP('Données projet'!$B$17,Paramètres!$A$1:$I$89,5,0)</f>
        <v>104.14600000000006</v>
      </c>
      <c r="GB90" s="13">
        <f t="shared" si="103"/>
        <v>27.947377503641359</v>
      </c>
      <c r="GC90" s="20">
        <f t="shared" si="79"/>
        <v>230.06263248550883</v>
      </c>
      <c r="GD90" s="59">
        <f t="shared" si="80"/>
        <v>519.99621558915612</v>
      </c>
      <c r="GE90" s="59">
        <f ca="1">AVERAGE(OFFSET($GD$3,0,0,'Données projet'!$E$17+1,1))-AVERAGE(OFFSET($H$3,0,0,'Données projet'!$E$17+1,1))</f>
        <v>192.88444860121191</v>
      </c>
      <c r="GF90" s="59">
        <f t="shared" si="104"/>
        <v>136.13737493732751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4.8366780792627182</v>
      </c>
      <c r="GM90" s="21">
        <f>EXP(-LN(2)/25)*GM89+(1-EXP(-LN(2)/25))/(LN(2)/25)*Calculateur!GH90*Calculateur!GJ90*VLOOKUP('Données projet'!$B$17,Paramètres!$A$1:$I$89,3,0)*0.475*44/12</f>
        <v>18.152878458222251</v>
      </c>
      <c r="GN90" s="21">
        <f>EXP(-LN(2)/2)*GN89+(1-EXP(-LN(2)/2))/(LN(2)/2)*GH90*GK90*VLOOKUP('Données projet'!$B$17,Paramètres!$A$1:$I$89,3,0)*0.475*44/12</f>
        <v>0.50095998861236124</v>
      </c>
      <c r="GO90" s="21">
        <f t="shared" si="81"/>
        <v>23.490516526097331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69.072795391903824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0.85000000000000009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3.1166666666666671</v>
      </c>
      <c r="H91" s="67">
        <f t="shared" si="56"/>
        <v>244.19999999999996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924.11684565946314</v>
      </c>
      <c r="S91" s="59">
        <f ca="1">AVERAGE(OFFSET($R$3,0,0,'Données projet'!$E$9+1,1))-AVERAGE(OFFSET($H$3,0,0,'Données projet'!$E$9+1,1))</f>
        <v>643.492472896403</v>
      </c>
      <c r="T91" s="59">
        <f t="shared" si="88"/>
        <v>285.0259479655341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-2.8421709430404007E-13</v>
      </c>
      <c r="AJ91" s="13">
        <f>AI91*VLOOKUP('Données projet'!$B$10,Paramètres!$A$1:$I$89,3,0)*VLOOKUP('Données projet'!$B$10,Paramètres!$A$1:$I$89,5,0)</f>
        <v>-2.2168933355715128E-13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289.89907502443873</v>
      </c>
      <c r="AO91" s="59">
        <f t="shared" si="90"/>
        <v>267.42183550360301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27.513458037606565</v>
      </c>
      <c r="AV91" s="21">
        <f>EXP(-LN(2)/25)*AV90+(1-EXP(-LN(2)/25))/(LN(2)/25)*Calculateur!AQ91*Calculateur!AS91*VLOOKUP('Données projet'!$B$10,Paramètres!$A$1:$I$89,3,0)*0.475*44/12</f>
        <v>27.329191039823407</v>
      </c>
      <c r="AW91" s="21">
        <f>EXP(-LN(2)/2)*AW90+(1-EXP(-LN(2)/2))/(LN(2)/2)*AQ91*AT91*VLOOKUP('Données projet'!$B$10,Paramètres!$A$1:$I$89,3,0)*0.475*44/12</f>
        <v>0.59059413037809128</v>
      </c>
      <c r="AX91" s="21">
        <f t="shared" si="60"/>
        <v>55.433243207808061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2.0512820512820524</v>
      </c>
      <c r="BD91" s="12">
        <f>IF('Données projet'!$A$88&gt;35,BD90+BC91-BL90,IF(A91&lt;'Données projet'!$A$88,$BA$205^A91,IF(A91='Données projet'!$A$88,'Données projet'!$B$88,BD90+BC91-BL90)))</f>
        <v>97.820512820512789</v>
      </c>
      <c r="BE91" s="13">
        <f>BD91*VLOOKUP('Données projet'!$B$11,Paramètres!$A$1:$I$89,3,0)*VLOOKUP('Données projet'!$B$11,Paramètres!$A$1:$I$89,5,0)</f>
        <v>94.611999999999981</v>
      </c>
      <c r="BF91" s="13">
        <f t="shared" si="91"/>
        <v>25.67427257306754</v>
      </c>
      <c r="BG91" s="20">
        <f t="shared" si="61"/>
        <v>209.49859139809257</v>
      </c>
      <c r="BH91" s="59">
        <f t="shared" si="62"/>
        <v>499.49115256752214</v>
      </c>
      <c r="BI91" s="59">
        <f ca="1">AVERAGE(OFFSET($BH$3,0,0,'Données projet'!$E$11+1,1))-AVERAGE(OFFSET($H$3,0,0,'Données projet'!$E$11+1,1))</f>
        <v>177.54241137663234</v>
      </c>
      <c r="BJ91" s="59">
        <f t="shared" si="92"/>
        <v>114.71095021456071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13.213896247173762</v>
      </c>
      <c r="BR91" s="21">
        <f>EXP(-LN(2)/2)*BR90+(1-EXP(-LN(2)/2))/(LN(2)/2)*BL91*BO91*VLOOKUP('Données projet'!$B$11,Paramètres!$A$1:$I$89,3,0)*0.475*44/12</f>
        <v>0.45379650494784218</v>
      </c>
      <c r="BS91" s="22">
        <f t="shared" si="63"/>
        <v>13.667692752121605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2.0512820512820524</v>
      </c>
      <c r="BY91" s="12">
        <f>IF('Données projet'!$A$114&gt;35,BY90+BX91-CG90,IF(A91&lt;'Données projet'!$A$114,$BV$205^A91,IF(A91='Données projet'!$A$114,'Données projet'!$B$114,BY90+BX91-CG90)))</f>
        <v>97.820512820512789</v>
      </c>
      <c r="BZ91" s="13">
        <f>BY91*VLOOKUP('Données projet'!$B$12,Paramètres!$A$1:$I$89,3,0)*VLOOKUP('Données projet'!$B$12,Paramètres!$A$1:$I$89,5,0)</f>
        <v>105.29399999999995</v>
      </c>
      <c r="CA91" s="13">
        <f t="shared" si="93"/>
        <v>28.219408563382867</v>
      </c>
      <c r="CB91" s="20">
        <f t="shared" si="64"/>
        <v>232.53585324789174</v>
      </c>
      <c r="CC91" s="59">
        <f t="shared" si="65"/>
        <v>522.5284144173213</v>
      </c>
      <c r="CD91" s="59">
        <f ca="1">AVERAGE(OFFSET($CC$3,0,0,'Données projet'!$E$12+1,1))-AVERAGE(OFFSET($H$3,0,0,'Données projet'!$E$12+1,1))</f>
        <v>192.88977161349993</v>
      </c>
      <c r="CE91" s="59">
        <f t="shared" si="94"/>
        <v>122.91376861456772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14.705787758951443</v>
      </c>
      <c r="CM91" s="21">
        <f>EXP(-LN(2)/2)*CM90+(1-EXP(-LN(2)/2))/(LN(2)/2)*CG91*CJ91*VLOOKUP('Données projet'!$B$12,Paramètres!$A$1:$I$89,3,0)*0.475*44/12</f>
        <v>0.50503159421614685</v>
      </c>
      <c r="CN91" s="22">
        <f t="shared" si="66"/>
        <v>15.21081935316759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1.9230769230769227</v>
      </c>
      <c r="CT91" s="12">
        <f>IF('Données projet'!$A$140&gt;35,CT90+CS91-DB90,IF(A91&lt;'Données projet'!$A$140,$CQ$205^A91,IF(A91='Données projet'!$A$140,'Données projet'!$B$140,CT90+CS91-DB90)))</f>
        <v>125.64102564102555</v>
      </c>
      <c r="CU91" s="17">
        <f>CT91*VLOOKUP('Données projet'!$B$13,Paramètres!$A$1:$I$89,3,0)*VLOOKUP('Données projet'!$B$13,Paramètres!$A$1:$I$89,5,0)</f>
        <v>101.91999999999993</v>
      </c>
      <c r="CV91" s="13">
        <f t="shared" si="95"/>
        <v>27.418903555387619</v>
      </c>
      <c r="CW91" s="20">
        <f t="shared" si="67"/>
        <v>225.2652570256333</v>
      </c>
      <c r="CX91" s="59">
        <f t="shared" si="68"/>
        <v>515.2578181950629</v>
      </c>
      <c r="CY91" s="59">
        <f ca="1">AVERAGE(OFFSET($CX$3,0,0,'Données projet'!$E$13+1,1))-AVERAGE(OFFSET($H$3,0,0,'Données projet'!$E$13+1,1))</f>
        <v>163.16040389635825</v>
      </c>
      <c r="CZ91" s="59">
        <f t="shared" si="96"/>
        <v>138.57856782158811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3.9593041149438823</v>
      </c>
      <c r="DH91" s="21">
        <f>EXP(-LN(2)/2)*DH90+(1-EXP(-LN(2)/2))/(LN(2)/2)*DB91*DE91*VLOOKUP('Données projet'!$B$13,Paramètres!$A$1:$I$89,3,0)*0.475*44/12</f>
        <v>0.53609929138640167</v>
      </c>
      <c r="DI91" s="22">
        <f t="shared" si="69"/>
        <v>4.4954034063302837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10.192500000000001</v>
      </c>
      <c r="DO91" s="12">
        <f>IF('Données projet'!$A$166&gt;35,DO90+DN91-DW90,IF(A91&lt;'Données projet'!$A$166,$DL$205^A91,IF(A91='Données projet'!$A$166,'Données projet'!$B$166,DO90+DN91-DW90)))</f>
        <v>360.01749999999993</v>
      </c>
      <c r="DP91" s="17">
        <f>DO91*VLOOKUP('Données projet'!$B$14,Paramètres!$A$1:$I$89,3,0)*VLOOKUP('Données projet'!$B$14,Paramètres!$A$1:$I$89,5,0)</f>
        <v>168.48818999999997</v>
      </c>
      <c r="DQ91" s="13">
        <f t="shared" si="97"/>
        <v>42.751252606373484</v>
      </c>
      <c r="DR91" s="20">
        <f t="shared" si="70"/>
        <v>367.90869587276711</v>
      </c>
      <c r="DS91" s="59">
        <f t="shared" si="71"/>
        <v>657.90125704219668</v>
      </c>
      <c r="DT91" s="59">
        <f ca="1">AVERAGE(OFFSET($DS$3,0,0,'Données projet'!$E$14+1,1))-AVERAGE(OFFSET($H$3,0,0,'Données projet'!$E$14+1,1))</f>
        <v>343.44193069803498</v>
      </c>
      <c r="DU91" s="59">
        <f t="shared" si="98"/>
        <v>280.67367019483481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53.495826808911261</v>
      </c>
      <c r="EB91" s="21">
        <f>EXP(-LN(2)/25)*EB90+(1-EXP(-LN(2)/25))/(LN(2)/25)*Calculateur!DW91*Calculateur!DY91*VLOOKUP('Données projet'!$B$14,Paramètres!$A$1:$I$89,3,0)*0.475*44/12</f>
        <v>21.733958328392713</v>
      </c>
      <c r="EC91" s="21">
        <f>EXP(-LN(2)/2)*EC90+(1-EXP(-LN(2)/2))/(LN(2)/2)*DW91*DZ91*VLOOKUP('Données projet'!$B$14,Paramètres!$A$1:$I$89,3,0)*0.475*44/12</f>
        <v>3.6479427623433098</v>
      </c>
      <c r="ED91" s="22">
        <f t="shared" si="72"/>
        <v>78.877727899647283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3.5897435897435912</v>
      </c>
      <c r="EJ91" s="12">
        <f>IF('Données projet'!$A$192&gt;35,EJ90+EI91-ER90,IF(A91&lt;'Données projet'!$A$192,$EG$205^A91,IF(A91='Données projet'!$A$192,'Données projet'!$B$192,EJ90+EI91-ER90)))</f>
        <v>158.84615384615392</v>
      </c>
      <c r="EK91" s="17">
        <f>EJ91*VLOOKUP('Données projet'!$B$15,Paramètres!$A$1:$I$89,3,0)*VLOOKUP('Données projet'!$B$15,Paramètres!$A$1:$I$89,5,0)</f>
        <v>161.07000000000011</v>
      </c>
      <c r="EL91" s="13">
        <f t="shared" si="99"/>
        <v>41.083763193241431</v>
      </c>
      <c r="EM91" s="20">
        <f t="shared" si="73"/>
        <v>352.08447089489567</v>
      </c>
      <c r="EN91" s="59">
        <f t="shared" si="74"/>
        <v>642.07703206432529</v>
      </c>
      <c r="EO91" s="59">
        <f ca="1">AVERAGE(OFFSET($EN$3,0,0,'Données projet'!$E$15+1,1))-AVERAGE(OFFSET($H$3,0,0,'Données projet'!$E$15+1,1))</f>
        <v>270.0029254736703</v>
      </c>
      <c r="EP91" s="59">
        <f t="shared" si="100"/>
        <v>183.80022202211441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5.8154565130886038</v>
      </c>
      <c r="EW91" s="21">
        <f>EXP(-LN(2)/25)*EW90+(1-EXP(-LN(2)/25))/(LN(2)/25)*Calculateur!ER91*Calculateur!ET91*VLOOKUP('Données projet'!$B$15,Paramètres!$A$1:$I$89,3,0)*0.475*44/12</f>
        <v>21.654182221521609</v>
      </c>
      <c r="EX91" s="21">
        <f>EXP(-LN(2)/2)*EX90+(1-EXP(-LN(2)/2))/(LN(2)/2)*ER91*EU91*VLOOKUP('Données projet'!$B$15,Paramètres!$A$1:$I$89,3,0)*0.475*44/12</f>
        <v>0.53546728670490373</v>
      </c>
      <c r="EY91" s="22">
        <f t="shared" si="75"/>
        <v>28.005106021315118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-1.4897523215040567E-13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328.93328163316073</v>
      </c>
      <c r="FK91" s="59">
        <f t="shared" si="102"/>
        <v>320.27831321887072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39.324520020336621</v>
      </c>
      <c r="FR91" s="21">
        <f>EXP(-LN(2)/25)*FR90+(1-EXP(-LN(2)/25))/(LN(2)/25)*Calculateur!FM91*Calculateur!FO91*VLOOKUP('Données projet'!$B$16,Paramètres!$A$1:$I$89,3,0)*0.475*44/12</f>
        <v>37.261939869458431</v>
      </c>
      <c r="FS91" s="21">
        <f>EXP(-LN(2)/2)*FS90+(1-EXP(-LN(2)/2))/(LN(2)/2)*FM91*FP91*VLOOKUP('Données projet'!$B$16,Paramètres!$A$1:$I$89,3,0)*0.475*44/12</f>
        <v>3.5672505637083773</v>
      </c>
      <c r="FT91" s="22">
        <f t="shared" si="78"/>
        <v>80.153710453503436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3.5897435897435912</v>
      </c>
      <c r="FZ91" s="12">
        <f>IF('Données projet'!$A$244&gt;35,FZ90+FY91-GH90,IF(A91&lt;'Données projet'!$A$244,$FW$205^A91,IF(A91='Données projet'!$A$244,'Données projet'!$B$244,FZ90+FY91-GH90)))</f>
        <v>158.84615384615392</v>
      </c>
      <c r="GA91" s="17">
        <f>FZ91*VLOOKUP('Données projet'!$B$17,Paramètres!$A$1:$I$89,3,0)*VLOOKUP('Données projet'!$B$17,Paramètres!$A$1:$I$89,5,0)</f>
        <v>106.55400000000004</v>
      </c>
      <c r="GB91" s="13">
        <f t="shared" si="103"/>
        <v>28.517582243122174</v>
      </c>
      <c r="GC91" s="20">
        <f t="shared" si="79"/>
        <v>235.2496724067712</v>
      </c>
      <c r="GD91" s="59">
        <f t="shared" si="80"/>
        <v>525.24223357620076</v>
      </c>
      <c r="GE91" s="59">
        <f ca="1">AVERAGE(OFFSET($GD$3,0,0,'Données projet'!$E$17+1,1))-AVERAGE(OFFSET($H$3,0,0,'Données projet'!$E$17+1,1))</f>
        <v>192.88444860121191</v>
      </c>
      <c r="GF91" s="59">
        <f t="shared" si="104"/>
        <v>136.13737493732751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4.7418337722107085</v>
      </c>
      <c r="GM91" s="21">
        <f>EXP(-LN(2)/25)*GM90+(1-EXP(-LN(2)/25))/(LN(2)/25)*Calculateur!GH91*Calculateur!GJ91*VLOOKUP('Données projet'!$B$17,Paramètres!$A$1:$I$89,3,0)*0.475*44/12</f>
        <v>17.656487042163775</v>
      </c>
      <c r="GN91" s="21">
        <f>EXP(-LN(2)/2)*GN90+(1-EXP(-LN(2)/2))/(LN(2)/2)*GH91*GK91*VLOOKUP('Données projet'!$B$17,Paramètres!$A$1:$I$89,3,0)*0.475*44/12</f>
        <v>0.35423220505093628</v>
      </c>
      <c r="GO91" s="21">
        <f t="shared" si="81"/>
        <v>22.75255301942542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69.088880318935338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0.85000000000000009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3.1166666666666671</v>
      </c>
      <c r="H92" s="67">
        <f t="shared" si="56"/>
        <v>244.19999999999996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941.66258992095027</v>
      </c>
      <c r="S92" s="59">
        <f ca="1">AVERAGE(OFFSET($R$3,0,0,'Données projet'!$E$9+1,1))-AVERAGE(OFFSET($H$3,0,0,'Données projet'!$E$9+1,1))</f>
        <v>643.492472896403</v>
      </c>
      <c r="T92" s="59">
        <f t="shared" si="88"/>
        <v>285.0259479655341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-2.8421709430404007E-13</v>
      </c>
      <c r="AJ92" s="13">
        <f>AI92*VLOOKUP('Données projet'!$B$10,Paramètres!$A$1:$I$89,3,0)*VLOOKUP('Données projet'!$B$10,Paramètres!$A$1:$I$89,5,0)</f>
        <v>-2.2168933355715128E-13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289.89907502443873</v>
      </c>
      <c r="AO92" s="59">
        <f t="shared" si="90"/>
        <v>267.42183550360301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26.973935907041461</v>
      </c>
      <c r="AV92" s="21">
        <f>EXP(-LN(2)/25)*AV91+(1-EXP(-LN(2)/25))/(LN(2)/25)*Calculateur!AQ92*Calculateur!AS92*VLOOKUP('Données projet'!$B$10,Paramètres!$A$1:$I$89,3,0)*0.475*44/12</f>
        <v>26.581872873659741</v>
      </c>
      <c r="AW92" s="21">
        <f>EXP(-LN(2)/2)*AW91+(1-EXP(-LN(2)/2))/(LN(2)/2)*AQ92*AT92*VLOOKUP('Données projet'!$B$10,Paramètres!$A$1:$I$89,3,0)*0.475*44/12</f>
        <v>0.41761311451932032</v>
      </c>
      <c r="AX92" s="21">
        <f t="shared" si="60"/>
        <v>53.973421895220518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2.0512820512820524</v>
      </c>
      <c r="BD92" s="12">
        <f>IF('Données projet'!$A$88&gt;35,BD91+BC92-BL91,IF(A92&lt;'Données projet'!$A$88,$BA$205^A92,IF(A92='Données projet'!$A$88,'Données projet'!$B$88,BD91+BC92-BL91)))</f>
        <v>99.871794871794847</v>
      </c>
      <c r="BE92" s="13">
        <f>BD92*VLOOKUP('Données projet'!$B$11,Paramètres!$A$1:$I$89,3,0)*VLOOKUP('Données projet'!$B$11,Paramètres!$A$1:$I$89,5,0)</f>
        <v>96.595999999999975</v>
      </c>
      <c r="BF92" s="13">
        <f t="shared" si="91"/>
        <v>26.14941415452644</v>
      </c>
      <c r="BG92" s="20">
        <f t="shared" si="61"/>
        <v>213.78159631913351</v>
      </c>
      <c r="BH92" s="59">
        <f t="shared" si="62"/>
        <v>503.83211241675917</v>
      </c>
      <c r="BI92" s="59">
        <f ca="1">AVERAGE(OFFSET($BH$3,0,0,'Données projet'!$E$11+1,1))-AVERAGE(OFFSET($H$3,0,0,'Données projet'!$E$11+1,1))</f>
        <v>177.54241137663234</v>
      </c>
      <c r="BJ92" s="59">
        <f t="shared" si="92"/>
        <v>114.71095021456071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12.852561559406192</v>
      </c>
      <c r="BR92" s="21">
        <f>EXP(-LN(2)/2)*BR91+(1-EXP(-LN(2)/2))/(LN(2)/2)*BL92*BO92*VLOOKUP('Données projet'!$B$11,Paramètres!$A$1:$I$89,3,0)*0.475*44/12</f>
        <v>0.3208825859273739</v>
      </c>
      <c r="BS92" s="22">
        <f t="shared" si="63"/>
        <v>13.173444145333566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2.0512820512820524</v>
      </c>
      <c r="BY92" s="12">
        <f>IF('Données projet'!$A$114&gt;35,BY91+BX92-CG91,IF(A92&lt;'Données projet'!$A$114,$BV$205^A92,IF(A92='Données projet'!$A$114,'Données projet'!$B$114,BY91+BX92-CG91)))</f>
        <v>99.871794871794847</v>
      </c>
      <c r="BZ92" s="13">
        <f>BY92*VLOOKUP('Données projet'!$B$12,Paramètres!$A$1:$I$89,3,0)*VLOOKUP('Données projet'!$B$12,Paramètres!$A$1:$I$89,5,0)</f>
        <v>107.50199999999997</v>
      </c>
      <c r="CA92" s="13">
        <f t="shared" si="93"/>
        <v>28.741651769085443</v>
      </c>
      <c r="CB92" s="20">
        <f t="shared" si="64"/>
        <v>237.29102683115707</v>
      </c>
      <c r="CC92" s="59">
        <f t="shared" si="65"/>
        <v>527.3415429287827</v>
      </c>
      <c r="CD92" s="59">
        <f ca="1">AVERAGE(OFFSET($CC$3,0,0,'Données projet'!$E$12+1,1))-AVERAGE(OFFSET($H$3,0,0,'Données projet'!$E$12+1,1))</f>
        <v>192.88977161349993</v>
      </c>
      <c r="CE92" s="59">
        <f t="shared" si="94"/>
        <v>122.91376861456772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14.303657219339149</v>
      </c>
      <c r="CM92" s="21">
        <f>EXP(-LN(2)/2)*CM91+(1-EXP(-LN(2)/2))/(LN(2)/2)*CG92*CJ92*VLOOKUP('Données projet'!$B$12,Paramètres!$A$1:$I$89,3,0)*0.475*44/12</f>
        <v>0.35711126498369022</v>
      </c>
      <c r="CN92" s="22">
        <f t="shared" si="66"/>
        <v>14.660768484322839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1.9230769230769227</v>
      </c>
      <c r="CT92" s="12">
        <f>IF('Données projet'!$A$140&gt;35,CT91+CS92-DB91,IF(A92&lt;'Données projet'!$A$140,$CQ$205^A92,IF(A92='Données projet'!$A$140,'Données projet'!$B$140,CT91+CS92-DB91)))</f>
        <v>127.56410256410247</v>
      </c>
      <c r="CU92" s="17">
        <f>CT92*VLOOKUP('Données projet'!$B$13,Paramètres!$A$1:$I$89,3,0)*VLOOKUP('Données projet'!$B$13,Paramètres!$A$1:$I$89,5,0)</f>
        <v>103.47999999999993</v>
      </c>
      <c r="CV92" s="13">
        <f t="shared" si="95"/>
        <v>27.789401764762509</v>
      </c>
      <c r="CW92" s="20">
        <f t="shared" si="67"/>
        <v>228.62754140696123</v>
      </c>
      <c r="CX92" s="59">
        <f t="shared" si="68"/>
        <v>518.67805750458695</v>
      </c>
      <c r="CY92" s="59">
        <f ca="1">AVERAGE(OFFSET($CX$3,0,0,'Données projet'!$E$13+1,1))-AVERAGE(OFFSET($H$3,0,0,'Données projet'!$E$13+1,1))</f>
        <v>163.16040389635825</v>
      </c>
      <c r="CZ92" s="59">
        <f t="shared" si="96"/>
        <v>138.57856782158811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3.8510367357099877</v>
      </c>
      <c r="DH92" s="21">
        <f>EXP(-LN(2)/2)*DH91+(1-EXP(-LN(2)/2))/(LN(2)/2)*DB92*DE92*VLOOKUP('Données projet'!$B$13,Paramètres!$A$1:$I$89,3,0)*0.475*44/12</f>
        <v>0.37907944432862756</v>
      </c>
      <c r="DI92" s="22">
        <f t="shared" si="69"/>
        <v>4.2301161800386149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10.192500000000001</v>
      </c>
      <c r="DO92" s="12">
        <f>IF('Données projet'!$A$166&gt;35,DO91+DN92-DW91,IF(A92&lt;'Données projet'!$A$166,$DL$205^A92,IF(A92='Données projet'!$A$166,'Données projet'!$B$166,DO91+DN92-DW91)))</f>
        <v>370.20999999999992</v>
      </c>
      <c r="DP92" s="17">
        <f>DO92*VLOOKUP('Données projet'!$B$14,Paramètres!$A$1:$I$89,3,0)*VLOOKUP('Données projet'!$B$14,Paramètres!$A$1:$I$89,5,0)</f>
        <v>173.25827999999996</v>
      </c>
      <c r="DQ92" s="13">
        <f t="shared" si="97"/>
        <v>43.818961645566453</v>
      </c>
      <c r="DR92" s="20">
        <f t="shared" si="70"/>
        <v>378.07619586602806</v>
      </c>
      <c r="DS92" s="59">
        <f t="shared" si="71"/>
        <v>668.12671196365375</v>
      </c>
      <c r="DT92" s="59">
        <f ca="1">AVERAGE(OFFSET($DS$3,0,0,'Données projet'!$E$14+1,1))-AVERAGE(OFFSET($H$3,0,0,'Données projet'!$E$14+1,1))</f>
        <v>343.44193069803498</v>
      </c>
      <c r="DU92" s="59">
        <f t="shared" si="98"/>
        <v>280.67367019483481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52.446806274420993</v>
      </c>
      <c r="EB92" s="21">
        <f>EXP(-LN(2)/25)*EB91+(1-EXP(-LN(2)/25))/(LN(2)/25)*Calculateur!DW92*Calculateur!DY92*VLOOKUP('Données projet'!$B$14,Paramètres!$A$1:$I$89,3,0)*0.475*44/12</f>
        <v>21.139642094963619</v>
      </c>
      <c r="EC92" s="21">
        <f>EXP(-LN(2)/2)*EC91+(1-EXP(-LN(2)/2))/(LN(2)/2)*DW92*DZ92*VLOOKUP('Données projet'!$B$14,Paramètres!$A$1:$I$89,3,0)*0.475*44/12</f>
        <v>2.5794850646333405</v>
      </c>
      <c r="ED92" s="22">
        <f t="shared" si="72"/>
        <v>76.165933434017958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3.5897435897435912</v>
      </c>
      <c r="EJ92" s="12">
        <f>IF('Données projet'!$A$192&gt;35,EJ91+EI92-ER91,IF(A92&lt;'Données projet'!$A$192,$EG$205^A92,IF(A92='Données projet'!$A$192,'Données projet'!$B$192,EJ91+EI92-ER91)))</f>
        <v>162.43589743589752</v>
      </c>
      <c r="EK92" s="17">
        <f>EJ92*VLOOKUP('Données projet'!$B$15,Paramètres!$A$1:$I$89,3,0)*VLOOKUP('Données projet'!$B$15,Paramètres!$A$1:$I$89,5,0)</f>
        <v>164.71000000000009</v>
      </c>
      <c r="EL92" s="13">
        <f t="shared" si="99"/>
        <v>41.903068596748277</v>
      </c>
      <c r="EM92" s="20">
        <f t="shared" si="73"/>
        <v>359.85109447267001</v>
      </c>
      <c r="EN92" s="59">
        <f t="shared" si="74"/>
        <v>649.9016105702957</v>
      </c>
      <c r="EO92" s="59">
        <f ca="1">AVERAGE(OFFSET($EN$3,0,0,'Données projet'!$E$15+1,1))-AVERAGE(OFFSET($H$3,0,0,'Données projet'!$E$15+1,1))</f>
        <v>270.0029254736703</v>
      </c>
      <c r="EP92" s="59">
        <f t="shared" si="100"/>
        <v>183.80022202211441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5.7014189579451644</v>
      </c>
      <c r="EW92" s="21">
        <f>EXP(-LN(2)/25)*EW91+(1-EXP(-LN(2)/25))/(LN(2)/25)*Calculateur!ER92*Calculateur!ET92*VLOOKUP('Données projet'!$B$15,Paramètres!$A$1:$I$89,3,0)*0.475*44/12</f>
        <v>21.06204746993015</v>
      </c>
      <c r="EX92" s="21">
        <f>EXP(-LN(2)/2)*EX91+(1-EXP(-LN(2)/2))/(LN(2)/2)*ER92*EU92*VLOOKUP('Données projet'!$B$15,Paramètres!$A$1:$I$89,3,0)*0.475*44/12</f>
        <v>0.37863254953259867</v>
      </c>
      <c r="EY92" s="22">
        <f t="shared" si="75"/>
        <v>27.142098977407915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-1.4897523215040567E-13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328.93328163316073</v>
      </c>
      <c r="FK92" s="59">
        <f t="shared" si="102"/>
        <v>320.27831321887072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38.553390168326651</v>
      </c>
      <c r="FR92" s="21">
        <f>EXP(-LN(2)/25)*FR91+(1-EXP(-LN(2)/25))/(LN(2)/25)*Calculateur!FM92*Calculateur!FO92*VLOOKUP('Données projet'!$B$16,Paramètres!$A$1:$I$89,3,0)*0.475*44/12</f>
        <v>36.243010164207838</v>
      </c>
      <c r="FS92" s="21">
        <f>EXP(-LN(2)/2)*FS91+(1-EXP(-LN(2)/2))/(LN(2)/2)*FM92*FP92*VLOOKUP('Données projet'!$B$16,Paramètres!$A$1:$I$89,3,0)*0.475*44/12</f>
        <v>2.5224270637897281</v>
      </c>
      <c r="FT92" s="22">
        <f t="shared" si="78"/>
        <v>77.318827396324224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3.5897435897435912</v>
      </c>
      <c r="FZ92" s="12">
        <f>IF('Données projet'!$A$244&gt;35,FZ91+FY92-GH91,IF(A92&lt;'Données projet'!$A$244,$FW$205^A92,IF(A92='Données projet'!$A$244,'Données projet'!$B$244,FZ91+FY92-GH91)))</f>
        <v>162.43589743589752</v>
      </c>
      <c r="GA92" s="17">
        <f>FZ92*VLOOKUP('Données projet'!$B$17,Paramètres!$A$1:$I$89,3,0)*VLOOKUP('Données projet'!$B$17,Paramètres!$A$1:$I$89,5,0)</f>
        <v>108.96200000000006</v>
      </c>
      <c r="GB92" s="13">
        <f t="shared" si="103"/>
        <v>29.086288890486539</v>
      </c>
      <c r="GC92" s="20">
        <f t="shared" si="79"/>
        <v>240.43410315093078</v>
      </c>
      <c r="GD92" s="59">
        <f t="shared" si="80"/>
        <v>530.48461924855644</v>
      </c>
      <c r="GE92" s="59">
        <f ca="1">AVERAGE(OFFSET($GD$3,0,0,'Données projet'!$E$17+1,1))-AVERAGE(OFFSET($H$3,0,0,'Données projet'!$E$17+1,1))</f>
        <v>192.88444860121191</v>
      </c>
      <c r="GF92" s="59">
        <f t="shared" si="104"/>
        <v>136.13737493732751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4.6488493041706729</v>
      </c>
      <c r="GM92" s="21">
        <f>EXP(-LN(2)/25)*GM91+(1-EXP(-LN(2)/25))/(LN(2)/25)*Calculateur!GH92*Calculateur!GJ92*VLOOKUP('Données projet'!$B$17,Paramètres!$A$1:$I$89,3,0)*0.475*44/12</f>
        <v>17.173669475481507</v>
      </c>
      <c r="GN92" s="21">
        <f>EXP(-LN(2)/2)*GN91+(1-EXP(-LN(2)/2))/(LN(2)/2)*GH92*GK92*VLOOKUP('Données projet'!$B$17,Paramètres!$A$1:$I$89,3,0)*0.475*44/12</f>
        <v>0.25047999430618068</v>
      </c>
      <c r="GO92" s="21">
        <f t="shared" si="81"/>
        <v>22.072998773958357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69.104686208443368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0.85000000000000009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3.1166666666666671</v>
      </c>
      <c r="H93" s="67">
        <f t="shared" si="56"/>
        <v>244.19999999999996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959.19765653815944</v>
      </c>
      <c r="S93" s="59">
        <f ca="1">AVERAGE(OFFSET($R$3,0,0,'Données projet'!$E$9+1,1))-AVERAGE(OFFSET($H$3,0,0,'Données projet'!$E$9+1,1))</f>
        <v>643.492472896403</v>
      </c>
      <c r="T93" s="59">
        <f t="shared" si="88"/>
        <v>285.0259479655341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-2.8421709430404007E-13</v>
      </c>
      <c r="AJ93" s="13">
        <f>AI93*VLOOKUP('Données projet'!$B$10,Paramètres!$A$1:$I$89,3,0)*VLOOKUP('Données projet'!$B$10,Paramètres!$A$1:$I$89,5,0)</f>
        <v>-2.2168933355715128E-13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289.89907502443873</v>
      </c>
      <c r="AO93" s="59">
        <f t="shared" si="90"/>
        <v>267.42183550360301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26.444993476380734</v>
      </c>
      <c r="AV93" s="21">
        <f>EXP(-LN(2)/25)*AV92+(1-EXP(-LN(2)/25))/(LN(2)/25)*Calculateur!AQ93*Calculateur!AS93*VLOOKUP('Données projet'!$B$10,Paramètres!$A$1:$I$89,3,0)*0.475*44/12</f>
        <v>25.854990162049575</v>
      </c>
      <c r="AW93" s="21">
        <f>EXP(-LN(2)/2)*AW92+(1-EXP(-LN(2)/2))/(LN(2)/2)*AQ93*AT93*VLOOKUP('Données projet'!$B$10,Paramètres!$A$1:$I$89,3,0)*0.475*44/12</f>
        <v>0.29529706518904564</v>
      </c>
      <c r="AX93" s="21">
        <f t="shared" si="60"/>
        <v>52.595280703619352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101.92307692307692</v>
      </c>
      <c r="BB93" s="12">
        <f>VLOOKUP(A93,'Données projet'!$A$87:$I$107,9,0)</f>
        <v>2.0512820512820524</v>
      </c>
      <c r="BC93" s="12">
        <f t="array" ref="BC93">INDEX(BB:BB,MIN(IF(ISNUMBER(BB93:BB289),ROW(BB93:BB289),"")))</f>
        <v>2.0512820512820524</v>
      </c>
      <c r="BD93" s="12">
        <f>IF('Données projet'!$A$88&gt;35,BD92+BC93-BL92,IF(A93&lt;'Données projet'!$A$88,$BA$205^A93,IF(A93='Données projet'!$A$88,'Données projet'!$B$88,BD92+BC93-BL92)))</f>
        <v>101.92307692307691</v>
      </c>
      <c r="BE93" s="13">
        <f>BD93*VLOOKUP('Données projet'!$B$11,Paramètres!$A$1:$I$89,3,0)*VLOOKUP('Données projet'!$B$11,Paramètres!$A$1:$I$89,5,0)</f>
        <v>98.579999999999984</v>
      </c>
      <c r="BF93" s="13">
        <f t="shared" si="91"/>
        <v>26.623421060219858</v>
      </c>
      <c r="BG93" s="20">
        <f t="shared" si="61"/>
        <v>218.06262501321623</v>
      </c>
      <c r="BH93" s="59">
        <f t="shared" si="62"/>
        <v>508.17009065060159</v>
      </c>
      <c r="BI93" s="59">
        <f ca="1">AVERAGE(OFFSET($BH$3,0,0,'Données projet'!$E$11+1,1))-AVERAGE(OFFSET($H$3,0,0,'Données projet'!$E$11+1,1))</f>
        <v>177.54241137663234</v>
      </c>
      <c r="BJ93" s="59">
        <f t="shared" si="92"/>
        <v>114.71095021456071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5.7692307692307692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0.34400000000000003</v>
      </c>
      <c r="BO93" s="16">
        <f>IF(ISNA(VLOOKUP(A93,'Données projet'!$A$87:$I$107,7,0)),0%,VLOOKUP(A93,'Données projet'!$A$87:$I$107,7,0))</f>
        <v>0.2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14.614725076319569</v>
      </c>
      <c r="BR93" s="21">
        <f>EXP(-LN(2)/2)*BR92+(1-EXP(-LN(2)/2))/(LN(2)/2)*BL93*BO93*VLOOKUP('Données projet'!$B$11,Paramètres!$A$1:$I$89,3,0)*0.475*44/12</f>
        <v>1.2798742891735344</v>
      </c>
      <c r="BS93" s="22">
        <f t="shared" si="63"/>
        <v>15.894599365493104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101.92307692307692</v>
      </c>
      <c r="BW93" s="12">
        <f>VLOOKUP(A93,'Données projet'!$A$113:$I$133,9,0)</f>
        <v>2.0512820512820524</v>
      </c>
      <c r="BX93" s="12">
        <f t="array" ref="BX93">INDEX(BW:BW,MIN(IF(ISNUMBER(BW93:BW289),ROW(BW93:BW289),"")))</f>
        <v>2.0512820512820524</v>
      </c>
      <c r="BY93" s="12">
        <f>IF('Données projet'!$A$114&gt;35,BY92+BX93-CG92,IF(A93&lt;'Données projet'!$A$114,$BV$205^A93,IF(A93='Données projet'!$A$114,'Données projet'!$B$114,BY92+BX93-CG92)))</f>
        <v>101.92307692307691</v>
      </c>
      <c r="BZ93" s="13">
        <f>BY93*VLOOKUP('Données projet'!$B$12,Paramètres!$A$1:$I$89,3,0)*VLOOKUP('Données projet'!$B$12,Paramètres!$A$1:$I$89,5,0)</f>
        <v>109.71</v>
      </c>
      <c r="CA93" s="13">
        <f t="shared" si="93"/>
        <v>29.262647816609658</v>
      </c>
      <c r="CB93" s="20">
        <f t="shared" si="64"/>
        <v>242.04402828059514</v>
      </c>
      <c r="CC93" s="59">
        <f t="shared" si="65"/>
        <v>532.15149391798047</v>
      </c>
      <c r="CD93" s="59">
        <f ca="1">AVERAGE(OFFSET($CC$3,0,0,'Données projet'!$E$12+1,1))-AVERAGE(OFFSET($H$3,0,0,'Données projet'!$E$12+1,1))</f>
        <v>192.88977161349993</v>
      </c>
      <c r="CE93" s="59">
        <f t="shared" si="94"/>
        <v>122.91376861456772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5.7692307692307692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0.34400000000000003</v>
      </c>
      <c r="CJ93" s="16">
        <f>IF(ISNA(VLOOKUP(A93,'Données projet'!$A$113:$I$133,7,0)),0%,VLOOKUP(A93,'Données projet'!$A$113:$I$133,7,0))</f>
        <v>0.2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16.264774681710488</v>
      </c>
      <c r="CM93" s="21">
        <f>EXP(-LN(2)/2)*CM92+(1-EXP(-LN(2)/2))/(LN(2)/2)*CG93*CJ93*VLOOKUP('Données projet'!$B$12,Paramètres!$A$1:$I$89,3,0)*0.475*44/12</f>
        <v>1.4243762250479657</v>
      </c>
      <c r="CN93" s="22">
        <f t="shared" si="66"/>
        <v>17.689150906758453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129.48717948717947</v>
      </c>
      <c r="CR93" s="12">
        <f>VLOOKUP(A93,'Données projet'!$A$139:$I$159,9,0)</f>
        <v>1.9230769230769227</v>
      </c>
      <c r="CS93" s="12">
        <f t="array" ref="CS93">INDEX(CR:CR,MIN(IF(ISNUMBER(CR93:CR289),ROW(CR93:CR289),"")))</f>
        <v>1.9230769230769227</v>
      </c>
      <c r="CT93" s="12">
        <f>IF('Données projet'!$A$140&gt;35,CT92+CS93-DB92,IF(A93&lt;'Données projet'!$A$140,$CQ$205^A93,IF(A93='Données projet'!$A$140,'Données projet'!$B$140,CT92+CS93-DB92)))</f>
        <v>129.48717948717939</v>
      </c>
      <c r="CU93" s="17">
        <f>CT93*VLOOKUP('Données projet'!$B$13,Paramètres!$A$1:$I$89,3,0)*VLOOKUP('Données projet'!$B$13,Paramètres!$A$1:$I$89,5,0)</f>
        <v>105.03999999999994</v>
      </c>
      <c r="CV93" s="13">
        <f t="shared" si="95"/>
        <v>28.159250377636397</v>
      </c>
      <c r="CW93" s="20">
        <f t="shared" si="67"/>
        <v>231.98869440771659</v>
      </c>
      <c r="CX93" s="59">
        <f t="shared" si="68"/>
        <v>522.0961600451019</v>
      </c>
      <c r="CY93" s="59">
        <f ca="1">AVERAGE(OFFSET($CX$3,0,0,'Données projet'!$E$13+1,1))-AVERAGE(OFFSET($H$3,0,0,'Données projet'!$E$13+1,1))</f>
        <v>163.16040389635825</v>
      </c>
      <c r="CZ93" s="59">
        <f t="shared" si="96"/>
        <v>138.57856782158811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129.48717948717947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0.1075</v>
      </c>
      <c r="DE93" s="16">
        <f>IF(ISNA(VLOOKUP(A93,'Données projet'!$A$139:$I$159,7,0)),0%,VLOOKUP(A93,'Données projet'!$A$139:$I$159,7,0))</f>
        <v>0.25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16.179331020514891</v>
      </c>
      <c r="DH93" s="21">
        <f>EXP(-LN(2)/2)*DH92+(1-EXP(-LN(2)/2))/(LN(2)/2)*DB93*DE93*VLOOKUP('Données projet'!$B$13,Paramètres!$A$1:$I$89,3,0)*0.475*44/12</f>
        <v>25.045066423230693</v>
      </c>
      <c r="DI93" s="22">
        <f t="shared" si="69"/>
        <v>41.224397443745588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10.192500000000001</v>
      </c>
      <c r="DO93" s="12">
        <f>IF('Données projet'!$A$166&gt;35,DO92+DN93-DW92,IF(A93&lt;'Données projet'!$A$166,$DL$205^A93,IF(A93='Données projet'!$A$166,'Données projet'!$B$166,DO92+DN93-DW92)))</f>
        <v>380.40249999999992</v>
      </c>
      <c r="DP93" s="17">
        <f>DO93*VLOOKUP('Données projet'!$B$14,Paramètres!$A$1:$I$89,3,0)*VLOOKUP('Données projet'!$B$14,Paramètres!$A$1:$I$89,5,0)</f>
        <v>178.02836999999997</v>
      </c>
      <c r="DQ93" s="13">
        <f t="shared" si="97"/>
        <v>44.883254032720146</v>
      </c>
      <c r="DR93" s="20">
        <f t="shared" si="70"/>
        <v>388.23774519032082</v>
      </c>
      <c r="DS93" s="59">
        <f t="shared" si="71"/>
        <v>678.34521082770618</v>
      </c>
      <c r="DT93" s="59">
        <f ca="1">AVERAGE(OFFSET($DS$3,0,0,'Données projet'!$E$14+1,1))-AVERAGE(OFFSET($H$3,0,0,'Données projet'!$E$14+1,1))</f>
        <v>343.44193069803498</v>
      </c>
      <c r="DU93" s="59">
        <f t="shared" si="98"/>
        <v>280.67367019483481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51.418356392772736</v>
      </c>
      <c r="EB93" s="21">
        <f>EXP(-LN(2)/25)*EB92+(1-EXP(-LN(2)/25))/(LN(2)/25)*Calculateur!DW93*Calculateur!DY93*VLOOKUP('Données projet'!$B$14,Paramètres!$A$1:$I$89,3,0)*0.475*44/12</f>
        <v>20.561577470191377</v>
      </c>
      <c r="EC93" s="21">
        <f>EXP(-LN(2)/2)*EC92+(1-EXP(-LN(2)/2))/(LN(2)/2)*DW93*DZ93*VLOOKUP('Données projet'!$B$14,Paramètres!$A$1:$I$89,3,0)*0.475*44/12</f>
        <v>1.8239713811716549</v>
      </c>
      <c r="ED93" s="22">
        <f t="shared" si="72"/>
        <v>73.803905244135777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166.02564102564102</v>
      </c>
      <c r="EH93" s="12">
        <f>VLOOKUP(A93,'Données projet'!$A$191:$I$211,9,0)</f>
        <v>3.5897435897435912</v>
      </c>
      <c r="EI93" s="12">
        <f t="array" ref="EI93">INDEX(EH:EH,MIN(IF(ISNUMBER(EH93:EH289),ROW(EH93:EH289),"")))</f>
        <v>3.5897435897435912</v>
      </c>
      <c r="EJ93" s="12">
        <f>IF('Données projet'!$A$192&gt;35,EJ92+EI93-ER92,IF(A93&lt;'Données projet'!$A$192,$EG$205^A93,IF(A93='Données projet'!$A$192,'Données projet'!$B$192,EJ92+EI93-ER92)))</f>
        <v>166.02564102564111</v>
      </c>
      <c r="EK93" s="17">
        <f>EJ93*VLOOKUP('Données projet'!$B$15,Paramètres!$A$1:$I$89,3,0)*VLOOKUP('Données projet'!$B$15,Paramètres!$A$1:$I$89,5,0)</f>
        <v>168.35000000000011</v>
      </c>
      <c r="EL93" s="13">
        <f t="shared" si="99"/>
        <v>42.720268966243559</v>
      </c>
      <c r="EM93" s="20">
        <f t="shared" si="73"/>
        <v>367.61405178287436</v>
      </c>
      <c r="EN93" s="59">
        <f t="shared" si="74"/>
        <v>657.72151742025972</v>
      </c>
      <c r="EO93" s="59">
        <f ca="1">AVERAGE(OFFSET($EN$3,0,0,'Données projet'!$E$15+1,1))-AVERAGE(OFFSET($H$3,0,0,'Données projet'!$E$15+1,1))</f>
        <v>270.0029254736703</v>
      </c>
      <c r="EP93" s="59">
        <f t="shared" si="100"/>
        <v>183.80022202211441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12.820512820512819</v>
      </c>
      <c r="ES93" s="16">
        <f>IF(ISNA(VLOOKUP(A93,'Données projet'!$A$191:$I$211,5,0)),0%,VLOOKUP(A93,'Données projet'!$A$191:$I$211,5,0)*VLOOKUP('Données projet'!$B$15,Paramètres!$A$1:$I$89,7,0))</f>
        <v>0.15049999999999999</v>
      </c>
      <c r="ET93" s="16">
        <f>IF(ISNA(VLOOKUP(A93,'Données projet'!$A$191:$I$211,6,0)),0%,VLOOKUP(A93,'Données projet'!$A$191:$I$211,6,0)*VLOOKUP('Données projet'!$B$15,Paramètres!$A$1:$I$89,7,0))</f>
        <v>8.6000000000000007E-2</v>
      </c>
      <c r="EU93" s="16">
        <f>IF(ISNA(VLOOKUP(A93,'Données projet'!$A$191:$I$211,7,0)),0%,VLOOKUP(A93,'Données projet'!$A$191:$I$211,7,0))</f>
        <v>0.1</v>
      </c>
      <c r="EV93" s="21">
        <f>EXP(-LN(2)/35)*EV92+(1-EXP(-LN(2)/35))/(LN(2)/35)*ER93*ES93*VLOOKUP('Données projet'!$B$15,Paramètres!$A$1:$I$89,3,0)*0.475*44/12</f>
        <v>7.7524704072582642</v>
      </c>
      <c r="EW93" s="21">
        <f>EXP(-LN(2)/25)*EW92+(1-EXP(-LN(2)/25))/(LN(2)/25)*Calculateur!ER93*Calculateur!ET93*VLOOKUP('Données projet'!$B$15,Paramètres!$A$1:$I$89,3,0)*0.475*44/12</f>
        <v>21.717154286820378</v>
      </c>
      <c r="EX93" s="21">
        <f>EXP(-LN(2)/2)*EX92+(1-EXP(-LN(2)/2))/(LN(2)/2)*ER93*EU93*VLOOKUP('Données projet'!$B$15,Paramètres!$A$1:$I$89,3,0)*0.475*44/12</f>
        <v>1.4943186323394566</v>
      </c>
      <c r="EY93" s="22">
        <f t="shared" si="75"/>
        <v>30.9639433264181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-1.4897523215040567E-13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328.93328163316073</v>
      </c>
      <c r="FK93" s="59">
        <f t="shared" si="102"/>
        <v>320.27831321887072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37.79738170237183</v>
      </c>
      <c r="FR93" s="21">
        <f>EXP(-LN(2)/25)*FR92+(1-EXP(-LN(2)/25))/(LN(2)/25)*Calculateur!FM93*Calculateur!FO93*VLOOKUP('Données projet'!$B$16,Paramètres!$A$1:$I$89,3,0)*0.475*44/12</f>
        <v>35.251943145330507</v>
      </c>
      <c r="FS93" s="21">
        <f>EXP(-LN(2)/2)*FS92+(1-EXP(-LN(2)/2))/(LN(2)/2)*FM93*FP93*VLOOKUP('Données projet'!$B$16,Paramètres!$A$1:$I$89,3,0)*0.475*44/12</f>
        <v>1.7836252818541889</v>
      </c>
      <c r="FT93" s="22">
        <f t="shared" si="78"/>
        <v>74.832950129556522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166.02564102564102</v>
      </c>
      <c r="FX93" s="12">
        <f>VLOOKUP(A93,'Données projet'!$A$243:$I$263,9,0)</f>
        <v>3.5897435897435912</v>
      </c>
      <c r="FY93" s="12">
        <f t="array" ref="FY93">INDEX(FX:FX,MIN(IF(ISNUMBER(FX93:FX289),ROW(FX93:FX289),"")))</f>
        <v>3.5897435897435912</v>
      </c>
      <c r="FZ93" s="12">
        <f>IF('Données projet'!$A$244&gt;35,FZ92+FY93-GH92,IF(A93&lt;'Données projet'!$A$244,$FW$205^A93,IF(A93='Données projet'!$A$244,'Données projet'!$B$244,FZ92+FY93-GH92)))</f>
        <v>166.02564102564111</v>
      </c>
      <c r="GA93" s="17">
        <f>FZ93*VLOOKUP('Données projet'!$B$17,Paramètres!$A$1:$I$89,3,0)*VLOOKUP('Données projet'!$B$17,Paramètres!$A$1:$I$89,5,0)</f>
        <v>111.37000000000006</v>
      </c>
      <c r="GB93" s="13">
        <f t="shared" si="103"/>
        <v>29.653534364971829</v>
      </c>
      <c r="GC93" s="20">
        <f t="shared" si="79"/>
        <v>245.61598901899268</v>
      </c>
      <c r="GD93" s="59">
        <f t="shared" si="80"/>
        <v>535.72345465637807</v>
      </c>
      <c r="GE93" s="59">
        <f ca="1">AVERAGE(OFFSET($GD$3,0,0,'Données projet'!$E$17+1,1))-AVERAGE(OFFSET($H$3,0,0,'Données projet'!$E$17+1,1))</f>
        <v>192.88444860121191</v>
      </c>
      <c r="GF93" s="59">
        <f t="shared" si="104"/>
        <v>136.13737493732751</v>
      </c>
      <c r="GG93" s="15">
        <f>IF(ISNA(VLOOKUP(A93,'Données projet'!$A$243:$I$263,3,0)),0,VLOOKUP(A93,'Données projet'!$A$243:$I$263,3,0))</f>
        <v>15</v>
      </c>
      <c r="GH93" s="15">
        <f>IF(ISNA(VLOOKUP(A93,'Données projet'!$A$243:$I$263,4,0)),0,VLOOKUP(A93,'Données projet'!$A$243:$I$263,4,0))</f>
        <v>12.820512820512819</v>
      </c>
      <c r="GI93" s="16">
        <f>IF(ISNA(VLOOKUP(A93,'Données projet'!$A$243:$I$263,5,0)),0%,VLOOKUP(A93,'Données projet'!$A$243:$I$263,5,0)*VLOOKUP('Données projet'!$B$17,Paramètres!$A$1:$I$89,7,0))</f>
        <v>0.1855</v>
      </c>
      <c r="GJ93" s="16">
        <f>IF(ISNA(VLOOKUP(A93,'Données projet'!$A$243:$I$263,6,0)),0%,VLOOKUP(A93,'Données projet'!$A$243:$I$263,6,0)*VLOOKUP('Données projet'!$B$17,Paramètres!$A$1:$I$89,7,0))</f>
        <v>0.10600000000000001</v>
      </c>
      <c r="GK93" s="16">
        <f>IF(ISNA(VLOOKUP(A93,'Données projet'!$A$243:$I$263,7,0)),0%,VLOOKUP(A93,'Données projet'!$A$243:$I$263,7,0))</f>
        <v>0.1</v>
      </c>
      <c r="GL93" s="21">
        <f>EXP(-LN(2)/35)*GL92+(1-EXP(-LN(2)/35))/(LN(2)/35)*GH93*GI93*VLOOKUP('Données projet'!$B$17,Paramètres!$A$1:$I$89,3,0)*0.475*44/12</f>
        <v>6.3212451013028925</v>
      </c>
      <c r="GM93" s="21">
        <f>EXP(-LN(2)/25)*GM92+(1-EXP(-LN(2)/25))/(LN(2)/25)*Calculateur!GH93*Calculateur!GJ93*VLOOKUP('Données projet'!$B$17,Paramètres!$A$1:$I$89,3,0)*0.475*44/12</f>
        <v>17.707833495407385</v>
      </c>
      <c r="GN93" s="21">
        <f>EXP(-LN(2)/2)*GN92+(1-EXP(-LN(2)/2))/(LN(2)/2)*GH93*GK93*VLOOKUP('Données projet'!$B$17,Paramètres!$A$1:$I$89,3,0)*0.475*44/12</f>
        <v>0.98854924908610198</v>
      </c>
      <c r="GO93" s="21">
        <f t="shared" si="81"/>
        <v>25.01762784579638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69.120217901105093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0.85000000000000009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3.1166666666666671</v>
      </c>
      <c r="H94" s="67">
        <f t="shared" si="56"/>
        <v>244.19999999999996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976.72235098402894</v>
      </c>
      <c r="S94" s="59">
        <f ca="1">AVERAGE(OFFSET($R$3,0,0,'Données projet'!$E$9+1,1))-AVERAGE(OFFSET($H$3,0,0,'Données projet'!$E$9+1,1))</f>
        <v>643.492472896403</v>
      </c>
      <c r="T94" s="59">
        <f t="shared" si="88"/>
        <v>285.0259479655341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-2.8421709430404007E-13</v>
      </c>
      <c r="AJ94" s="13">
        <f>AI94*VLOOKUP('Données projet'!$B$10,Paramètres!$A$1:$I$89,3,0)*VLOOKUP('Données projet'!$B$10,Paramètres!$A$1:$I$89,5,0)</f>
        <v>-2.2168933355715128E-13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289.89907502443873</v>
      </c>
      <c r="AO94" s="59">
        <f t="shared" si="90"/>
        <v>267.42183550360301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25.926423284162237</v>
      </c>
      <c r="AV94" s="21">
        <f>EXP(-LN(2)/25)*AV93+(1-EXP(-LN(2)/25))/(LN(2)/25)*Calculateur!AQ94*Calculateur!AS94*VLOOKUP('Données projet'!$B$10,Paramètres!$A$1:$I$89,3,0)*0.475*44/12</f>
        <v>25.147984096413488</v>
      </c>
      <c r="AW94" s="21">
        <f>EXP(-LN(2)/2)*AW93+(1-EXP(-LN(2)/2))/(LN(2)/2)*AQ94*AT94*VLOOKUP('Données projet'!$B$10,Paramètres!$A$1:$I$89,3,0)*0.475*44/12</f>
        <v>0.20880655725966016</v>
      </c>
      <c r="AX94" s="21">
        <f t="shared" si="60"/>
        <v>51.283213937835384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97.948717948717928</v>
      </c>
      <c r="BE94" s="13">
        <f>BD94*VLOOKUP('Données projet'!$B$11,Paramètres!$A$1:$I$89,3,0)*VLOOKUP('Données projet'!$B$11,Paramètres!$A$1:$I$89,5,0)</f>
        <v>94.735999999999976</v>
      </c>
      <c r="BF94" s="13">
        <f t="shared" si="91"/>
        <v>25.704002661751492</v>
      </c>
      <c r="BG94" s="20">
        <f t="shared" si="61"/>
        <v>209.76633796921715</v>
      </c>
      <c r="BH94" s="59">
        <f t="shared" si="62"/>
        <v>499.92976519916743</v>
      </c>
      <c r="BI94" s="59">
        <f ca="1">AVERAGE(OFFSET($BH$3,0,0,'Données projet'!$E$11+1,1))-AVERAGE(OFFSET($H$3,0,0,'Données projet'!$E$11+1,1))</f>
        <v>177.54241137663234</v>
      </c>
      <c r="BJ94" s="59">
        <f t="shared" si="92"/>
        <v>114.71095021456071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14.215084650552621</v>
      </c>
      <c r="BR94" s="21">
        <f>EXP(-LN(2)/2)*BR93+(1-EXP(-LN(2)/2))/(LN(2)/2)*BL94*BO94*VLOOKUP('Données projet'!$B$11,Paramètres!$A$1:$I$89,3,0)*0.475*44/12</f>
        <v>0.90500778894091849</v>
      </c>
      <c r="BS94" s="22">
        <f t="shared" si="63"/>
        <v>15.12009243949354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1.7948717948717956</v>
      </c>
      <c r="BY94" s="12">
        <f>IF('Données projet'!$A$114&gt;35,BY93+BX94-CG93,IF(A94&lt;'Données projet'!$A$114,$BV$205^A94,IF(A94='Données projet'!$A$114,'Données projet'!$B$114,BY93+BX94-CG93)))</f>
        <v>97.948717948717928</v>
      </c>
      <c r="BZ94" s="13">
        <f>BY94*VLOOKUP('Données projet'!$B$12,Paramètres!$A$1:$I$89,3,0)*VLOOKUP('Données projet'!$B$12,Paramètres!$A$1:$I$89,5,0)</f>
        <v>105.43199999999997</v>
      </c>
      <c r="CA94" s="13">
        <f t="shared" si="93"/>
        <v>28.252085848272284</v>
      </c>
      <c r="CB94" s="20">
        <f t="shared" si="64"/>
        <v>232.83311618574081</v>
      </c>
      <c r="CC94" s="59">
        <f t="shared" si="65"/>
        <v>522.99654341569112</v>
      </c>
      <c r="CD94" s="59">
        <f ca="1">AVERAGE(OFFSET($CC$3,0,0,'Données projet'!$E$12+1,1))-AVERAGE(OFFSET($H$3,0,0,'Données projet'!$E$12+1,1))</f>
        <v>192.88977161349993</v>
      </c>
      <c r="CE94" s="59">
        <f t="shared" si="94"/>
        <v>122.91376861456772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15.820013562711788</v>
      </c>
      <c r="CM94" s="21">
        <f>EXP(-LN(2)/2)*CM93+(1-EXP(-LN(2)/2))/(LN(2)/2)*CG94*CJ94*VLOOKUP('Données projet'!$B$12,Paramètres!$A$1:$I$89,3,0)*0.475*44/12</f>
        <v>1.0071860876923124</v>
      </c>
      <c r="CN94" s="22">
        <f t="shared" si="66"/>
        <v>16.827199650404101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-8.5265128291212022E-14</v>
      </c>
      <c r="CU94" s="17">
        <f>CT94*VLOOKUP('Données projet'!$B$13,Paramètres!$A$1:$I$89,3,0)*VLOOKUP('Données projet'!$B$13,Paramètres!$A$1:$I$89,5,0)</f>
        <v>-6.9167072069831198E-14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163.16040389635825</v>
      </c>
      <c r="CZ94" s="59">
        <f t="shared" si="96"/>
        <v>138.57856782158811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15.736906362924872</v>
      </c>
      <c r="DH94" s="21">
        <f>EXP(-LN(2)/2)*DH93+(1-EXP(-LN(2)/2))/(LN(2)/2)*DB94*DE94*VLOOKUP('Données projet'!$B$13,Paramètres!$A$1:$I$89,3,0)*0.475*44/12</f>
        <v>17.709536303133934</v>
      </c>
      <c r="DI94" s="22">
        <f t="shared" si="69"/>
        <v>33.446442666058807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10.192500000000001</v>
      </c>
      <c r="DO94" s="12">
        <f>IF('Données projet'!$A$166&gt;35,DO93+DN94-DW93,IF(A94&lt;'Données projet'!$A$166,$DL$205^A94,IF(A94='Données projet'!$A$166,'Données projet'!$B$166,DO93+DN94-DW93)))</f>
        <v>390.59499999999991</v>
      </c>
      <c r="DP94" s="17">
        <f>DO94*VLOOKUP('Données projet'!$B$14,Paramètres!$A$1:$I$89,3,0)*VLOOKUP('Données projet'!$B$14,Paramètres!$A$1:$I$89,5,0)</f>
        <v>182.79845999999995</v>
      </c>
      <c r="DQ94" s="13">
        <f t="shared" si="97"/>
        <v>45.944231835010378</v>
      </c>
      <c r="DR94" s="20">
        <f t="shared" si="70"/>
        <v>398.39352161264304</v>
      </c>
      <c r="DS94" s="59">
        <f t="shared" si="71"/>
        <v>688.55694884259333</v>
      </c>
      <c r="DT94" s="59">
        <f ca="1">AVERAGE(OFFSET($DS$3,0,0,'Données projet'!$E$14+1,1))-AVERAGE(OFFSET($H$3,0,0,'Données projet'!$E$14+1,1))</f>
        <v>343.44193069803498</v>
      </c>
      <c r="DU94" s="59">
        <f t="shared" si="98"/>
        <v>280.67367019483481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50.410073786011111</v>
      </c>
      <c r="EB94" s="21">
        <f>EXP(-LN(2)/25)*EB93+(1-EXP(-LN(2)/25))/(LN(2)/25)*Calculateur!DW94*Calculateur!DY94*VLOOKUP('Données projet'!$B$14,Paramètres!$A$1:$I$89,3,0)*0.475*44/12</f>
        <v>19.999320052982629</v>
      </c>
      <c r="EC94" s="21">
        <f>EXP(-LN(2)/2)*EC93+(1-EXP(-LN(2)/2))/(LN(2)/2)*DW94*DZ94*VLOOKUP('Données projet'!$B$14,Paramètres!$A$1:$I$89,3,0)*0.475*44/12</f>
        <v>1.2897425323166702</v>
      </c>
      <c r="ED94" s="22">
        <f t="shared" si="72"/>
        <v>71.699136371310402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3.4615384615384586</v>
      </c>
      <c r="EJ94" s="12">
        <f>IF('Données projet'!$A$192&gt;35,EJ93+EI94-ER93,IF(A94&lt;'Données projet'!$A$192,$EG$205^A94,IF(A94='Données projet'!$A$192,'Données projet'!$B$192,EJ93+EI94-ER93)))</f>
        <v>156.66666666666674</v>
      </c>
      <c r="EK94" s="17">
        <f>EJ94*VLOOKUP('Données projet'!$B$15,Paramètres!$A$1:$I$89,3,0)*VLOOKUP('Données projet'!$B$15,Paramètres!$A$1:$I$89,5,0)</f>
        <v>158.8600000000001</v>
      </c>
      <c r="EL94" s="13">
        <f t="shared" si="99"/>
        <v>40.58527831533479</v>
      </c>
      <c r="EM94" s="20">
        <f t="shared" si="73"/>
        <v>347.36719306587491</v>
      </c>
      <c r="EN94" s="59">
        <f t="shared" si="74"/>
        <v>637.5306202958252</v>
      </c>
      <c r="EO94" s="59">
        <f ca="1">AVERAGE(OFFSET($EN$3,0,0,'Données projet'!$E$15+1,1))-AVERAGE(OFFSET($H$3,0,0,'Données projet'!$E$15+1,1))</f>
        <v>270.0029254736703</v>
      </c>
      <c r="EP94" s="59">
        <f t="shared" si="100"/>
        <v>183.80022202211441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7.6004491911119736</v>
      </c>
      <c r="EW94" s="21">
        <f>EXP(-LN(2)/25)*EW93+(1-EXP(-LN(2)/25))/(LN(2)/25)*Calculateur!ER94*Calculateur!ET94*VLOOKUP('Données projet'!$B$15,Paramètres!$A$1:$I$89,3,0)*0.475*44/12</f>
        <v>21.123297560791766</v>
      </c>
      <c r="EX94" s="21">
        <f>EXP(-LN(2)/2)*EX93+(1-EXP(-LN(2)/2))/(LN(2)/2)*ER94*EU94*VLOOKUP('Données projet'!$B$15,Paramètres!$A$1:$I$89,3,0)*0.475*44/12</f>
        <v>1.0566428381806372</v>
      </c>
      <c r="EY94" s="22">
        <f t="shared" si="75"/>
        <v>29.780389590084376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-1.4897523215040567E-13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328.93328163316073</v>
      </c>
      <c r="FK94" s="59">
        <f t="shared" si="102"/>
        <v>320.27831321887072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37.056198101314749</v>
      </c>
      <c r="FR94" s="21">
        <f>EXP(-LN(2)/25)*FR93+(1-EXP(-LN(2)/25))/(LN(2)/25)*Calculateur!FM94*Calculateur!FO94*VLOOKUP('Données projet'!$B$16,Paramètres!$A$1:$I$89,3,0)*0.475*44/12</f>
        <v>34.287976906202324</v>
      </c>
      <c r="FS94" s="21">
        <f>EXP(-LN(2)/2)*FS93+(1-EXP(-LN(2)/2))/(LN(2)/2)*FM94*FP94*VLOOKUP('Données projet'!$B$16,Paramètres!$A$1:$I$89,3,0)*0.475*44/12</f>
        <v>1.2612135318948643</v>
      </c>
      <c r="FT94" s="22">
        <f t="shared" si="78"/>
        <v>72.605388539411933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3.4615384615384586</v>
      </c>
      <c r="FZ94" s="12">
        <f>IF('Données projet'!$A$244&gt;35,FZ93+FY94-GH93,IF(A94&lt;'Données projet'!$A$244,$FW$205^A94,IF(A94='Données projet'!$A$244,'Données projet'!$B$244,FZ93+FY94-GH93)))</f>
        <v>156.66666666666674</v>
      </c>
      <c r="GA94" s="17">
        <f>FZ94*VLOOKUP('Données projet'!$B$17,Paramètres!$A$1:$I$89,3,0)*VLOOKUP('Données projet'!$B$17,Paramètres!$A$1:$I$89,5,0)</f>
        <v>105.09200000000006</v>
      </c>
      <c r="GB94" s="13">
        <f t="shared" si="103"/>
        <v>28.171567603815863</v>
      </c>
      <c r="GC94" s="20">
        <f t="shared" si="79"/>
        <v>232.10071357664606</v>
      </c>
      <c r="GD94" s="59">
        <f t="shared" si="80"/>
        <v>522.26414080659629</v>
      </c>
      <c r="GE94" s="59">
        <f ca="1">AVERAGE(OFFSET($GD$3,0,0,'Données projet'!$E$17+1,1))-AVERAGE(OFFSET($H$3,0,0,'Données projet'!$E$17+1,1))</f>
        <v>192.88444860121191</v>
      </c>
      <c r="GF94" s="59">
        <f t="shared" si="104"/>
        <v>136.13737493732751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6.1972893404451481</v>
      </c>
      <c r="GM94" s="21">
        <f>EXP(-LN(2)/25)*GM93+(1-EXP(-LN(2)/25))/(LN(2)/25)*Calculateur!GH94*Calculateur!GJ94*VLOOKUP('Données projet'!$B$17,Paramètres!$A$1:$I$89,3,0)*0.475*44/12</f>
        <v>17.223611857260977</v>
      </c>
      <c r="GN94" s="21">
        <f>EXP(-LN(2)/2)*GN93+(1-EXP(-LN(2)/2))/(LN(2)/2)*GH94*GK94*VLOOKUP('Données projet'!$B$17,Paramètres!$A$1:$I$89,3,0)*0.475*44/12</f>
        <v>0.69900987756565225</v>
      </c>
      <c r="GO94" s="21">
        <f t="shared" si="81"/>
        <v>24.119911075271776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69.135480153622808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0.85000000000000009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3.1166666666666671</v>
      </c>
      <c r="H95" s="67">
        <f t="shared" si="56"/>
        <v>244.19999999999996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994.23696258933592</v>
      </c>
      <c r="S95" s="59">
        <f ca="1">AVERAGE(OFFSET($R$3,0,0,'Données projet'!$E$9+1,1))-AVERAGE(OFFSET($H$3,0,0,'Données projet'!$E$9+1,1))</f>
        <v>643.492472896403</v>
      </c>
      <c r="T95" s="59">
        <f t="shared" si="88"/>
        <v>285.0259479655341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-2.8421709430404007E-13</v>
      </c>
      <c r="AJ95" s="13">
        <f>AI95*VLOOKUP('Données projet'!$B$10,Paramètres!$A$1:$I$89,3,0)*VLOOKUP('Données projet'!$B$10,Paramètres!$A$1:$I$89,5,0)</f>
        <v>-2.2168933355715128E-13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289.89907502443873</v>
      </c>
      <c r="AO95" s="59">
        <f t="shared" si="90"/>
        <v>267.42183550360301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25.41802193711656</v>
      </c>
      <c r="AV95" s="21">
        <f>EXP(-LN(2)/25)*AV94+(1-EXP(-LN(2)/25))/(LN(2)/25)*Calculateur!AQ95*Calculateur!AS95*VLOOKUP('Données projet'!$B$10,Paramètres!$A$1:$I$89,3,0)*0.475*44/12</f>
        <v>24.460311148822054</v>
      </c>
      <c r="AW95" s="21">
        <f>EXP(-LN(2)/2)*AW94+(1-EXP(-LN(2)/2))/(LN(2)/2)*AQ95*AT95*VLOOKUP('Données projet'!$B$10,Paramètres!$A$1:$I$89,3,0)*0.475*44/12</f>
        <v>0.14764853259452282</v>
      </c>
      <c r="AX95" s="21">
        <f t="shared" si="60"/>
        <v>50.025981618533137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99.743589743589723</v>
      </c>
      <c r="BE95" s="13">
        <f>BD95*VLOOKUP('Données projet'!$B$11,Paramètres!$A$1:$I$89,3,0)*VLOOKUP('Données projet'!$B$11,Paramètres!$A$1:$I$89,5,0)</f>
        <v>96.471999999999994</v>
      </c>
      <c r="BF95" s="13">
        <f t="shared" si="91"/>
        <v>26.119751318300278</v>
      </c>
      <c r="BG95" s="20">
        <f t="shared" si="61"/>
        <v>213.51396687937299</v>
      </c>
      <c r="BH95" s="59">
        <f t="shared" si="62"/>
        <v>503.73238489336859</v>
      </c>
      <c r="BI95" s="59">
        <f ca="1">AVERAGE(OFFSET($BH$3,0,0,'Données projet'!$E$11+1,1))-AVERAGE(OFFSET($H$3,0,0,'Données projet'!$E$11+1,1))</f>
        <v>177.54241137663234</v>
      </c>
      <c r="BJ95" s="59">
        <f t="shared" si="92"/>
        <v>114.71095021456071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13.826372413244446</v>
      </c>
      <c r="BR95" s="21">
        <f>EXP(-LN(2)/2)*BR94+(1-EXP(-LN(2)/2))/(LN(2)/2)*BL95*BO95*VLOOKUP('Données projet'!$B$11,Paramètres!$A$1:$I$89,3,0)*0.475*44/12</f>
        <v>0.63993714458676731</v>
      </c>
      <c r="BS95" s="22">
        <f t="shared" si="63"/>
        <v>14.466309557831213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1.7948717948717956</v>
      </c>
      <c r="BY95" s="12">
        <f>IF('Données projet'!$A$114&gt;35,BY94+BX95-CG94,IF(A95&lt;'Données projet'!$A$114,$BV$205^A95,IF(A95='Données projet'!$A$114,'Données projet'!$B$114,BY94+BX95-CG94)))</f>
        <v>99.743589743589723</v>
      </c>
      <c r="BZ95" s="13">
        <f>BY95*VLOOKUP('Données projet'!$B$12,Paramètres!$A$1:$I$89,3,0)*VLOOKUP('Données projet'!$B$12,Paramètres!$A$1:$I$89,5,0)</f>
        <v>107.36399999999996</v>
      </c>
      <c r="CA95" s="13">
        <f t="shared" si="93"/>
        <v>28.709048403508778</v>
      </c>
      <c r="CB95" s="20">
        <f t="shared" si="64"/>
        <v>236.9938926361111</v>
      </c>
      <c r="CC95" s="59">
        <f t="shared" si="65"/>
        <v>527.2123106501067</v>
      </c>
      <c r="CD95" s="59">
        <f ca="1">AVERAGE(OFFSET($CC$3,0,0,'Données projet'!$E$12+1,1))-AVERAGE(OFFSET($H$3,0,0,'Données projet'!$E$12+1,1))</f>
        <v>192.88977161349993</v>
      </c>
      <c r="CE95" s="59">
        <f t="shared" si="94"/>
        <v>122.91376861456772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15.387414459901077</v>
      </c>
      <c r="CM95" s="21">
        <f>EXP(-LN(2)/2)*CM94+(1-EXP(-LN(2)/2))/(LN(2)/2)*CG95*CJ95*VLOOKUP('Données projet'!$B$12,Paramètres!$A$1:$I$89,3,0)*0.475*44/12</f>
        <v>0.71218811252398284</v>
      </c>
      <c r="CN95" s="22">
        <f t="shared" si="66"/>
        <v>16.099602572425059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-8.5265128291212022E-14</v>
      </c>
      <c r="CU95" s="17">
        <f>CT95*VLOOKUP('Données projet'!$B$13,Paramètres!$A$1:$I$89,3,0)*VLOOKUP('Données projet'!$B$13,Paramètres!$A$1:$I$89,5,0)</f>
        <v>-6.9167072069831198E-14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163.16040389635825</v>
      </c>
      <c r="CZ95" s="59">
        <f t="shared" si="96"/>
        <v>138.57856782158811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15.306579830862752</v>
      </c>
      <c r="DH95" s="21">
        <f>EXP(-LN(2)/2)*DH94+(1-EXP(-LN(2)/2))/(LN(2)/2)*DB95*DE95*VLOOKUP('Données projet'!$B$13,Paramètres!$A$1:$I$89,3,0)*0.475*44/12</f>
        <v>12.522533211615347</v>
      </c>
      <c r="DI95" s="22">
        <f t="shared" si="69"/>
        <v>27.829113042478099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10.192500000000001</v>
      </c>
      <c r="DO95" s="12">
        <f>IF('Données projet'!$A$166&gt;35,DO94+DN95-DW94,IF(A95&lt;'Données projet'!$A$166,$DL$205^A95,IF(A95='Données projet'!$A$166,'Données projet'!$B$166,DO94+DN95-DW94)))</f>
        <v>400.78749999999991</v>
      </c>
      <c r="DP95" s="17">
        <f>DO95*VLOOKUP('Données projet'!$B$14,Paramètres!$A$1:$I$89,3,0)*VLOOKUP('Données projet'!$B$14,Paramètres!$A$1:$I$89,5,0)</f>
        <v>187.56854999999999</v>
      </c>
      <c r="DQ95" s="13">
        <f t="shared" si="97"/>
        <v>47.00199148936823</v>
      </c>
      <c r="DR95" s="20">
        <f t="shared" si="70"/>
        <v>408.54369309398299</v>
      </c>
      <c r="DS95" s="59">
        <f t="shared" si="71"/>
        <v>698.76211110797863</v>
      </c>
      <c r="DT95" s="59">
        <f ca="1">AVERAGE(OFFSET($DS$3,0,0,'Données projet'!$E$14+1,1))-AVERAGE(OFFSET($H$3,0,0,'Données projet'!$E$14+1,1))</f>
        <v>343.44193069803498</v>
      </c>
      <c r="DU95" s="59">
        <f t="shared" si="98"/>
        <v>280.67367019483481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49.421562986176419</v>
      </c>
      <c r="EB95" s="21">
        <f>EXP(-LN(2)/25)*EB94+(1-EXP(-LN(2)/25))/(LN(2)/25)*Calculateur!DW95*Calculateur!DY95*VLOOKUP('Données projet'!$B$14,Paramètres!$A$1:$I$89,3,0)*0.475*44/12</f>
        <v>19.452437594415287</v>
      </c>
      <c r="EC95" s="21">
        <f>EXP(-LN(2)/2)*EC94+(1-EXP(-LN(2)/2))/(LN(2)/2)*DW95*DZ95*VLOOKUP('Données projet'!$B$14,Paramètres!$A$1:$I$89,3,0)*0.475*44/12</f>
        <v>0.91198569058582746</v>
      </c>
      <c r="ED95" s="22">
        <f t="shared" si="72"/>
        <v>69.785986271177535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3.4615384615384586</v>
      </c>
      <c r="EJ95" s="12">
        <f>IF('Données projet'!$A$192&gt;35,EJ94+EI95-ER94,IF(A95&lt;'Données projet'!$A$192,$EG$205^A95,IF(A95='Données projet'!$A$192,'Données projet'!$B$192,EJ94+EI95-ER94)))</f>
        <v>160.1282051282052</v>
      </c>
      <c r="EK95" s="17">
        <f>EJ95*VLOOKUP('Données projet'!$B$15,Paramètres!$A$1:$I$89,3,0)*VLOOKUP('Données projet'!$B$15,Paramètres!$A$1:$I$89,5,0)</f>
        <v>162.37000000000009</v>
      </c>
      <c r="EL95" s="13">
        <f t="shared" si="99"/>
        <v>41.376617205076514</v>
      </c>
      <c r="EM95" s="20">
        <f t="shared" si="73"/>
        <v>354.85869163217507</v>
      </c>
      <c r="EN95" s="59">
        <f t="shared" si="74"/>
        <v>645.0771096461707</v>
      </c>
      <c r="EO95" s="59">
        <f ca="1">AVERAGE(OFFSET($EN$3,0,0,'Données projet'!$E$15+1,1))-AVERAGE(OFFSET($H$3,0,0,'Données projet'!$E$15+1,1))</f>
        <v>270.0029254736703</v>
      </c>
      <c r="EP95" s="59">
        <f t="shared" si="100"/>
        <v>183.80022202211441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7.4514090182905255</v>
      </c>
      <c r="EW95" s="21">
        <f>EXP(-LN(2)/25)*EW94+(1-EXP(-LN(2)/25))/(LN(2)/25)*Calculateur!ER95*Calculateur!ET95*VLOOKUP('Données projet'!$B$15,Paramètres!$A$1:$I$89,3,0)*0.475*44/12</f>
        <v>20.545679878165974</v>
      </c>
      <c r="EX95" s="21">
        <f>EXP(-LN(2)/2)*EX94+(1-EXP(-LN(2)/2))/(LN(2)/2)*ER95*EU95*VLOOKUP('Données projet'!$B$15,Paramètres!$A$1:$I$89,3,0)*0.475*44/12</f>
        <v>0.74715931616972842</v>
      </c>
      <c r="EY95" s="22">
        <f t="shared" si="75"/>
        <v>28.744248212626228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-1.4897523215040567E-13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328.93328163316073</v>
      </c>
      <c r="FK95" s="59">
        <f t="shared" si="102"/>
        <v>320.27831321887072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36.329548658597041</v>
      </c>
      <c r="FR95" s="21">
        <f>EXP(-LN(2)/25)*FR94+(1-EXP(-LN(2)/25))/(LN(2)/25)*Calculateur!FM95*Calculateur!FO95*VLOOKUP('Données projet'!$B$16,Paramètres!$A$1:$I$89,3,0)*0.475*44/12</f>
        <v>33.350370374575881</v>
      </c>
      <c r="FS95" s="21">
        <f>EXP(-LN(2)/2)*FS94+(1-EXP(-LN(2)/2))/(LN(2)/2)*FM95*FP95*VLOOKUP('Données projet'!$B$16,Paramètres!$A$1:$I$89,3,0)*0.475*44/12</f>
        <v>0.89181264092709467</v>
      </c>
      <c r="FT95" s="22">
        <f t="shared" si="78"/>
        <v>70.571731674100022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3.4615384615384586</v>
      </c>
      <c r="FZ95" s="12">
        <f>IF('Données projet'!$A$244&gt;35,FZ94+FY95-GH94,IF(A95&lt;'Données projet'!$A$244,$FW$205^A95,IF(A95='Données projet'!$A$244,'Données projet'!$B$244,FZ94+FY95-GH94)))</f>
        <v>160.1282051282052</v>
      </c>
      <c r="GA95" s="17">
        <f>FZ95*VLOOKUP('Données projet'!$B$17,Paramètres!$A$1:$I$89,3,0)*VLOOKUP('Données projet'!$B$17,Paramètres!$A$1:$I$89,5,0)</f>
        <v>107.41400000000006</v>
      </c>
      <c r="GB95" s="13">
        <f t="shared" si="103"/>
        <v>28.720861780307029</v>
      </c>
      <c r="GC95" s="20">
        <f t="shared" si="79"/>
        <v>237.10155093403486</v>
      </c>
      <c r="GD95" s="59">
        <f t="shared" si="80"/>
        <v>527.31996894803046</v>
      </c>
      <c r="GE95" s="59">
        <f ca="1">AVERAGE(OFFSET($GD$3,0,0,'Données projet'!$E$17+1,1))-AVERAGE(OFFSET($H$3,0,0,'Données projet'!$E$17+1,1))</f>
        <v>192.88444860121191</v>
      </c>
      <c r="GF95" s="59">
        <f t="shared" si="104"/>
        <v>136.13737493732751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6.0757642764522748</v>
      </c>
      <c r="GM95" s="21">
        <f>EXP(-LN(2)/25)*GM94+(1-EXP(-LN(2)/25))/(LN(2)/25)*Calculateur!GH95*Calculateur!GJ95*VLOOKUP('Données projet'!$B$17,Paramètres!$A$1:$I$89,3,0)*0.475*44/12</f>
        <v>16.752631285273793</v>
      </c>
      <c r="GN95" s="21">
        <f>EXP(-LN(2)/2)*GN94+(1-EXP(-LN(2)/2))/(LN(2)/2)*GH95*GK95*VLOOKUP('Données projet'!$B$17,Paramètres!$A$1:$I$89,3,0)*0.475*44/12</f>
        <v>0.4942746245430511</v>
      </c>
      <c r="GO95" s="21">
        <f t="shared" si="81"/>
        <v>23.322670186269121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69.150477640180625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0.85000000000000009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3.1166666666666671</v>
      </c>
      <c r="H96" s="67">
        <f t="shared" si="56"/>
        <v>244.19999999999996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1011.7417657982228</v>
      </c>
      <c r="S96" s="59">
        <f ca="1">AVERAGE(OFFSET($R$3,0,0,'Données projet'!$E$9+1,1))-AVERAGE(OFFSET($H$3,0,0,'Données projet'!$E$9+1,1))</f>
        <v>643.492472896403</v>
      </c>
      <c r="T96" s="59">
        <f t="shared" si="88"/>
        <v>285.0259479655341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-2.8421709430404007E-13</v>
      </c>
      <c r="AJ96" s="13">
        <f>AI96*VLOOKUP('Données projet'!$B$10,Paramètres!$A$1:$I$89,3,0)*VLOOKUP('Données projet'!$B$10,Paramètres!$A$1:$I$89,5,0)</f>
        <v>-2.2168933355715128E-13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289.89907502443873</v>
      </c>
      <c r="AO96" s="59">
        <f t="shared" si="90"/>
        <v>267.42183550360301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24.919590030392246</v>
      </c>
      <c r="AV96" s="21">
        <f>EXP(-LN(2)/25)*AV95+(1-EXP(-LN(2)/25))/(LN(2)/25)*Calculateur!AQ96*Calculateur!AS96*VLOOKUP('Données projet'!$B$10,Paramètres!$A$1:$I$89,3,0)*0.475*44/12</f>
        <v>23.791442654145655</v>
      </c>
      <c r="AW96" s="21">
        <f>EXP(-LN(2)/2)*AW95+(1-EXP(-LN(2)/2))/(LN(2)/2)*AQ96*AT96*VLOOKUP('Données projet'!$B$10,Paramètres!$A$1:$I$89,3,0)*0.475*44/12</f>
        <v>0.10440327862983008</v>
      </c>
      <c r="AX96" s="21">
        <f t="shared" si="60"/>
        <v>48.815435963167729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101.53846153846152</v>
      </c>
      <c r="BE96" s="13">
        <f>BD96*VLOOKUP('Données projet'!$B$11,Paramètres!$A$1:$I$89,3,0)*VLOOKUP('Données projet'!$B$11,Paramètres!$A$1:$I$89,5,0)</f>
        <v>98.207999999999984</v>
      </c>
      <c r="BF96" s="13">
        <f t="shared" si="91"/>
        <v>26.53463000881818</v>
      </c>
      <c r="BG96" s="20">
        <f t="shared" si="61"/>
        <v>217.26008059869164</v>
      </c>
      <c r="BH96" s="59">
        <f t="shared" si="62"/>
        <v>507.53253542957043</v>
      </c>
      <c r="BI96" s="59">
        <f ca="1">AVERAGE(OFFSET($BH$3,0,0,'Données projet'!$E$11+1,1))-AVERAGE(OFFSET($H$3,0,0,'Données projet'!$E$11+1,1))</f>
        <v>177.54241137663234</v>
      </c>
      <c r="BJ96" s="59">
        <f t="shared" si="92"/>
        <v>114.71095021456071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13.448289532506951</v>
      </c>
      <c r="BR96" s="21">
        <f>EXP(-LN(2)/2)*BR95+(1-EXP(-LN(2)/2))/(LN(2)/2)*BL96*BO96*VLOOKUP('Données projet'!$B$11,Paramètres!$A$1:$I$89,3,0)*0.475*44/12</f>
        <v>0.45250389447045936</v>
      </c>
      <c r="BS96" s="22">
        <f t="shared" si="63"/>
        <v>13.90079342697741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1.7948717948717956</v>
      </c>
      <c r="BY96" s="12">
        <f>IF('Données projet'!$A$114&gt;35,BY95+BX96-CG95,IF(A96&lt;'Données projet'!$A$114,$BV$205^A96,IF(A96='Données projet'!$A$114,'Données projet'!$B$114,BY95+BX96-CG95)))</f>
        <v>101.53846153846152</v>
      </c>
      <c r="BZ96" s="13">
        <f>BY96*VLOOKUP('Données projet'!$B$12,Paramètres!$A$1:$I$89,3,0)*VLOOKUP('Données projet'!$B$12,Paramètres!$A$1:$I$89,5,0)</f>
        <v>109.29599999999998</v>
      </c>
      <c r="CA96" s="13">
        <f t="shared" si="93"/>
        <v>29.165054751445091</v>
      </c>
      <c r="CB96" s="20">
        <f t="shared" si="64"/>
        <v>241.15300369210016</v>
      </c>
      <c r="CC96" s="59">
        <f t="shared" si="65"/>
        <v>531.42545852297894</v>
      </c>
      <c r="CD96" s="59">
        <f ca="1">AVERAGE(OFFSET($CC$3,0,0,'Données projet'!$E$12+1,1))-AVERAGE(OFFSET($H$3,0,0,'Données projet'!$E$12+1,1))</f>
        <v>192.88977161349993</v>
      </c>
      <c r="CE96" s="59">
        <f t="shared" si="94"/>
        <v>122.91376861456772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14.966644802306124</v>
      </c>
      <c r="CM96" s="21">
        <f>EXP(-LN(2)/2)*CM95+(1-EXP(-LN(2)/2))/(LN(2)/2)*CG96*CJ96*VLOOKUP('Données projet'!$B$12,Paramètres!$A$1:$I$89,3,0)*0.475*44/12</f>
        <v>0.50359304384615622</v>
      </c>
      <c r="CN96" s="22">
        <f t="shared" si="66"/>
        <v>15.47023784615228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-8.5265128291212022E-14</v>
      </c>
      <c r="CU96" s="17">
        <f>CT96*VLOOKUP('Données projet'!$B$13,Paramètres!$A$1:$I$89,3,0)*VLOOKUP('Données projet'!$B$13,Paramètres!$A$1:$I$89,5,0)</f>
        <v>-6.9167072069831198E-14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163.16040389635825</v>
      </c>
      <c r="CZ96" s="59">
        <f t="shared" si="96"/>
        <v>138.57856782158811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14.88802060044976</v>
      </c>
      <c r="DH96" s="21">
        <f>EXP(-LN(2)/2)*DH95+(1-EXP(-LN(2)/2))/(LN(2)/2)*DB96*DE96*VLOOKUP('Données projet'!$B$13,Paramètres!$A$1:$I$89,3,0)*0.475*44/12</f>
        <v>8.8547681515669669</v>
      </c>
      <c r="DI96" s="22">
        <f t="shared" si="69"/>
        <v>23.742788752016729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10.192500000000001</v>
      </c>
      <c r="DO96" s="12">
        <f>IF('Données projet'!$A$166&gt;35,DO95+DN96-DW95,IF(A96&lt;'Données projet'!$A$166,$DL$205^A96,IF(A96='Données projet'!$A$166,'Données projet'!$B$166,DO95+DN96-DW95)))</f>
        <v>410.9799999999999</v>
      </c>
      <c r="DP96" s="17">
        <f>DO96*VLOOKUP('Données projet'!$B$14,Paramètres!$A$1:$I$89,3,0)*VLOOKUP('Données projet'!$B$14,Paramètres!$A$1:$I$89,5,0)</f>
        <v>192.33863999999997</v>
      </c>
      <c r="DQ96" s="13">
        <f t="shared" si="97"/>
        <v>48.056624248232239</v>
      </c>
      <c r="DR96" s="20">
        <f t="shared" si="70"/>
        <v>418.68841856567104</v>
      </c>
      <c r="DS96" s="59">
        <f t="shared" si="71"/>
        <v>708.9608733965498</v>
      </c>
      <c r="DT96" s="59">
        <f ca="1">AVERAGE(OFFSET($DS$3,0,0,'Données projet'!$E$14+1,1))-AVERAGE(OFFSET($H$3,0,0,'Données projet'!$E$14+1,1))</f>
        <v>343.44193069803498</v>
      </c>
      <c r="DU96" s="59">
        <f t="shared" si="98"/>
        <v>280.67367019483481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48.452436280194433</v>
      </c>
      <c r="EB96" s="21">
        <f>EXP(-LN(2)/25)*EB95+(1-EXP(-LN(2)/25))/(LN(2)/25)*Calculateur!DW96*Calculateur!DY96*VLOOKUP('Données projet'!$B$14,Paramètres!$A$1:$I$89,3,0)*0.475*44/12</f>
        <v>18.920509665436768</v>
      </c>
      <c r="EC96" s="21">
        <f>EXP(-LN(2)/2)*EC95+(1-EXP(-LN(2)/2))/(LN(2)/2)*DW96*DZ96*VLOOKUP('Données projet'!$B$14,Paramètres!$A$1:$I$89,3,0)*0.475*44/12</f>
        <v>0.64487126615833512</v>
      </c>
      <c r="ED96" s="22">
        <f t="shared" si="72"/>
        <v>68.017817211789534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3.4615384615384586</v>
      </c>
      <c r="EJ96" s="12">
        <f>IF('Données projet'!$A$192&gt;35,EJ95+EI96-ER95,IF(A96&lt;'Données projet'!$A$192,$EG$205^A96,IF(A96='Données projet'!$A$192,'Données projet'!$B$192,EJ95+EI96-ER95)))</f>
        <v>163.58974358974365</v>
      </c>
      <c r="EK96" s="17">
        <f>EJ96*VLOOKUP('Données projet'!$B$15,Paramètres!$A$1:$I$89,3,0)*VLOOKUP('Données projet'!$B$15,Paramètres!$A$1:$I$89,5,0)</f>
        <v>165.88000000000005</v>
      </c>
      <c r="EL96" s="13">
        <f t="shared" si="99"/>
        <v>42.165967225323705</v>
      </c>
      <c r="EM96" s="20">
        <f t="shared" si="73"/>
        <v>362.34672625077218</v>
      </c>
      <c r="EN96" s="59">
        <f t="shared" si="74"/>
        <v>652.61918108165094</v>
      </c>
      <c r="EO96" s="59">
        <f ca="1">AVERAGE(OFFSET($EN$3,0,0,'Données projet'!$E$15+1,1))-AVERAGE(OFFSET($H$3,0,0,'Données projet'!$E$15+1,1))</f>
        <v>270.0029254736703</v>
      </c>
      <c r="EP96" s="59">
        <f t="shared" si="100"/>
        <v>183.80022202211441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7.3052914323525764</v>
      </c>
      <c r="EW96" s="21">
        <f>EXP(-LN(2)/25)*EW95+(1-EXP(-LN(2)/25))/(LN(2)/25)*Calculateur!ER96*Calculateur!ET96*VLOOKUP('Données projet'!$B$15,Paramètres!$A$1:$I$89,3,0)*0.475*44/12</f>
        <v>19.983857181447178</v>
      </c>
      <c r="EX96" s="21">
        <f>EXP(-LN(2)/2)*EX95+(1-EXP(-LN(2)/2))/(LN(2)/2)*ER96*EU96*VLOOKUP('Données projet'!$B$15,Paramètres!$A$1:$I$89,3,0)*0.475*44/12</f>
        <v>0.52832141909031871</v>
      </c>
      <c r="EY96" s="22">
        <f t="shared" si="75"/>
        <v>27.817470032890071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-1.4897523215040567E-13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328.93328163316073</v>
      </c>
      <c r="FK96" s="59">
        <f t="shared" si="102"/>
        <v>320.27831321887072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35.617148368238631</v>
      </c>
      <c r="FR96" s="21">
        <f>EXP(-LN(2)/25)*FR95+(1-EXP(-LN(2)/25))/(LN(2)/25)*Calculateur!FM96*Calculateur!FO96*VLOOKUP('Données projet'!$B$16,Paramètres!$A$1:$I$89,3,0)*0.475*44/12</f>
        <v>32.438402742863346</v>
      </c>
      <c r="FS96" s="21">
        <f>EXP(-LN(2)/2)*FS95+(1-EXP(-LN(2)/2))/(LN(2)/2)*FM96*FP96*VLOOKUP('Données projet'!$B$16,Paramètres!$A$1:$I$89,3,0)*0.475*44/12</f>
        <v>0.63060676594743226</v>
      </c>
      <c r="FT96" s="22">
        <f t="shared" si="78"/>
        <v>68.686157877049411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3.4615384615384586</v>
      </c>
      <c r="FZ96" s="12">
        <f>IF('Données projet'!$A$244&gt;35,FZ95+FY96-GH95,IF(A96&lt;'Données projet'!$A$244,$FW$205^A96,IF(A96='Données projet'!$A$244,'Données projet'!$B$244,FZ95+FY96-GH95)))</f>
        <v>163.58974358974365</v>
      </c>
      <c r="GA96" s="17">
        <f>FZ96*VLOOKUP('Données projet'!$B$17,Paramètres!$A$1:$I$89,3,0)*VLOOKUP('Données projet'!$B$17,Paramètres!$A$1:$I$89,5,0)</f>
        <v>109.73600000000005</v>
      </c>
      <c r="GB96" s="13">
        <f t="shared" si="103"/>
        <v>29.268775417505548</v>
      </c>
      <c r="GC96" s="20">
        <f t="shared" si="79"/>
        <v>242.09998385215556</v>
      </c>
      <c r="GD96" s="59">
        <f t="shared" si="80"/>
        <v>532.37243868303426</v>
      </c>
      <c r="GE96" s="59">
        <f ca="1">AVERAGE(OFFSET($GD$3,0,0,'Données projet'!$E$17+1,1))-AVERAGE(OFFSET($H$3,0,0,'Données projet'!$E$17+1,1))</f>
        <v>192.88444860121191</v>
      </c>
      <c r="GF96" s="59">
        <f t="shared" si="104"/>
        <v>136.13737493732751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5.9566222448413324</v>
      </c>
      <c r="GM96" s="21">
        <f>EXP(-LN(2)/25)*GM95+(1-EXP(-LN(2)/25))/(LN(2)/25)*Calculateur!GH96*Calculateur!GJ96*VLOOKUP('Données projet'!$B$17,Paramètres!$A$1:$I$89,3,0)*0.475*44/12</f>
        <v>16.294529701795391</v>
      </c>
      <c r="GN96" s="21">
        <f>EXP(-LN(2)/2)*GN95+(1-EXP(-LN(2)/2))/(LN(2)/2)*GH96*GK96*VLOOKUP('Données projet'!$B$17,Paramètres!$A$1:$I$89,3,0)*0.475*44/12</f>
        <v>0.34950493878282618</v>
      </c>
      <c r="GO96" s="21">
        <f t="shared" si="81"/>
        <v>22.60065688541955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69.165214953876031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0.85000000000000009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3.1166666666666671</v>
      </c>
      <c r="H97" s="67">
        <f t="shared" si="56"/>
        <v>244.19999999999996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1029.2370212964843</v>
      </c>
      <c r="S97" s="59">
        <f ca="1">AVERAGE(OFFSET($R$3,0,0,'Données projet'!$E$9+1,1))-AVERAGE(OFFSET($H$3,0,0,'Données projet'!$E$9+1,1))</f>
        <v>643.492472896403</v>
      </c>
      <c r="T97" s="59">
        <f t="shared" si="88"/>
        <v>285.0259479655341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-2.8421709430404007E-13</v>
      </c>
      <c r="AJ97" s="13">
        <f>AI97*VLOOKUP('Données projet'!$B$10,Paramètres!$A$1:$I$89,3,0)*VLOOKUP('Données projet'!$B$10,Paramètres!$A$1:$I$89,5,0)</f>
        <v>-2.2168933355715128E-13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289.89907502443873</v>
      </c>
      <c r="AO97" s="59">
        <f t="shared" si="90"/>
        <v>267.42183550360301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24.430932069345353</v>
      </c>
      <c r="AV97" s="21">
        <f>EXP(-LN(2)/25)*AV96+(1-EXP(-LN(2)/25))/(LN(2)/25)*Calculateur!AQ97*Calculateur!AS97*VLOOKUP('Données projet'!$B$10,Paramètres!$A$1:$I$89,3,0)*0.475*44/12</f>
        <v>23.140864403630449</v>
      </c>
      <c r="AW97" s="21">
        <f>EXP(-LN(2)/2)*AW96+(1-EXP(-LN(2)/2))/(LN(2)/2)*AQ97*AT97*VLOOKUP('Données projet'!$B$10,Paramètres!$A$1:$I$89,3,0)*0.475*44/12</f>
        <v>7.3824266297261409E-2</v>
      </c>
      <c r="AX97" s="21">
        <f t="shared" si="60"/>
        <v>47.645620739273063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103.33333333333331</v>
      </c>
      <c r="BE97" s="13">
        <f>BD97*VLOOKUP('Données projet'!$B$11,Paramètres!$A$1:$I$89,3,0)*VLOOKUP('Données projet'!$B$11,Paramètres!$A$1:$I$89,5,0)</f>
        <v>99.943999999999974</v>
      </c>
      <c r="BF97" s="13">
        <f t="shared" si="91"/>
        <v>26.948655885664159</v>
      </c>
      <c r="BG97" s="20">
        <f t="shared" si="61"/>
        <v>221.00470900086501</v>
      </c>
      <c r="BH97" s="59">
        <f t="shared" si="62"/>
        <v>511.33026323066224</v>
      </c>
      <c r="BI97" s="59">
        <f ca="1">AVERAGE(OFFSET($BH$3,0,0,'Données projet'!$E$11+1,1))-AVERAGE(OFFSET($H$3,0,0,'Données projet'!$E$11+1,1))</f>
        <v>177.54241137663234</v>
      </c>
      <c r="BJ97" s="59">
        <f t="shared" si="92"/>
        <v>114.71095021456071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13.080545348025739</v>
      </c>
      <c r="BR97" s="21">
        <f>EXP(-LN(2)/2)*BR96+(1-EXP(-LN(2)/2))/(LN(2)/2)*BL97*BO97*VLOOKUP('Données projet'!$B$11,Paramètres!$A$1:$I$89,3,0)*0.475*44/12</f>
        <v>0.31996857229338371</v>
      </c>
      <c r="BS97" s="22">
        <f t="shared" si="63"/>
        <v>13.400513920319122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1.7948717948717956</v>
      </c>
      <c r="BY97" s="12">
        <f>IF('Données projet'!$A$114&gt;35,BY96+BX97-CG96,IF(A97&lt;'Données projet'!$A$114,$BV$205^A97,IF(A97='Données projet'!$A$114,'Données projet'!$B$114,BY96+BX97-CG96)))</f>
        <v>103.33333333333331</v>
      </c>
      <c r="BZ97" s="13">
        <f>BY97*VLOOKUP('Données projet'!$B$12,Paramètres!$A$1:$I$89,3,0)*VLOOKUP('Données projet'!$B$12,Paramètres!$A$1:$I$89,5,0)</f>
        <v>111.22799999999998</v>
      </c>
      <c r="CA97" s="13">
        <f t="shared" si="93"/>
        <v>29.620123744783804</v>
      </c>
      <c r="CB97" s="20">
        <f t="shared" si="64"/>
        <v>245.31048218883168</v>
      </c>
      <c r="CC97" s="59">
        <f t="shared" si="65"/>
        <v>535.63603641862892</v>
      </c>
      <c r="CD97" s="59">
        <f ca="1">AVERAGE(OFFSET($CC$3,0,0,'Données projet'!$E$12+1,1))-AVERAGE(OFFSET($H$3,0,0,'Données projet'!$E$12+1,1))</f>
        <v>192.88977161349993</v>
      </c>
      <c r="CE97" s="59">
        <f t="shared" si="94"/>
        <v>122.91376861456772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14.55738111312542</v>
      </c>
      <c r="CM97" s="21">
        <f>EXP(-LN(2)/2)*CM96+(1-EXP(-LN(2)/2))/(LN(2)/2)*CG97*CJ97*VLOOKUP('Données projet'!$B$12,Paramètres!$A$1:$I$89,3,0)*0.475*44/12</f>
        <v>0.35609405626199142</v>
      </c>
      <c r="CN97" s="22">
        <f t="shared" si="66"/>
        <v>14.913475169387411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-8.5265128291212022E-14</v>
      </c>
      <c r="CU97" s="17">
        <f>CT97*VLOOKUP('Données projet'!$B$13,Paramètres!$A$1:$I$89,3,0)*VLOOKUP('Données projet'!$B$13,Paramètres!$A$1:$I$89,5,0)</f>
        <v>-6.9167072069831198E-14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163.16040389635825</v>
      </c>
      <c r="CZ97" s="59">
        <f t="shared" si="96"/>
        <v>138.57856782158811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14.480906894203486</v>
      </c>
      <c r="DH97" s="21">
        <f>EXP(-LN(2)/2)*DH96+(1-EXP(-LN(2)/2))/(LN(2)/2)*DB97*DE97*VLOOKUP('Données projet'!$B$13,Paramètres!$A$1:$I$89,3,0)*0.475*44/12</f>
        <v>6.2612666058076734</v>
      </c>
      <c r="DI97" s="22">
        <f t="shared" si="69"/>
        <v>20.742173500011159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10.192500000000001</v>
      </c>
      <c r="DO97" s="12">
        <f>IF('Données projet'!$A$166&gt;35,DO96+DN97-DW96,IF(A97&lt;'Données projet'!$A$166,$DL$205^A97,IF(A97='Données projet'!$A$166,'Données projet'!$B$166,DO96+DN97-DW96)))</f>
        <v>421.1724999999999</v>
      </c>
      <c r="DP97" s="17">
        <f>DO97*VLOOKUP('Données projet'!$B$14,Paramètres!$A$1:$I$89,3,0)*VLOOKUP('Données projet'!$B$14,Paramètres!$A$1:$I$89,5,0)</f>
        <v>197.10872999999995</v>
      </c>
      <c r="DQ97" s="13">
        <f t="shared" si="97"/>
        <v>49.108216579835904</v>
      </c>
      <c r="DR97" s="20">
        <f t="shared" si="70"/>
        <v>428.82784862654739</v>
      </c>
      <c r="DS97" s="59">
        <f t="shared" si="71"/>
        <v>719.15340285634466</v>
      </c>
      <c r="DT97" s="59">
        <f ca="1">AVERAGE(OFFSET($DS$3,0,0,'Données projet'!$E$14+1,1))-AVERAGE(OFFSET($H$3,0,0,'Données projet'!$E$14+1,1))</f>
        <v>343.44193069803498</v>
      </c>
      <c r="DU97" s="59">
        <f t="shared" si="98"/>
        <v>280.67367019483481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47.502313557807831</v>
      </c>
      <c r="EB97" s="21">
        <f>EXP(-LN(2)/25)*EB96+(1-EXP(-LN(2)/25))/(LN(2)/25)*Calculateur!DW97*Calculateur!DY97*VLOOKUP('Données projet'!$B$14,Paramètres!$A$1:$I$89,3,0)*0.475*44/12</f>
        <v>18.403127333649039</v>
      </c>
      <c r="EC97" s="21">
        <f>EXP(-LN(2)/2)*EC96+(1-EXP(-LN(2)/2))/(LN(2)/2)*DW97*DZ97*VLOOKUP('Données projet'!$B$14,Paramètres!$A$1:$I$89,3,0)*0.475*44/12</f>
        <v>0.45599284529291373</v>
      </c>
      <c r="ED97" s="22">
        <f t="shared" si="72"/>
        <v>66.361433736749774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3.4615384615384586</v>
      </c>
      <c r="EJ97" s="12">
        <f>IF('Données projet'!$A$192&gt;35,EJ96+EI97-ER96,IF(A97&lt;'Données projet'!$A$192,$EG$205^A97,IF(A97='Données projet'!$A$192,'Données projet'!$B$192,EJ96+EI97-ER96)))</f>
        <v>167.0512820512821</v>
      </c>
      <c r="EK97" s="17">
        <f>EJ97*VLOOKUP('Données projet'!$B$15,Paramètres!$A$1:$I$89,3,0)*VLOOKUP('Données projet'!$B$15,Paramètres!$A$1:$I$89,5,0)</f>
        <v>169.39000000000007</v>
      </c>
      <c r="EL97" s="13">
        <f t="shared" si="99"/>
        <v>42.95337530817001</v>
      </c>
      <c r="EM97" s="20">
        <f t="shared" si="73"/>
        <v>369.83137866172956</v>
      </c>
      <c r="EN97" s="59">
        <f t="shared" si="74"/>
        <v>660.15693289152682</v>
      </c>
      <c r="EO97" s="59">
        <f ca="1">AVERAGE(OFFSET($EN$3,0,0,'Données projet'!$E$15+1,1))-AVERAGE(OFFSET($H$3,0,0,'Données projet'!$E$15+1,1))</f>
        <v>270.0029254736703</v>
      </c>
      <c r="EP97" s="59">
        <f t="shared" si="100"/>
        <v>183.80022202211441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7.1620391231519438</v>
      </c>
      <c r="EW97" s="21">
        <f>EXP(-LN(2)/25)*EW96+(1-EXP(-LN(2)/25))/(LN(2)/25)*Calculateur!ER97*Calculateur!ET97*VLOOKUP('Données projet'!$B$15,Paramètres!$A$1:$I$89,3,0)*0.475*44/12</f>
        <v>19.43739755591513</v>
      </c>
      <c r="EX97" s="21">
        <f>EXP(-LN(2)/2)*EX96+(1-EXP(-LN(2)/2))/(LN(2)/2)*ER97*EU97*VLOOKUP('Données projet'!$B$15,Paramètres!$A$1:$I$89,3,0)*0.475*44/12</f>
        <v>0.37357965808486426</v>
      </c>
      <c r="EY97" s="22">
        <f t="shared" si="75"/>
        <v>26.97301633715194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-1.4897523215040567E-13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328.93328163316073</v>
      </c>
      <c r="FK97" s="59">
        <f t="shared" si="102"/>
        <v>320.27831321887072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34.918717813052879</v>
      </c>
      <c r="FR97" s="21">
        <f>EXP(-LN(2)/25)*FR96+(1-EXP(-LN(2)/25))/(LN(2)/25)*Calculateur!FM97*Calculateur!FO97*VLOOKUP('Données projet'!$B$16,Paramètres!$A$1:$I$89,3,0)*0.475*44/12</f>
        <v>31.551372913998286</v>
      </c>
      <c r="FS97" s="21">
        <f>EXP(-LN(2)/2)*FS96+(1-EXP(-LN(2)/2))/(LN(2)/2)*FM97*FP97*VLOOKUP('Données projet'!$B$16,Paramètres!$A$1:$I$89,3,0)*0.475*44/12</f>
        <v>0.44590632046354739</v>
      </c>
      <c r="FT97" s="22">
        <f t="shared" si="78"/>
        <v>66.915997047514722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3.4615384615384586</v>
      </c>
      <c r="FZ97" s="12">
        <f>IF('Données projet'!$A$244&gt;35,FZ96+FY97-GH96,IF(A97&lt;'Données projet'!$A$244,$FW$205^A97,IF(A97='Données projet'!$A$244,'Données projet'!$B$244,FZ96+FY97-GH96)))</f>
        <v>167.0512820512821</v>
      </c>
      <c r="GA97" s="17">
        <f>FZ97*VLOOKUP('Données projet'!$B$17,Paramètres!$A$1:$I$89,3,0)*VLOOKUP('Données projet'!$B$17,Paramètres!$A$1:$I$89,5,0)</f>
        <v>112.05800000000002</v>
      </c>
      <c r="GB97" s="13">
        <f t="shared" si="103"/>
        <v>29.815341092510714</v>
      </c>
      <c r="GC97" s="20">
        <f t="shared" si="79"/>
        <v>247.09606906945621</v>
      </c>
      <c r="GD97" s="59">
        <f t="shared" si="80"/>
        <v>537.42162329925338</v>
      </c>
      <c r="GE97" s="59">
        <f ca="1">AVERAGE(OFFSET($GD$3,0,0,'Données projet'!$E$17+1,1))-AVERAGE(OFFSET($H$3,0,0,'Données projet'!$E$17+1,1))</f>
        <v>192.88444860121191</v>
      </c>
      <c r="GF97" s="59">
        <f t="shared" si="104"/>
        <v>136.13737493732751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5.8398165158008162</v>
      </c>
      <c r="GM97" s="21">
        <f>EXP(-LN(2)/25)*GM96+(1-EXP(-LN(2)/25))/(LN(2)/25)*Calculateur!GH97*Calculateur!GJ97*VLOOKUP('Données projet'!$B$17,Paramètres!$A$1:$I$89,3,0)*0.475*44/12</f>
        <v>15.84895493020772</v>
      </c>
      <c r="GN97" s="21">
        <f>EXP(-LN(2)/2)*GN96+(1-EXP(-LN(2)/2))/(LN(2)/2)*GH97*GK97*VLOOKUP('Données projet'!$B$17,Paramètres!$A$1:$I$89,3,0)*0.475*44/12</f>
        <v>0.24713731227152558</v>
      </c>
      <c r="GO97" s="21">
        <f t="shared" si="81"/>
        <v>21.935908758280064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69.179696608126505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0.85000000000000009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3.1166666666666671</v>
      </c>
      <c r="H98" s="67">
        <f t="shared" si="56"/>
        <v>244.19999999999996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918.0748191982459</v>
      </c>
      <c r="S98" s="59">
        <f ca="1">AVERAGE(OFFSET($R$3,0,0,'Données projet'!$E$9+1,1))-AVERAGE(OFFSET($H$3,0,0,'Données projet'!$E$9+1,1))</f>
        <v>643.492472896403</v>
      </c>
      <c r="T98" s="59">
        <f t="shared" si="88"/>
        <v>285.0259479655341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-2.8421709430404007E-13</v>
      </c>
      <c r="AJ98" s="13">
        <f>AI98*VLOOKUP('Données projet'!$B$10,Paramètres!$A$1:$I$89,3,0)*VLOOKUP('Données projet'!$B$10,Paramètres!$A$1:$I$89,5,0)</f>
        <v>-2.2168933355715128E-13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289.89907502443873</v>
      </c>
      <c r="AO98" s="59">
        <f t="shared" si="90"/>
        <v>267.42183550360301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23.951856392862663</v>
      </c>
      <c r="AV98" s="21">
        <f>EXP(-LN(2)/25)*AV97+(1-EXP(-LN(2)/25))/(LN(2)/25)*Calculateur!AQ98*Calculateur!AS98*VLOOKUP('Données projet'!$B$10,Paramètres!$A$1:$I$89,3,0)*0.475*44/12</f>
        <v>22.508076249588004</v>
      </c>
      <c r="AW98" s="21">
        <f>EXP(-LN(2)/2)*AW97+(1-EXP(-LN(2)/2))/(LN(2)/2)*AQ98*AT98*VLOOKUP('Données projet'!$B$10,Paramètres!$A$1:$I$89,3,0)*0.475*44/12</f>
        <v>5.220163931491504E-2</v>
      </c>
      <c r="AX98" s="21">
        <f t="shared" si="60"/>
        <v>46.512134281765583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105.12820512820512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105.12820512820511</v>
      </c>
      <c r="BE98" s="13">
        <f>BD98*VLOOKUP('Données projet'!$B$11,Paramètres!$A$1:$I$89,3,0)*VLOOKUP('Données projet'!$B$11,Paramètres!$A$1:$I$89,5,0)</f>
        <v>101.67999999999999</v>
      </c>
      <c r="BF98" s="13">
        <f t="shared" si="91"/>
        <v>27.361845471196556</v>
      </c>
      <c r="BG98" s="20">
        <f t="shared" si="61"/>
        <v>224.747880862334</v>
      </c>
      <c r="BH98" s="59">
        <f t="shared" si="62"/>
        <v>515.12561333519079</v>
      </c>
      <c r="BI98" s="59">
        <f ca="1">AVERAGE(OFFSET($BH$3,0,0,'Données projet'!$E$11+1,1))-AVERAGE(OFFSET($H$3,0,0,'Données projet'!$E$11+1,1))</f>
        <v>177.54241137663234</v>
      </c>
      <c r="BJ98" s="59">
        <f t="shared" si="92"/>
        <v>114.71095021456071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5.7692307692307692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0.34400000000000003</v>
      </c>
      <c r="BO98" s="16">
        <f>IF(ISNA(VLOOKUP(A98,'Données projet'!$A$87:$I$107,7,0)),0%,VLOOKUP(A98,'Données projet'!$A$87:$I$107,7,0))</f>
        <v>0.2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14.836474636250168</v>
      </c>
      <c r="BR98" s="21">
        <f>EXP(-LN(2)/2)*BR97+(1-EXP(-LN(2)/2))/(LN(2)/2)*BL98*BO98*VLOOKUP('Données projet'!$B$11,Paramètres!$A$1:$I$89,3,0)*0.475*44/12</f>
        <v>1.279227983934843</v>
      </c>
      <c r="BS98" s="22">
        <f t="shared" si="63"/>
        <v>16.115702620185012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105.12820512820512</v>
      </c>
      <c r="BW98" s="12">
        <f>VLOOKUP(A98,'Données projet'!$A$113:$I$133,9,0)</f>
        <v>1.7948717948717956</v>
      </c>
      <c r="BX98" s="12">
        <f t="array" ref="BX98">INDEX(BW:BW,MIN(IF(ISNUMBER(BW98:BW294),ROW(BW98:BW294),"")))</f>
        <v>1.7948717948717956</v>
      </c>
      <c r="BY98" s="12">
        <f>IF('Données projet'!$A$114&gt;35,BY97+BX98-CG97,IF(A98&lt;'Données projet'!$A$114,$BV$205^A98,IF(A98='Données projet'!$A$114,'Données projet'!$B$114,BY97+BX98-CG97)))</f>
        <v>105.12820512820511</v>
      </c>
      <c r="BZ98" s="13">
        <f>BY98*VLOOKUP('Données projet'!$B$12,Paramètres!$A$1:$I$89,3,0)*VLOOKUP('Données projet'!$B$12,Paramètres!$A$1:$I$89,5,0)</f>
        <v>113.15999999999997</v>
      </c>
      <c r="CA98" s="13">
        <f t="shared" si="93"/>
        <v>30.074273543773817</v>
      </c>
      <c r="CB98" s="20">
        <f t="shared" si="64"/>
        <v>249.46635975540599</v>
      </c>
      <c r="CC98" s="59">
        <f t="shared" si="65"/>
        <v>539.84409222826287</v>
      </c>
      <c r="CD98" s="59">
        <f ca="1">AVERAGE(OFFSET($CC$3,0,0,'Données projet'!$E$12+1,1))-AVERAGE(OFFSET($H$3,0,0,'Données projet'!$E$12+1,1))</f>
        <v>192.88977161349993</v>
      </c>
      <c r="CE98" s="59">
        <f t="shared" si="94"/>
        <v>122.91376861456772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5.7692307692307692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0.34400000000000003</v>
      </c>
      <c r="CJ98" s="16">
        <f>IF(ISNA(VLOOKUP(A98,'Données projet'!$A$113:$I$133,7,0)),0%,VLOOKUP(A98,'Données projet'!$A$113:$I$133,7,0))</f>
        <v>0.2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16.511560482278412</v>
      </c>
      <c r="CM98" s="21">
        <f>EXP(-LN(2)/2)*CM97+(1-EXP(-LN(2)/2))/(LN(2)/2)*CG98*CJ98*VLOOKUP('Données projet'!$B$12,Paramètres!$A$1:$I$89,3,0)*0.475*44/12</f>
        <v>1.4236569498629703</v>
      </c>
      <c r="CN98" s="22">
        <f t="shared" si="66"/>
        <v>17.935217432141382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-8.5265128291212022E-14</v>
      </c>
      <c r="CU98" s="17">
        <f>CT98*VLOOKUP('Données projet'!$B$13,Paramètres!$A$1:$I$89,3,0)*VLOOKUP('Données projet'!$B$13,Paramètres!$A$1:$I$89,5,0)</f>
        <v>-6.9167072069831198E-14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163.16040389635825</v>
      </c>
      <c r="CZ98" s="59">
        <f t="shared" si="96"/>
        <v>138.57856782158811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14.084925733663693</v>
      </c>
      <c r="DH98" s="21">
        <f>EXP(-LN(2)/2)*DH97+(1-EXP(-LN(2)/2))/(LN(2)/2)*DB98*DE98*VLOOKUP('Données projet'!$B$13,Paramètres!$A$1:$I$89,3,0)*0.475*44/12</f>
        <v>4.4273840757834835</v>
      </c>
      <c r="DI98" s="22">
        <f t="shared" si="69"/>
        <v>18.512309809447178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10.192500000000001</v>
      </c>
      <c r="DO98" s="12">
        <f>IF('Données projet'!$A$166&gt;35,DO97+DN98-DW97,IF(A98&lt;'Données projet'!$A$166,$DL$205^A98,IF(A98='Données projet'!$A$166,'Données projet'!$B$166,DO97+DN98-DW97)))</f>
        <v>431.3649999999999</v>
      </c>
      <c r="DP98" s="17">
        <f>DO98*VLOOKUP('Données projet'!$B$14,Paramètres!$A$1:$I$89,3,0)*VLOOKUP('Données projet'!$B$14,Paramètres!$A$1:$I$89,5,0)</f>
        <v>201.87881999999993</v>
      </c>
      <c r="DQ98" s="13">
        <f t="shared" si="97"/>
        <v>50.156850528656342</v>
      </c>
      <c r="DR98" s="20">
        <f t="shared" si="70"/>
        <v>438.96212617074298</v>
      </c>
      <c r="DS98" s="59">
        <f t="shared" si="71"/>
        <v>729.33985864359988</v>
      </c>
      <c r="DT98" s="59">
        <f ca="1">AVERAGE(OFFSET($DS$3,0,0,'Données projet'!$E$14+1,1))-AVERAGE(OFFSET($H$3,0,0,'Données projet'!$E$14+1,1))</f>
        <v>343.44193069803498</v>
      </c>
      <c r="DU98" s="59">
        <f t="shared" si="98"/>
        <v>280.67367019483481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46.570822162489591</v>
      </c>
      <c r="EB98" s="21">
        <f>EXP(-LN(2)/25)*EB97+(1-EXP(-LN(2)/25))/(LN(2)/25)*Calculateur!DW98*Calculateur!DY98*VLOOKUP('Données projet'!$B$14,Paramètres!$A$1:$I$89,3,0)*0.475*44/12</f>
        <v>17.899892848932001</v>
      </c>
      <c r="EC98" s="21">
        <f>EXP(-LN(2)/2)*EC97+(1-EXP(-LN(2)/2))/(LN(2)/2)*DW98*DZ98*VLOOKUP('Données projet'!$B$14,Paramètres!$A$1:$I$89,3,0)*0.475*44/12</f>
        <v>0.32243563307916756</v>
      </c>
      <c r="ED98" s="22">
        <f t="shared" si="72"/>
        <v>64.793150644500756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170.5128205128205</v>
      </c>
      <c r="EH98" s="12">
        <f>VLOOKUP(A98,'Données projet'!$A$191:$I$211,9,0)</f>
        <v>3.4615384615384586</v>
      </c>
      <c r="EI98" s="12">
        <f t="array" ref="EI98">INDEX(EH:EH,MIN(IF(ISNUMBER(EH98:EH294),ROW(EH98:EH294),"")))</f>
        <v>3.4615384615384586</v>
      </c>
      <c r="EJ98" s="12">
        <f>IF('Données projet'!$A$192&gt;35,EJ97+EI98-ER97,IF(A98&lt;'Données projet'!$A$192,$EG$205^A98,IF(A98='Données projet'!$A$192,'Données projet'!$B$192,EJ97+EI98-ER97)))</f>
        <v>170.51282051282055</v>
      </c>
      <c r="EK98" s="17">
        <f>EJ98*VLOOKUP('Données projet'!$B$15,Paramètres!$A$1:$I$89,3,0)*VLOOKUP('Données projet'!$B$15,Paramètres!$A$1:$I$89,5,0)</f>
        <v>172.90000000000003</v>
      </c>
      <c r="EL98" s="13">
        <f t="shared" si="99"/>
        <v>43.738886329549878</v>
      </c>
      <c r="EM98" s="20">
        <f t="shared" si="73"/>
        <v>377.31272702396603</v>
      </c>
      <c r="EN98" s="59">
        <f t="shared" si="74"/>
        <v>667.69045949682288</v>
      </c>
      <c r="EO98" s="59">
        <f ca="1">AVERAGE(OFFSET($EN$3,0,0,'Données projet'!$E$15+1,1))-AVERAGE(OFFSET($H$3,0,0,'Données projet'!$E$15+1,1))</f>
        <v>270.0029254736703</v>
      </c>
      <c r="EP98" s="59">
        <f t="shared" si="100"/>
        <v>183.80022202211441</v>
      </c>
      <c r="EQ98" s="15">
        <f>IF(ISNA(VLOOKUP(A98,'Données projet'!$A$191:$I$211,3,0)),0,VLOOKUP(A98,'Données projet'!$A$191:$I$211,3,0))</f>
        <v>16</v>
      </c>
      <c r="ER98" s="15">
        <f>IF(ISNA(VLOOKUP(A98,'Données projet'!$A$191:$I$211,4,0)),0,VLOOKUP(A98,'Données projet'!$A$191:$I$211,4,0))</f>
        <v>12.179487179487179</v>
      </c>
      <c r="ES98" s="16">
        <f>IF(ISNA(VLOOKUP(A98,'Données projet'!$A$191:$I$211,5,0)),0%,VLOOKUP(A98,'Données projet'!$A$191:$I$211,5,0)*VLOOKUP('Données projet'!$B$15,Paramètres!$A$1:$I$89,7,0))</f>
        <v>0.15049999999999999</v>
      </c>
      <c r="ET98" s="16">
        <f>IF(ISNA(VLOOKUP(A98,'Données projet'!$A$191:$I$211,6,0)),0%,VLOOKUP(A98,'Données projet'!$A$191:$I$211,6,0)*VLOOKUP('Données projet'!$B$15,Paramètres!$A$1:$I$89,7,0))</f>
        <v>8.6000000000000007E-2</v>
      </c>
      <c r="EU98" s="16">
        <f>IF(ISNA(VLOOKUP(A98,'Données projet'!$A$191:$I$211,7,0)),0%,VLOOKUP(A98,'Données projet'!$A$191:$I$211,7,0))</f>
        <v>0.1</v>
      </c>
      <c r="EV98" s="21">
        <f>EXP(-LN(2)/35)*EV97+(1-EXP(-LN(2)/35))/(LN(2)/35)*ER98*ES98*VLOOKUP('Données projet'!$B$15,Paramètres!$A$1:$I$89,3,0)*0.475*44/12</f>
        <v>9.0763060620378599</v>
      </c>
      <c r="EW98" s="21">
        <f>EXP(-LN(2)/25)*EW97+(1-EXP(-LN(2)/25))/(LN(2)/25)*Calculateur!ER98*Calculateur!ET98*VLOOKUP('Données projet'!$B$15,Paramètres!$A$1:$I$89,3,0)*0.475*44/12</f>
        <v>20.075378029512706</v>
      </c>
      <c r="EX98" s="21">
        <f>EXP(-LN(2)/2)*EX97+(1-EXP(-LN(2)/2))/(LN(2)/2)*ER98*EU98*VLOOKUP('Données projet'!$B$15,Paramètres!$A$1:$I$89,3,0)*0.475*44/12</f>
        <v>1.4294164490828138</v>
      </c>
      <c r="EY98" s="22">
        <f t="shared" si="75"/>
        <v>30.581100540633379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-1.4897523215040567E-13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328.93328163316073</v>
      </c>
      <c r="FK98" s="59">
        <f t="shared" si="102"/>
        <v>320.27831321887072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34.233983055053741</v>
      </c>
      <c r="FR98" s="21">
        <f>EXP(-LN(2)/25)*FR97+(1-EXP(-LN(2)/25))/(LN(2)/25)*Calculateur!FM98*Calculateur!FO98*VLOOKUP('Données projet'!$B$16,Paramètres!$A$1:$I$89,3,0)*0.475*44/12</f>
        <v>30.688598962450413</v>
      </c>
      <c r="FS98" s="21">
        <f>EXP(-LN(2)/2)*FS97+(1-EXP(-LN(2)/2))/(LN(2)/2)*FM98*FP98*VLOOKUP('Données projet'!$B$16,Paramètres!$A$1:$I$89,3,0)*0.475*44/12</f>
        <v>0.31530338297371618</v>
      </c>
      <c r="FT98" s="22">
        <f t="shared" si="78"/>
        <v>65.237885400477865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170.5128205128205</v>
      </c>
      <c r="FX98" s="12">
        <f>VLOOKUP(A98,'Données projet'!$A$243:$I$263,9,0)</f>
        <v>3.4615384615384586</v>
      </c>
      <c r="FY98" s="12">
        <f t="array" ref="FY98">INDEX(FX:FX,MIN(IF(ISNUMBER(FX98:FX294),ROW(FX98:FX294),"")))</f>
        <v>3.4615384615384586</v>
      </c>
      <c r="FZ98" s="12">
        <f>IF('Données projet'!$A$244&gt;35,FZ97+FY98-GH97,IF(A98&lt;'Données projet'!$A$244,$FW$205^A98,IF(A98='Données projet'!$A$244,'Données projet'!$B$244,FZ97+FY98-GH97)))</f>
        <v>170.51282051282055</v>
      </c>
      <c r="GA98" s="17">
        <f>FZ98*VLOOKUP('Données projet'!$B$17,Paramètres!$A$1:$I$89,3,0)*VLOOKUP('Données projet'!$B$17,Paramètres!$A$1:$I$89,5,0)</f>
        <v>114.38000000000002</v>
      </c>
      <c r="GB98" s="13">
        <f t="shared" si="103"/>
        <v>30.360589955174895</v>
      </c>
      <c r="GC98" s="20">
        <f t="shared" si="79"/>
        <v>252.08986083859631</v>
      </c>
      <c r="GD98" s="59">
        <f t="shared" si="80"/>
        <v>542.46759331145313</v>
      </c>
      <c r="GE98" s="59">
        <f ca="1">AVERAGE(OFFSET($GD$3,0,0,'Données projet'!$E$17+1,1))-AVERAGE(OFFSET($H$3,0,0,'Données projet'!$E$17+1,1))</f>
        <v>192.88444860121191</v>
      </c>
      <c r="GF98" s="59">
        <f t="shared" si="104"/>
        <v>136.13737493732751</v>
      </c>
      <c r="GG98" s="15">
        <f>IF(ISNA(VLOOKUP(A98,'Données projet'!$A$243:$I$263,3,0)),0,VLOOKUP(A98,'Données projet'!$A$243:$I$263,3,0))</f>
        <v>16</v>
      </c>
      <c r="GH98" s="15">
        <f>IF(ISNA(VLOOKUP(A98,'Données projet'!$A$243:$I$263,4,0)),0,VLOOKUP(A98,'Données projet'!$A$243:$I$263,4,0))</f>
        <v>12.179487179487179</v>
      </c>
      <c r="GI98" s="16">
        <f>IF(ISNA(VLOOKUP(A98,'Données projet'!$A$243:$I$263,5,0)),0%,VLOOKUP(A98,'Données projet'!$A$243:$I$263,5,0)*VLOOKUP('Données projet'!$B$17,Paramètres!$A$1:$I$89,7,0))</f>
        <v>0.1855</v>
      </c>
      <c r="GJ98" s="16">
        <f>IF(ISNA(VLOOKUP(A98,'Données projet'!$A$243:$I$263,6,0)),0%,VLOOKUP(A98,'Données projet'!$A$243:$I$263,6,0)*VLOOKUP('Données projet'!$B$17,Paramètres!$A$1:$I$89,7,0))</f>
        <v>0.10600000000000001</v>
      </c>
      <c r="GK98" s="16">
        <f>IF(ISNA(VLOOKUP(A98,'Données projet'!$A$243:$I$263,7,0)),0%,VLOOKUP(A98,'Données projet'!$A$243:$I$263,7,0))</f>
        <v>0.1</v>
      </c>
      <c r="GL98" s="21">
        <f>EXP(-LN(2)/35)*GL97+(1-EXP(-LN(2)/35))/(LN(2)/35)*GH98*GI98*VLOOKUP('Données projet'!$B$17,Paramètres!$A$1:$I$89,3,0)*0.475*44/12</f>
        <v>7.4006803275077946</v>
      </c>
      <c r="GM98" s="21">
        <f>EXP(-LN(2)/25)*GM97+(1-EXP(-LN(2)/25))/(LN(2)/25)*Calculateur!GH98*Calculateur!GJ98*VLOOKUP('Données projet'!$B$17,Paramètres!$A$1:$I$89,3,0)*0.475*44/12</f>
        <v>16.369154393294973</v>
      </c>
      <c r="GN98" s="21">
        <f>EXP(-LN(2)/2)*GN97+(1-EXP(-LN(2)/2))/(LN(2)/2)*GH98*GK98*VLOOKUP('Données projet'!$B$17,Paramètres!$A$1:$I$89,3,0)*0.475*44/12</f>
        <v>0.94561395862401543</v>
      </c>
      <c r="GO98" s="21">
        <f t="shared" si="81"/>
        <v>24.715448679426785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69.193927038051868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0.85000000000000009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3.1166666666666671</v>
      </c>
      <c r="H99" s="67">
        <f t="shared" si="56"/>
        <v>244.19999999999996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935.17715265912034</v>
      </c>
      <c r="S99" s="59">
        <f ca="1">AVERAGE(OFFSET($R$3,0,0,'Données projet'!$E$9+1,1))-AVERAGE(OFFSET($H$3,0,0,'Données projet'!$E$9+1,1))</f>
        <v>643.492472896403</v>
      </c>
      <c r="T99" s="59">
        <f t="shared" si="88"/>
        <v>285.0259479655341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-2.8421709430404007E-13</v>
      </c>
      <c r="AJ99" s="13">
        <f>AI99*VLOOKUP('Données projet'!$B$10,Paramètres!$A$1:$I$89,3,0)*VLOOKUP('Données projet'!$B$10,Paramètres!$A$1:$I$89,5,0)</f>
        <v>-2.2168933355715128E-13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289.89907502443873</v>
      </c>
      <c r="AO99" s="59">
        <f t="shared" si="90"/>
        <v>267.42183550360301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23.482175098188488</v>
      </c>
      <c r="AV99" s="21">
        <f>EXP(-LN(2)/25)*AV98+(1-EXP(-LN(2)/25))/(LN(2)/25)*Calculateur!AQ99*Calculateur!AS99*VLOOKUP('Données projet'!$B$10,Paramètres!$A$1:$I$89,3,0)*0.475*44/12</f>
        <v>21.892591720894732</v>
      </c>
      <c r="AW99" s="21">
        <f>EXP(-LN(2)/2)*AW98+(1-EXP(-LN(2)/2))/(LN(2)/2)*AQ99*AT99*VLOOKUP('Données projet'!$B$10,Paramètres!$A$1:$I$89,3,0)*0.475*44/12</f>
        <v>3.6912133148630705E-2</v>
      </c>
      <c r="AX99" s="21">
        <f t="shared" si="60"/>
        <v>45.411678952231853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1.9230769230769256</v>
      </c>
      <c r="BD99" s="12">
        <f>IF('Données projet'!$A$88&gt;35,BD98+BC99-BL98,IF(A99&lt;'Données projet'!$A$88,$BA$205^A99,IF(A99='Données projet'!$A$88,'Données projet'!$B$88,BD98+BC99-BL98)))</f>
        <v>101.28205128205126</v>
      </c>
      <c r="BE99" s="13">
        <f>BD99*VLOOKUP('Données projet'!$B$11,Paramètres!$A$1:$I$89,3,0)*VLOOKUP('Données projet'!$B$11,Paramètres!$A$1:$I$89,5,0)</f>
        <v>97.95999999999998</v>
      </c>
      <c r="BF99" s="13">
        <f t="shared" si="91"/>
        <v>26.475414230611928</v>
      </c>
      <c r="BG99" s="20">
        <f t="shared" si="61"/>
        <v>216.72501311831573</v>
      </c>
      <c r="BH99" s="59">
        <f t="shared" si="62"/>
        <v>507.15401865836827</v>
      </c>
      <c r="BI99" s="59">
        <f ca="1">AVERAGE(OFFSET($BH$3,0,0,'Données projet'!$E$11+1,1))-AVERAGE(OFFSET($H$3,0,0,'Données projet'!$E$11+1,1))</f>
        <v>177.54241137663234</v>
      </c>
      <c r="BJ99" s="59">
        <f t="shared" si="92"/>
        <v>114.71095021456071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14.430770457105615</v>
      </c>
      <c r="BR99" s="21">
        <f>EXP(-LN(2)/2)*BR98+(1-EXP(-LN(2)/2))/(LN(2)/2)*BL99*BO99*VLOOKUP('Données projet'!$B$11,Paramètres!$A$1:$I$89,3,0)*0.475*44/12</f>
        <v>0.90455078212392348</v>
      </c>
      <c r="BS99" s="22">
        <f t="shared" si="63"/>
        <v>15.335321239229538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1.9230769230769256</v>
      </c>
      <c r="BY99" s="12">
        <f>IF('Données projet'!$A$114&gt;35,BY98+BX99-CG98,IF(A99&lt;'Données projet'!$A$114,$BV$205^A99,IF(A99='Données projet'!$A$114,'Données projet'!$B$114,BY98+BX99-CG98)))</f>
        <v>101.28205128205126</v>
      </c>
      <c r="BZ99" s="13">
        <f>BY99*VLOOKUP('Données projet'!$B$12,Paramètres!$A$1:$I$89,3,0)*VLOOKUP('Données projet'!$B$12,Paramètres!$A$1:$I$89,5,0)</f>
        <v>109.01999999999997</v>
      </c>
      <c r="CA99" s="13">
        <f t="shared" si="93"/>
        <v>29.09996880854855</v>
      </c>
      <c r="CB99" s="20">
        <f t="shared" si="64"/>
        <v>240.55894567488869</v>
      </c>
      <c r="CC99" s="59">
        <f t="shared" si="65"/>
        <v>530.98795121494118</v>
      </c>
      <c r="CD99" s="59">
        <f ca="1">AVERAGE(OFFSET($CC$3,0,0,'Données projet'!$E$12+1,1))-AVERAGE(OFFSET($H$3,0,0,'Données projet'!$E$12+1,1))</f>
        <v>192.88977161349993</v>
      </c>
      <c r="CE99" s="59">
        <f t="shared" si="94"/>
        <v>122.91376861456772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16.060050992585282</v>
      </c>
      <c r="CM99" s="21">
        <f>EXP(-LN(2)/2)*CM98+(1-EXP(-LN(2)/2))/(LN(2)/2)*CG99*CJ99*VLOOKUP('Données projet'!$B$12,Paramètres!$A$1:$I$89,3,0)*0.475*44/12</f>
        <v>1.0066774833314631</v>
      </c>
      <c r="CN99" s="22">
        <f t="shared" si="66"/>
        <v>17.066728475916744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-8.5265128291212022E-14</v>
      </c>
      <c r="CU99" s="17">
        <f>CT99*VLOOKUP('Données projet'!$B$13,Paramètres!$A$1:$I$89,3,0)*VLOOKUP('Données projet'!$B$13,Paramètres!$A$1:$I$89,5,0)</f>
        <v>-6.9167072069831198E-14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163.16040389635825</v>
      </c>
      <c r="CZ99" s="59">
        <f t="shared" si="96"/>
        <v>138.57856782158811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13.699772698782606</v>
      </c>
      <c r="DH99" s="21">
        <f>EXP(-LN(2)/2)*DH98+(1-EXP(-LN(2)/2))/(LN(2)/2)*DB99*DE99*VLOOKUP('Données projet'!$B$13,Paramètres!$A$1:$I$89,3,0)*0.475*44/12</f>
        <v>3.1306333029038367</v>
      </c>
      <c r="DI99" s="22">
        <f t="shared" si="69"/>
        <v>16.830406001686441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10.192500000000001</v>
      </c>
      <c r="DO99" s="12">
        <f>IF('Données projet'!$A$166&gt;35,DO98+DN99-DW98,IF(A99&lt;'Données projet'!$A$166,$DL$205^A99,IF(A99='Données projet'!$A$166,'Données projet'!$B$166,DO98+DN99-DW98)))</f>
        <v>441.55749999999989</v>
      </c>
      <c r="DP99" s="17">
        <f>DO99*VLOOKUP('Données projet'!$B$14,Paramètres!$A$1:$I$89,3,0)*VLOOKUP('Données projet'!$B$14,Paramètres!$A$1:$I$89,5,0)</f>
        <v>206.64890999999994</v>
      </c>
      <c r="DQ99" s="13">
        <f t="shared" si="97"/>
        <v>51.202604040835197</v>
      </c>
      <c r="DR99" s="20">
        <f t="shared" si="70"/>
        <v>449.09138695445449</v>
      </c>
      <c r="DS99" s="59">
        <f t="shared" si="71"/>
        <v>739.52039249450695</v>
      </c>
      <c r="DT99" s="59">
        <f ca="1">AVERAGE(OFFSET($DS$3,0,0,'Données projet'!$E$14+1,1))-AVERAGE(OFFSET($H$3,0,0,'Données projet'!$E$14+1,1))</f>
        <v>343.44193069803498</v>
      </c>
      <c r="DU99" s="59">
        <f t="shared" si="98"/>
        <v>280.67367019483481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45.657596745279889</v>
      </c>
      <c r="EB99" s="21">
        <f>EXP(-LN(2)/25)*EB98+(1-EXP(-LN(2)/25))/(LN(2)/25)*Calculateur!DW99*Calculateur!DY99*VLOOKUP('Données projet'!$B$14,Paramètres!$A$1:$I$89,3,0)*0.475*44/12</f>
        <v>17.410419337663502</v>
      </c>
      <c r="EC99" s="21">
        <f>EXP(-LN(2)/2)*EC98+(1-EXP(-LN(2)/2))/(LN(2)/2)*DW99*DZ99*VLOOKUP('Données projet'!$B$14,Paramètres!$A$1:$I$89,3,0)*0.475*44/12</f>
        <v>0.22799642264645686</v>
      </c>
      <c r="ED99" s="22">
        <f t="shared" si="72"/>
        <v>63.296012505589843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3.0769230769230829</v>
      </c>
      <c r="EJ99" s="12">
        <f>IF('Données projet'!$A$192&gt;35,EJ98+EI99-ER98,IF(A99&lt;'Données projet'!$A$192,$EG$205^A99,IF(A99='Données projet'!$A$192,'Données projet'!$B$192,EJ98+EI99-ER98)))</f>
        <v>161.41025641025647</v>
      </c>
      <c r="EK99" s="17">
        <f>EJ99*VLOOKUP('Données projet'!$B$15,Paramètres!$A$1:$I$89,3,0)*VLOOKUP('Données projet'!$B$15,Paramètres!$A$1:$I$89,5,0)</f>
        <v>163.67000000000004</v>
      </c>
      <c r="EL99" s="13">
        <f t="shared" si="99"/>
        <v>41.669198416969415</v>
      </c>
      <c r="EM99" s="20">
        <f t="shared" si="73"/>
        <v>357.63243724288844</v>
      </c>
      <c r="EN99" s="59">
        <f t="shared" si="74"/>
        <v>648.06144278294096</v>
      </c>
      <c r="EO99" s="59">
        <f ca="1">AVERAGE(OFFSET($EN$3,0,0,'Données projet'!$E$15+1,1))-AVERAGE(OFFSET($H$3,0,0,'Données projet'!$E$15+1,1))</f>
        <v>270.0029254736703</v>
      </c>
      <c r="EP99" s="59">
        <f t="shared" si="100"/>
        <v>183.80022202211441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8.8983252361613605</v>
      </c>
      <c r="EW99" s="21">
        <f>EXP(-LN(2)/25)*EW98+(1-EXP(-LN(2)/25))/(LN(2)/25)*Calculateur!ER99*Calculateur!ET99*VLOOKUP('Données projet'!$B$15,Paramètres!$A$1:$I$89,3,0)*0.475*44/12</f>
        <v>19.526415761577432</v>
      </c>
      <c r="EX99" s="21">
        <f>EXP(-LN(2)/2)*EX98+(1-EXP(-LN(2)/2))/(LN(2)/2)*ER99*EU99*VLOOKUP('Données projet'!$B$15,Paramètres!$A$1:$I$89,3,0)*0.475*44/12</f>
        <v>1.010750064286053</v>
      </c>
      <c r="EY99" s="22">
        <f t="shared" si="75"/>
        <v>29.435491062024848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-1.4897523215040567E-13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328.93328163316073</v>
      </c>
      <c r="FK99" s="59">
        <f t="shared" si="102"/>
        <v>320.27831321887072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33.562675528012008</v>
      </c>
      <c r="FR99" s="21">
        <f>EXP(-LN(2)/25)*FR98+(1-EXP(-LN(2)/25))/(LN(2)/25)*Calculateur!FM99*Calculateur!FO99*VLOOKUP('Données projet'!$B$16,Paramètres!$A$1:$I$89,3,0)*0.475*44/12</f>
        <v>29.849417609978929</v>
      </c>
      <c r="FS99" s="21">
        <f>EXP(-LN(2)/2)*FS98+(1-EXP(-LN(2)/2))/(LN(2)/2)*FM99*FP99*VLOOKUP('Données projet'!$B$16,Paramètres!$A$1:$I$89,3,0)*0.475*44/12</f>
        <v>0.22295316023177375</v>
      </c>
      <c r="FT99" s="22">
        <f t="shared" si="78"/>
        <v>63.635046298222711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3.0769230769230829</v>
      </c>
      <c r="FZ99" s="12">
        <f>IF('Données projet'!$A$244&gt;35,FZ98+FY99-GH98,IF(A99&lt;'Données projet'!$A$244,$FW$205^A99,IF(A99='Données projet'!$A$244,'Données projet'!$B$244,FZ98+FY99-GH98)))</f>
        <v>161.41025641025647</v>
      </c>
      <c r="GA99" s="17">
        <f>FZ99*VLOOKUP('Données projet'!$B$17,Paramètres!$A$1:$I$89,3,0)*VLOOKUP('Données projet'!$B$17,Paramètres!$A$1:$I$89,5,0)</f>
        <v>108.27400000000004</v>
      </c>
      <c r="GB99" s="13">
        <f t="shared" si="103"/>
        <v>28.923951958139686</v>
      </c>
      <c r="GC99" s="20">
        <f t="shared" si="79"/>
        <v>238.95309966042669</v>
      </c>
      <c r="GD99" s="59">
        <f t="shared" si="80"/>
        <v>529.38210520047915</v>
      </c>
      <c r="GE99" s="59">
        <f ca="1">AVERAGE(OFFSET($GD$3,0,0,'Données projet'!$E$17+1,1))-AVERAGE(OFFSET($H$3,0,0,'Données projet'!$E$17+1,1))</f>
        <v>192.88444860121191</v>
      </c>
      <c r="GF99" s="59">
        <f t="shared" si="104"/>
        <v>136.13737493732751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7.2555575002546489</v>
      </c>
      <c r="GM99" s="21">
        <f>EXP(-LN(2)/25)*GM98+(1-EXP(-LN(2)/25))/(LN(2)/25)*Calculateur!GH99*Calculateur!GJ99*VLOOKUP('Données projet'!$B$17,Paramètres!$A$1:$I$89,3,0)*0.475*44/12</f>
        <v>15.921539005593905</v>
      </c>
      <c r="GN99" s="21">
        <f>EXP(-LN(2)/2)*GN98+(1-EXP(-LN(2)/2))/(LN(2)/2)*GH99*GK99*VLOOKUP('Données projet'!$B$17,Paramètres!$A$1:$I$89,3,0)*0.475*44/12</f>
        <v>0.66865004252769678</v>
      </c>
      <c r="GO99" s="21">
        <f t="shared" si="81"/>
        <v>23.845746548376251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69.207910601832509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0.85000000000000009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3.1166666666666671</v>
      </c>
      <c r="H100" s="67">
        <f t="shared" si="56"/>
        <v>244.19999999999996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952.26929362613305</v>
      </c>
      <c r="S100" s="59">
        <f ca="1">AVERAGE(OFFSET($R$3,0,0,'Données projet'!$E$9+1,1))-AVERAGE(OFFSET($H$3,0,0,'Données projet'!$E$9+1,1))</f>
        <v>643.492472896403</v>
      </c>
      <c r="T100" s="59">
        <f t="shared" si="88"/>
        <v>285.0259479655341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-2.8421709430404007E-13</v>
      </c>
      <c r="AJ100" s="13">
        <f>AI100*VLOOKUP('Données projet'!$B$10,Paramètres!$A$1:$I$89,3,0)*VLOOKUP('Données projet'!$B$10,Paramètres!$A$1:$I$89,5,0)</f>
        <v>-2.2168933355715128E-13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289.89907502443873</v>
      </c>
      <c r="AO100" s="59">
        <f t="shared" si="90"/>
        <v>267.42183550360301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23.021703967225573</v>
      </c>
      <c r="AV100" s="21">
        <f>EXP(-LN(2)/25)*AV99+(1-EXP(-LN(2)/25))/(LN(2)/25)*Calculateur!AQ100*Calculateur!AS100*VLOOKUP('Données projet'!$B$10,Paramètres!$A$1:$I$89,3,0)*0.475*44/12</f>
        <v>21.293937649005503</v>
      </c>
      <c r="AW100" s="21">
        <f>EXP(-LN(2)/2)*AW99+(1-EXP(-LN(2)/2))/(LN(2)/2)*AQ100*AT100*VLOOKUP('Données projet'!$B$10,Paramètres!$A$1:$I$89,3,0)*0.475*44/12</f>
        <v>2.610081965745752E-2</v>
      </c>
      <c r="AX100" s="21">
        <f t="shared" si="60"/>
        <v>44.341742435888534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1.9230769230769256</v>
      </c>
      <c r="BD100" s="12">
        <f>IF('Données projet'!$A$88&gt;35,BD99+BC100-BL99,IF(A100&lt;'Données projet'!$A$88,$BA$205^A100,IF(A100='Données projet'!$A$88,'Données projet'!$B$88,BD99+BC100-BL99)))</f>
        <v>103.20512820512818</v>
      </c>
      <c r="BE100" s="13">
        <f>BD100*VLOOKUP('Données projet'!$B$11,Paramètres!$A$1:$I$89,3,0)*VLOOKUP('Données projet'!$B$11,Paramètres!$A$1:$I$89,5,0)</f>
        <v>99.819999999999979</v>
      </c>
      <c r="BF100" s="13">
        <f t="shared" si="91"/>
        <v>26.919110535105666</v>
      </c>
      <c r="BG100" s="20">
        <f t="shared" si="61"/>
        <v>220.73728418197564</v>
      </c>
      <c r="BH100" s="59">
        <f t="shared" si="62"/>
        <v>511.2166733161373</v>
      </c>
      <c r="BI100" s="59">
        <f ca="1">AVERAGE(OFFSET($BH$3,0,0,'Données projet'!$E$11+1,1))-AVERAGE(OFFSET($H$3,0,0,'Données projet'!$E$11+1,1))</f>
        <v>177.54241137663234</v>
      </c>
      <c r="BJ100" s="59">
        <f t="shared" si="92"/>
        <v>114.71095021456071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14.036160280074824</v>
      </c>
      <c r="BR100" s="21">
        <f>EXP(-LN(2)/2)*BR99+(1-EXP(-LN(2)/2))/(LN(2)/2)*BL100*BO100*VLOOKUP('Données projet'!$B$11,Paramètres!$A$1:$I$89,3,0)*0.475*44/12</f>
        <v>0.63961399196742164</v>
      </c>
      <c r="BS100" s="22">
        <f t="shared" si="63"/>
        <v>14.675774272042245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1.9230769230769256</v>
      </c>
      <c r="BY100" s="12">
        <f>IF('Données projet'!$A$114&gt;35,BY99+BX100-CG99,IF(A100&lt;'Données projet'!$A$114,$BV$205^A100,IF(A100='Données projet'!$A$114,'Données projet'!$B$114,BY99+BX100-CG99)))</f>
        <v>103.20512820512818</v>
      </c>
      <c r="BZ100" s="13">
        <f>BY100*VLOOKUP('Données projet'!$B$12,Paramètres!$A$1:$I$89,3,0)*VLOOKUP('Données projet'!$B$12,Paramètres!$A$1:$I$89,5,0)</f>
        <v>111.08999999999997</v>
      </c>
      <c r="CA100" s="13">
        <f t="shared" si="93"/>
        <v>29.587649511436585</v>
      </c>
      <c r="CB100" s="20">
        <f t="shared" si="64"/>
        <v>245.01357289908535</v>
      </c>
      <c r="CC100" s="59">
        <f t="shared" si="65"/>
        <v>535.49296203324707</v>
      </c>
      <c r="CD100" s="59">
        <f ca="1">AVERAGE(OFFSET($CC$3,0,0,'Données projet'!$E$12+1,1))-AVERAGE(OFFSET($H$3,0,0,'Données projet'!$E$12+1,1))</f>
        <v>192.88977161349993</v>
      </c>
      <c r="CE100" s="59">
        <f t="shared" si="94"/>
        <v>122.91376861456772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15.620888053631662</v>
      </c>
      <c r="CM100" s="21">
        <f>EXP(-LN(2)/2)*CM99+(1-EXP(-LN(2)/2))/(LN(2)/2)*CG100*CJ100*VLOOKUP('Données projet'!$B$12,Paramètres!$A$1:$I$89,3,0)*0.475*44/12</f>
        <v>0.71182847493148527</v>
      </c>
      <c r="CN100" s="22">
        <f t="shared" si="66"/>
        <v>16.332716528563147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-8.5265128291212022E-14</v>
      </c>
      <c r="CU100" s="17">
        <f>CT100*VLOOKUP('Données projet'!$B$13,Paramètres!$A$1:$I$89,3,0)*VLOOKUP('Données projet'!$B$13,Paramètres!$A$1:$I$89,5,0)</f>
        <v>-6.9167072069831198E-14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163.16040389635825</v>
      </c>
      <c r="CZ100" s="59">
        <f t="shared" si="96"/>
        <v>138.57856782158811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13.325151693894661</v>
      </c>
      <c r="DH100" s="21">
        <f>EXP(-LN(2)/2)*DH99+(1-EXP(-LN(2)/2))/(LN(2)/2)*DB100*DE100*VLOOKUP('Données projet'!$B$13,Paramètres!$A$1:$I$89,3,0)*0.475*44/12</f>
        <v>2.2136920378917417</v>
      </c>
      <c r="DI100" s="22">
        <f t="shared" si="69"/>
        <v>15.538843731786402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>
        <f>VLOOKUP(A100,'Données projet'!$A$165:$I$185,2,0)</f>
        <v>451.75</v>
      </c>
      <c r="DM100" s="12">
        <f>VLOOKUP(A100,'Données projet'!$A$165:$I$185,9,0)</f>
        <v>10.192500000000001</v>
      </c>
      <c r="DN100" s="12">
        <f t="array" ref="DN100">INDEX(DM:DM,MIN(IF(ISNUMBER(DM100:DM296),ROW(DM100:DM296),"")))</f>
        <v>10.192500000000001</v>
      </c>
      <c r="DO100" s="12">
        <f>IF('Données projet'!$A$166&gt;35,DO99+DN100-DW99,IF(A100&lt;'Données projet'!$A$166,$DL$205^A100,IF(A100='Données projet'!$A$166,'Données projet'!$B$166,DO99+DN100-DW99)))</f>
        <v>451.74999999999989</v>
      </c>
      <c r="DP100" s="17">
        <f>DO100*VLOOKUP('Données projet'!$B$14,Paramètres!$A$1:$I$89,3,0)*VLOOKUP('Données projet'!$B$14,Paramètres!$A$1:$I$89,5,0)</f>
        <v>211.41899999999995</v>
      </c>
      <c r="DQ100" s="13">
        <f t="shared" si="97"/>
        <v>52.245551258706243</v>
      </c>
      <c r="DR100" s="20">
        <f t="shared" si="70"/>
        <v>459.21576010891323</v>
      </c>
      <c r="DS100" s="59">
        <f t="shared" si="71"/>
        <v>749.69514924307487</v>
      </c>
      <c r="DT100" s="59">
        <f ca="1">AVERAGE(OFFSET($DS$3,0,0,'Données projet'!$E$14+1,1))-AVERAGE(OFFSET($H$3,0,0,'Données projet'!$E$14+1,1))</f>
        <v>343.44193069803498</v>
      </c>
      <c r="DU100" s="59">
        <f t="shared" si="98"/>
        <v>280.67367019483481</v>
      </c>
      <c r="DV100" s="15">
        <f>IF(ISNA(VLOOKUP(A100,'Données projet'!$A$165:$I$185,3,0)),0,VLOOKUP(A100,'Données projet'!$A$165:$I$185,3,0))</f>
        <v>5</v>
      </c>
      <c r="DW100" s="15">
        <f>IF(ISNA(VLOOKUP(A100,'Données projet'!$A$165:$I$185,4,0)),0,VLOOKUP(A100,'Données projet'!$A$165:$I$185,4,0))</f>
        <v>90.589999999999975</v>
      </c>
      <c r="DX100" s="16">
        <f>IF(ISNA(VLOOKUP(A100,'Données projet'!$A$165:$I$185,5,0)),0%,VLOOKUP(A100,'Données projet'!$A$165:$I$185,5,0)*VLOOKUP('Données projet'!$B$14,Paramètres!$A$1:$I$89,7,0))</f>
        <v>0.33</v>
      </c>
      <c r="DY100" s="16">
        <f>IF(ISNA(VLOOKUP(A100,'Données projet'!$A$165:$I$185,6,0)),0%,VLOOKUP(A100,'Données projet'!$A$165:$I$185,6,0)*VLOOKUP('Données projet'!$B$14,Paramètres!$A$1:$I$89,7,0))</f>
        <v>0.11000000000000001</v>
      </c>
      <c r="DZ100" s="16">
        <f>IF(ISNA(VLOOKUP(A100,'Données projet'!$A$165:$I$185,7,0)),0%,VLOOKUP(A100,'Données projet'!$A$165:$I$185,7,0))</f>
        <v>0.2</v>
      </c>
      <c r="EA100" s="21">
        <f>EXP(-LN(2)/35)*EA99+(1-EXP(-LN(2)/35))/(LN(2)/35)*DW100*DX100*VLOOKUP('Données projet'!$B$14,Paramètres!$A$1:$I$89,3,0)*0.475*44/12</f>
        <v>63.321870448870456</v>
      </c>
      <c r="EB100" s="21">
        <f>EXP(-LN(2)/25)*EB99+(1-EXP(-LN(2)/25))/(LN(2)/25)*Calculateur!DW100*Calculateur!DY100*VLOOKUP('Données projet'!$B$14,Paramètres!$A$1:$I$89,3,0)*0.475*44/12</f>
        <v>23.096502220156491</v>
      </c>
      <c r="EC100" s="21">
        <f>EXP(-LN(2)/2)*EC99+(1-EXP(-LN(2)/2))/(LN(2)/2)*DW100*DZ100*VLOOKUP('Données projet'!$B$14,Paramètres!$A$1:$I$89,3,0)*0.475*44/12</f>
        <v>9.7616690873011311</v>
      </c>
      <c r="ED100" s="22">
        <f t="shared" si="72"/>
        <v>96.18004175632808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3.0769230769230829</v>
      </c>
      <c r="EJ100" s="12">
        <f>IF('Données projet'!$A$192&gt;35,EJ99+EI100-ER99,IF(A100&lt;'Données projet'!$A$192,$EG$205^A100,IF(A100='Données projet'!$A$192,'Données projet'!$B$192,EJ99+EI100-ER99)))</f>
        <v>164.48717948717956</v>
      </c>
      <c r="EK100" s="17">
        <f>EJ100*VLOOKUP('Données projet'!$B$15,Paramètres!$A$1:$I$89,3,0)*VLOOKUP('Données projet'!$B$15,Paramètres!$A$1:$I$89,5,0)</f>
        <v>166.79000000000008</v>
      </c>
      <c r="EL100" s="13">
        <f t="shared" si="99"/>
        <v>42.370294686486702</v>
      </c>
      <c r="EM100" s="20">
        <f t="shared" si="73"/>
        <v>364.28751324563115</v>
      </c>
      <c r="EN100" s="59">
        <f t="shared" si="74"/>
        <v>654.76690237979278</v>
      </c>
      <c r="EO100" s="59">
        <f ca="1">AVERAGE(OFFSET($EN$3,0,0,'Données projet'!$E$15+1,1))-AVERAGE(OFFSET($H$3,0,0,'Données projet'!$E$15+1,1))</f>
        <v>270.0029254736703</v>
      </c>
      <c r="EP100" s="59">
        <f t="shared" si="100"/>
        <v>183.80022202211441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8.7238345057227153</v>
      </c>
      <c r="EW100" s="21">
        <f>EXP(-LN(2)/25)*EW99+(1-EXP(-LN(2)/25))/(LN(2)/25)*Calculateur!ER100*Calculateur!ET100*VLOOKUP('Données projet'!$B$15,Paramètres!$A$1:$I$89,3,0)*0.475*44/12</f>
        <v>18.992464895727522</v>
      </c>
      <c r="EX100" s="21">
        <f>EXP(-LN(2)/2)*EX99+(1-EXP(-LN(2)/2))/(LN(2)/2)*ER100*EU100*VLOOKUP('Données projet'!$B$15,Paramètres!$A$1:$I$89,3,0)*0.475*44/12</f>
        <v>0.71470822454140692</v>
      </c>
      <c r="EY100" s="22">
        <f t="shared" si="75"/>
        <v>28.431007625991644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-1.4897523215040567E-13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328.93328163316073</v>
      </c>
      <c r="FK100" s="59">
        <f t="shared" si="102"/>
        <v>320.27831321887072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32.904531932118402</v>
      </c>
      <c r="FR100" s="21">
        <f>EXP(-LN(2)/25)*FR99+(1-EXP(-LN(2)/25))/(LN(2)/25)*Calculateur!FM100*Calculateur!FO100*VLOOKUP('Données projet'!$B$16,Paramètres!$A$1:$I$89,3,0)*0.475*44/12</f>
        <v>29.033183715721403</v>
      </c>
      <c r="FS100" s="21">
        <f>EXP(-LN(2)/2)*FS99+(1-EXP(-LN(2)/2))/(LN(2)/2)*FM100*FP100*VLOOKUP('Données projet'!$B$16,Paramètres!$A$1:$I$89,3,0)*0.475*44/12</f>
        <v>0.15765169148685812</v>
      </c>
      <c r="FT100" s="22">
        <f t="shared" si="78"/>
        <v>62.095367339326664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3.0769230769230829</v>
      </c>
      <c r="FZ100" s="12">
        <f>IF('Données projet'!$A$244&gt;35,FZ99+FY100-GH99,IF(A100&lt;'Données projet'!$A$244,$FW$205^A100,IF(A100='Données projet'!$A$244,'Données projet'!$B$244,FZ99+FY100-GH99)))</f>
        <v>164.48717948717956</v>
      </c>
      <c r="GA100" s="17">
        <f>FZ100*VLOOKUP('Données projet'!$B$17,Paramètres!$A$1:$I$89,3,0)*VLOOKUP('Données projet'!$B$17,Paramètres!$A$1:$I$89,5,0)</f>
        <v>110.33800000000005</v>
      </c>
      <c r="GB100" s="13">
        <f t="shared" si="103"/>
        <v>29.410605783697555</v>
      </c>
      <c r="GC100" s="20">
        <f t="shared" si="79"/>
        <v>243.39548840660663</v>
      </c>
      <c r="GD100" s="59">
        <f t="shared" si="80"/>
        <v>533.87487754076835</v>
      </c>
      <c r="GE100" s="59">
        <f ca="1">AVERAGE(OFFSET($GD$3,0,0,'Données projet'!$E$17+1,1))-AVERAGE(OFFSET($H$3,0,0,'Données projet'!$E$17+1,1))</f>
        <v>192.88444860121191</v>
      </c>
      <c r="GF100" s="59">
        <f t="shared" si="104"/>
        <v>136.13737493732751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7.1132804431277528</v>
      </c>
      <c r="GM100" s="21">
        <f>EXP(-LN(2)/25)*GM99+(1-EXP(-LN(2)/25))/(LN(2)/25)*Calculateur!GH100*Calculateur!GJ100*VLOOKUP('Données projet'!$B$17,Paramètres!$A$1:$I$89,3,0)*0.475*44/12</f>
        <v>15.486163684208593</v>
      </c>
      <c r="GN100" s="21">
        <f>EXP(-LN(2)/2)*GN99+(1-EXP(-LN(2)/2))/(LN(2)/2)*GH100*GK100*VLOOKUP('Données projet'!$B$17,Paramètres!$A$1:$I$89,3,0)*0.475*44/12</f>
        <v>0.47280697931200782</v>
      </c>
      <c r="GO100" s="21">
        <f t="shared" si="81"/>
        <v>23.072251106648356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69.221651582044103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0.85000000000000009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3.1166666666666671</v>
      </c>
      <c r="H101" s="67">
        <f t="shared" si="56"/>
        <v>244.19999999999996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969.35153064076349</v>
      </c>
      <c r="S101" s="59">
        <f ca="1">AVERAGE(OFFSET($R$3,0,0,'Données projet'!$E$9+1,1))-AVERAGE(OFFSET($H$3,0,0,'Données projet'!$E$9+1,1))</f>
        <v>643.492472896403</v>
      </c>
      <c r="T101" s="59">
        <f t="shared" si="88"/>
        <v>285.0259479655341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-2.8421709430404007E-13</v>
      </c>
      <c r="AJ101" s="13">
        <f>AI101*VLOOKUP('Données projet'!$B$10,Paramètres!$A$1:$I$89,3,0)*VLOOKUP('Données projet'!$B$10,Paramètres!$A$1:$I$89,5,0)</f>
        <v>-2.2168933355715128E-13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289.89907502443873</v>
      </c>
      <c r="AO101" s="59">
        <f t="shared" si="90"/>
        <v>267.42183550360301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22.570262394281183</v>
      </c>
      <c r="AV101" s="21">
        <f>EXP(-LN(2)/25)*AV100+(1-EXP(-LN(2)/25))/(LN(2)/25)*Calculateur!AQ101*Calculateur!AS101*VLOOKUP('Données projet'!$B$10,Paramètres!$A$1:$I$89,3,0)*0.475*44/12</f>
        <v>20.711653804193936</v>
      </c>
      <c r="AW101" s="21">
        <f>EXP(-LN(2)/2)*AW100+(1-EXP(-LN(2)/2))/(LN(2)/2)*AQ101*AT101*VLOOKUP('Données projet'!$B$10,Paramètres!$A$1:$I$89,3,0)*0.475*44/12</f>
        <v>1.8456066574315352E-2</v>
      </c>
      <c r="AX101" s="21">
        <f t="shared" si="60"/>
        <v>43.300372265049432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1.9230769230769256</v>
      </c>
      <c r="BD101" s="12">
        <f>IF('Données projet'!$A$88&gt;35,BD100+BC101-BL100,IF(A101&lt;'Données projet'!$A$88,$BA$205^A101,IF(A101='Données projet'!$A$88,'Données projet'!$B$88,BD100+BC101-BL100)))</f>
        <v>105.1282051282051</v>
      </c>
      <c r="BE101" s="13">
        <f>BD101*VLOOKUP('Données projet'!$B$11,Paramètres!$A$1:$I$89,3,0)*VLOOKUP('Données projet'!$B$11,Paramètres!$A$1:$I$89,5,0)</f>
        <v>101.67999999999996</v>
      </c>
      <c r="BF101" s="13">
        <f t="shared" si="91"/>
        <v>27.361845471196556</v>
      </c>
      <c r="BG101" s="20">
        <f t="shared" si="61"/>
        <v>224.74788086233397</v>
      </c>
      <c r="BH101" s="59">
        <f t="shared" si="62"/>
        <v>515.27677954788794</v>
      </c>
      <c r="BI101" s="59">
        <f ca="1">AVERAGE(OFFSET($BH$3,0,0,'Données projet'!$E$11+1,1))-AVERAGE(OFFSET($H$3,0,0,'Données projet'!$E$11+1,1))</f>
        <v>177.54241137663234</v>
      </c>
      <c r="BJ101" s="59">
        <f t="shared" si="92"/>
        <v>114.71095021456071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13.65234073908659</v>
      </c>
      <c r="BR101" s="21">
        <f>EXP(-LN(2)/2)*BR100+(1-EXP(-LN(2)/2))/(LN(2)/2)*BL101*BO101*VLOOKUP('Données projet'!$B$11,Paramètres!$A$1:$I$89,3,0)*0.475*44/12</f>
        <v>0.4522753910619618</v>
      </c>
      <c r="BS101" s="22">
        <f t="shared" si="63"/>
        <v>14.104616130148552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1.9230769230769256</v>
      </c>
      <c r="BY101" s="12">
        <f>IF('Données projet'!$A$114&gt;35,BY100+BX101-CG100,IF(A101&lt;'Données projet'!$A$114,$BV$205^A101,IF(A101='Données projet'!$A$114,'Données projet'!$B$114,BY100+BX101-CG100)))</f>
        <v>105.1282051282051</v>
      </c>
      <c r="BZ101" s="13">
        <f>BY101*VLOOKUP('Données projet'!$B$12,Paramètres!$A$1:$I$89,3,0)*VLOOKUP('Données projet'!$B$12,Paramètres!$A$1:$I$89,5,0)</f>
        <v>113.15999999999995</v>
      </c>
      <c r="CA101" s="13">
        <f t="shared" si="93"/>
        <v>30.074273543773817</v>
      </c>
      <c r="CB101" s="20">
        <f t="shared" si="64"/>
        <v>249.46635975540599</v>
      </c>
      <c r="CC101" s="59">
        <f t="shared" si="65"/>
        <v>539.99525844096001</v>
      </c>
      <c r="CD101" s="59">
        <f ca="1">AVERAGE(OFFSET($CC$3,0,0,'Données projet'!$E$12+1,1))-AVERAGE(OFFSET($H$3,0,0,'Données projet'!$E$12+1,1))</f>
        <v>192.88977161349993</v>
      </c>
      <c r="CE101" s="59">
        <f t="shared" si="94"/>
        <v>122.91376861456772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15.193734048338303</v>
      </c>
      <c r="CM101" s="21">
        <f>EXP(-LN(2)/2)*CM100+(1-EXP(-LN(2)/2))/(LN(2)/2)*CG101*CJ101*VLOOKUP('Données projet'!$B$12,Paramètres!$A$1:$I$89,3,0)*0.475*44/12</f>
        <v>0.50333874166573167</v>
      </c>
      <c r="CN101" s="22">
        <f t="shared" si="66"/>
        <v>15.697072790004034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-8.5265128291212022E-14</v>
      </c>
      <c r="CU101" s="17">
        <f>CT101*VLOOKUP('Données projet'!$B$13,Paramètres!$A$1:$I$89,3,0)*VLOOKUP('Données projet'!$B$13,Paramètres!$A$1:$I$89,5,0)</f>
        <v>-6.9167072069831198E-14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163.16040389635825</v>
      </c>
      <c r="CZ101" s="59">
        <f t="shared" si="96"/>
        <v>138.57856782158811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12.960774720085839</v>
      </c>
      <c r="DH101" s="21">
        <f>EXP(-LN(2)/2)*DH100+(1-EXP(-LN(2)/2))/(LN(2)/2)*DB101*DE101*VLOOKUP('Données projet'!$B$13,Paramètres!$A$1:$I$89,3,0)*0.475*44/12</f>
        <v>1.5653166514519183</v>
      </c>
      <c r="DI101" s="22">
        <f t="shared" si="69"/>
        <v>14.526091371537756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9.1833333333333318</v>
      </c>
      <c r="DO101" s="12">
        <f>IF('Données projet'!$A$166&gt;35,DO100+DN101-DW100,IF(A101&lt;'Données projet'!$A$166,$DL$205^A101,IF(A101='Données projet'!$A$166,'Données projet'!$B$166,DO100+DN101-DW100)))</f>
        <v>370.34333333333325</v>
      </c>
      <c r="DP101" s="17">
        <f>DO101*VLOOKUP('Données projet'!$B$14,Paramètres!$A$1:$I$89,3,0)*VLOOKUP('Données projet'!$B$14,Paramètres!$A$1:$I$89,5,0)</f>
        <v>173.32067999999998</v>
      </c>
      <c r="DQ101" s="13">
        <f t="shared" si="97"/>
        <v>43.832906027777845</v>
      </c>
      <c r="DR101" s="20">
        <f t="shared" si="70"/>
        <v>378.209162331713</v>
      </c>
      <c r="DS101" s="59">
        <f t="shared" si="71"/>
        <v>668.738061017267</v>
      </c>
      <c r="DT101" s="59">
        <f ca="1">AVERAGE(OFFSET($DS$3,0,0,'Données projet'!$E$14+1,1))-AVERAGE(OFFSET($H$3,0,0,'Données projet'!$E$14+1,1))</f>
        <v>343.44193069803498</v>
      </c>
      <c r="DU101" s="59">
        <f t="shared" si="98"/>
        <v>280.67367019483481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62.08016719189542</v>
      </c>
      <c r="EB101" s="21">
        <f>EXP(-LN(2)/25)*EB100+(1-EXP(-LN(2)/25))/(LN(2)/25)*Calculateur!DW101*Calculateur!DY101*VLOOKUP('Données projet'!$B$14,Paramètres!$A$1:$I$89,3,0)*0.475*44/12</f>
        <v>22.464927152354047</v>
      </c>
      <c r="EC101" s="21">
        <f>EXP(-LN(2)/2)*EC100+(1-EXP(-LN(2)/2))/(LN(2)/2)*DW101*DZ101*VLOOKUP('Données projet'!$B$14,Paramètres!$A$1:$I$89,3,0)*0.475*44/12</f>
        <v>6.9025424073297268</v>
      </c>
      <c r="ED101" s="22">
        <f t="shared" si="72"/>
        <v>91.447636751579196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3.0769230769230829</v>
      </c>
      <c r="EJ101" s="12">
        <f>IF('Données projet'!$A$192&gt;35,EJ100+EI101-ER100,IF(A101&lt;'Données projet'!$A$192,$EG$205^A101,IF(A101='Données projet'!$A$192,'Données projet'!$B$192,EJ100+EI101-ER100)))</f>
        <v>167.56410256410265</v>
      </c>
      <c r="EK101" s="17">
        <f>EJ101*VLOOKUP('Données projet'!$B$15,Paramètres!$A$1:$I$89,3,0)*VLOOKUP('Données projet'!$B$15,Paramètres!$A$1:$I$89,5,0)</f>
        <v>169.91000000000011</v>
      </c>
      <c r="EL101" s="13">
        <f t="shared" si="99"/>
        <v>43.069865958025062</v>
      </c>
      <c r="EM101" s="20">
        <f t="shared" si="73"/>
        <v>370.93993321022725</v>
      </c>
      <c r="EN101" s="59">
        <f t="shared" si="74"/>
        <v>661.46883189578125</v>
      </c>
      <c r="EO101" s="59">
        <f ca="1">AVERAGE(OFFSET($EN$3,0,0,'Données projet'!$E$15+1,1))-AVERAGE(OFFSET($H$3,0,0,'Données projet'!$E$15+1,1))</f>
        <v>270.0029254736703</v>
      </c>
      <c r="EP101" s="59">
        <f t="shared" si="100"/>
        <v>183.80022202211441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8.5527654320791342</v>
      </c>
      <c r="EW101" s="21">
        <f>EXP(-LN(2)/25)*EW100+(1-EXP(-LN(2)/25))/(LN(2)/25)*Calculateur!ER101*Calculateur!ET101*VLOOKUP('Données projet'!$B$15,Paramètres!$A$1:$I$89,3,0)*0.475*44/12</f>
        <v>18.473114944383532</v>
      </c>
      <c r="EX101" s="21">
        <f>EXP(-LN(2)/2)*EX100+(1-EXP(-LN(2)/2))/(LN(2)/2)*ER101*EU101*VLOOKUP('Données projet'!$B$15,Paramètres!$A$1:$I$89,3,0)*0.475*44/12</f>
        <v>0.50537503214302648</v>
      </c>
      <c r="EY101" s="22">
        <f t="shared" si="75"/>
        <v>27.531255408605691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-1.4897523215040567E-13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328.93328163316073</v>
      </c>
      <c r="FK101" s="59">
        <f t="shared" si="102"/>
        <v>320.27831321887072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32.259294130712313</v>
      </c>
      <c r="FR101" s="21">
        <f>EXP(-LN(2)/25)*FR100+(1-EXP(-LN(2)/25))/(LN(2)/25)*Calculateur!FM101*Calculateur!FO101*VLOOKUP('Données projet'!$B$16,Paramètres!$A$1:$I$89,3,0)*0.475*44/12</f>
        <v>28.239269780226227</v>
      </c>
      <c r="FS101" s="21">
        <f>EXP(-LN(2)/2)*FS100+(1-EXP(-LN(2)/2))/(LN(2)/2)*FM101*FP101*VLOOKUP('Données projet'!$B$16,Paramètres!$A$1:$I$89,3,0)*0.475*44/12</f>
        <v>0.11147658011588689</v>
      </c>
      <c r="FT101" s="22">
        <f t="shared" si="78"/>
        <v>60.610040491054427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3.0769230769230829</v>
      </c>
      <c r="FZ101" s="12">
        <f>IF('Données projet'!$A$244&gt;35,FZ100+FY101-GH100,IF(A101&lt;'Données projet'!$A$244,$FW$205^A101,IF(A101='Données projet'!$A$244,'Données projet'!$B$244,FZ100+FY101-GH100)))</f>
        <v>167.56410256410265</v>
      </c>
      <c r="GA101" s="17">
        <f>FZ101*VLOOKUP('Données projet'!$B$17,Paramètres!$A$1:$I$89,3,0)*VLOOKUP('Données projet'!$B$17,Paramètres!$A$1:$I$89,5,0)</f>
        <v>112.40200000000006</v>
      </c>
      <c r="GB101" s="13">
        <f t="shared" si="103"/>
        <v>29.89620105833643</v>
      </c>
      <c r="GC101" s="20">
        <f t="shared" si="79"/>
        <v>247.83603350993602</v>
      </c>
      <c r="GD101" s="59">
        <f t="shared" si="80"/>
        <v>538.36493219549004</v>
      </c>
      <c r="GE101" s="59">
        <f ca="1">AVERAGE(OFFSET($GD$3,0,0,'Données projet'!$E$17+1,1))-AVERAGE(OFFSET($H$3,0,0,'Données projet'!$E$17+1,1))</f>
        <v>192.88444860121191</v>
      </c>
      <c r="GF101" s="59">
        <f t="shared" si="104"/>
        <v>136.13737493732751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6.9737933523106799</v>
      </c>
      <c r="GM101" s="21">
        <f>EXP(-LN(2)/25)*GM100+(1-EXP(-LN(2)/25))/(LN(2)/25)*Calculateur!GH101*Calculateur!GJ101*VLOOKUP('Données projet'!$B$17,Paramètres!$A$1:$I$89,3,0)*0.475*44/12</f>
        <v>15.062693723881955</v>
      </c>
      <c r="GN101" s="21">
        <f>EXP(-LN(2)/2)*GN100+(1-EXP(-LN(2)/2))/(LN(2)/2)*GH101*GK101*VLOOKUP('Données projet'!$B$17,Paramètres!$A$1:$I$89,3,0)*0.475*44/12</f>
        <v>0.33432502126384844</v>
      </c>
      <c r="GO101" s="21">
        <f t="shared" si="81"/>
        <v>22.370812097456483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69.235154186969268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0.85000000000000009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3.1166666666666671</v>
      </c>
      <c r="H102" s="67">
        <f t="shared" si="56"/>
        <v>244.19999999999996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986.4241371651176</v>
      </c>
      <c r="S102" s="59">
        <f ca="1">AVERAGE(OFFSET($R$3,0,0,'Données projet'!$E$9+1,1))-AVERAGE(OFFSET($H$3,0,0,'Données projet'!$E$9+1,1))</f>
        <v>643.492472896403</v>
      </c>
      <c r="T102" s="59">
        <f t="shared" si="88"/>
        <v>285.0259479655341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-2.8421709430404007E-13</v>
      </c>
      <c r="AJ102" s="13">
        <f>AI102*VLOOKUP('Données projet'!$B$10,Paramètres!$A$1:$I$89,3,0)*VLOOKUP('Données projet'!$B$10,Paramètres!$A$1:$I$89,5,0)</f>
        <v>-2.2168933355715128E-13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289.89907502443873</v>
      </c>
      <c r="AO102" s="59">
        <f t="shared" si="90"/>
        <v>267.42183550360301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22.127673315230062</v>
      </c>
      <c r="AV102" s="21">
        <f>EXP(-LN(2)/25)*AV101+(1-EXP(-LN(2)/25))/(LN(2)/25)*Calculateur!AQ102*Calculateur!AS102*VLOOKUP('Données projet'!$B$10,Paramètres!$A$1:$I$89,3,0)*0.475*44/12</f>
        <v>20.145292541739718</v>
      </c>
      <c r="AW102" s="21">
        <f>EXP(-LN(2)/2)*AW101+(1-EXP(-LN(2)/2))/(LN(2)/2)*AQ102*AT102*VLOOKUP('Données projet'!$B$10,Paramètres!$A$1:$I$89,3,0)*0.475*44/12</f>
        <v>1.305040982872876E-2</v>
      </c>
      <c r="AX102" s="21">
        <f t="shared" si="60"/>
        <v>42.286016266798505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1.9230769230769256</v>
      </c>
      <c r="BD102" s="12">
        <f>IF('Données projet'!$A$88&gt;35,BD101+BC102-BL101,IF(A102&lt;'Données projet'!$A$88,$BA$205^A102,IF(A102='Données projet'!$A$88,'Données projet'!$B$88,BD101+BC102-BL101)))</f>
        <v>107.05128205128202</v>
      </c>
      <c r="BE102" s="13">
        <f>BD102*VLOOKUP('Données projet'!$B$11,Paramètres!$A$1:$I$89,3,0)*VLOOKUP('Données projet'!$B$11,Paramètres!$A$1:$I$89,5,0)</f>
        <v>103.53999999999996</v>
      </c>
      <c r="BF102" s="13">
        <f t="shared" si="91"/>
        <v>27.80363865322208</v>
      </c>
      <c r="BG102" s="20">
        <f t="shared" si="61"/>
        <v>228.75683732102837</v>
      </c>
      <c r="BH102" s="59">
        <f t="shared" si="62"/>
        <v>519.33438667794474</v>
      </c>
      <c r="BI102" s="59">
        <f ca="1">AVERAGE(OFFSET($BH$3,0,0,'Données projet'!$E$11+1,1))-AVERAGE(OFFSET($H$3,0,0,'Données projet'!$E$11+1,1))</f>
        <v>177.54241137663234</v>
      </c>
      <c r="BJ102" s="59">
        <f t="shared" si="92"/>
        <v>114.71095021456071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13.279016763630871</v>
      </c>
      <c r="BR102" s="21">
        <f>EXP(-LN(2)/2)*BR101+(1-EXP(-LN(2)/2))/(LN(2)/2)*BL102*BO102*VLOOKUP('Données projet'!$B$11,Paramètres!$A$1:$I$89,3,0)*0.475*44/12</f>
        <v>0.31980699598371087</v>
      </c>
      <c r="BS102" s="22">
        <f t="shared" si="63"/>
        <v>13.598823759614582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1.9230769230769256</v>
      </c>
      <c r="BY102" s="12">
        <f>IF('Données projet'!$A$114&gt;35,BY101+BX102-CG101,IF(A102&lt;'Données projet'!$A$114,$BV$205^A102,IF(A102='Données projet'!$A$114,'Données projet'!$B$114,BY101+BX102-CG101)))</f>
        <v>107.05128205128202</v>
      </c>
      <c r="BZ102" s="13">
        <f>BY102*VLOOKUP('Données projet'!$B$12,Paramètres!$A$1:$I$89,3,0)*VLOOKUP('Données projet'!$B$12,Paramètres!$A$1:$I$89,5,0)</f>
        <v>115.22999999999996</v>
      </c>
      <c r="CA102" s="13">
        <f t="shared" si="93"/>
        <v>30.559862464301705</v>
      </c>
      <c r="CB102" s="20">
        <f t="shared" si="64"/>
        <v>253.91734379199207</v>
      </c>
      <c r="CC102" s="59">
        <f t="shared" si="65"/>
        <v>544.49489314890843</v>
      </c>
      <c r="CD102" s="59">
        <f ca="1">AVERAGE(OFFSET($CC$3,0,0,'Données projet'!$E$12+1,1))-AVERAGE(OFFSET($H$3,0,0,'Données projet'!$E$12+1,1))</f>
        <v>192.88977161349993</v>
      </c>
      <c r="CE102" s="59">
        <f t="shared" si="94"/>
        <v>122.91376861456772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14.778260591782745</v>
      </c>
      <c r="CM102" s="21">
        <f>EXP(-LN(2)/2)*CM101+(1-EXP(-LN(2)/2))/(LN(2)/2)*CG102*CJ102*VLOOKUP('Données projet'!$B$12,Paramètres!$A$1:$I$89,3,0)*0.475*44/12</f>
        <v>0.35591423746574274</v>
      </c>
      <c r="CN102" s="22">
        <f t="shared" si="66"/>
        <v>15.134174829248488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-8.5265128291212022E-14</v>
      </c>
      <c r="CU102" s="17">
        <f>CT102*VLOOKUP('Données projet'!$B$13,Paramètres!$A$1:$I$89,3,0)*VLOOKUP('Données projet'!$B$13,Paramètres!$A$1:$I$89,5,0)</f>
        <v>-6.9167072069831198E-14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163.16040389635825</v>
      </c>
      <c r="CZ102" s="59">
        <f t="shared" si="96"/>
        <v>138.57856782158811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12.606361653787571</v>
      </c>
      <c r="DH102" s="21">
        <f>EXP(-LN(2)/2)*DH101+(1-EXP(-LN(2)/2))/(LN(2)/2)*DB102*DE102*VLOOKUP('Données projet'!$B$13,Paramètres!$A$1:$I$89,3,0)*0.475*44/12</f>
        <v>1.1068460189458709</v>
      </c>
      <c r="DI102" s="22">
        <f t="shared" si="69"/>
        <v>13.713207672733443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9.1833333333333318</v>
      </c>
      <c r="DO102" s="12">
        <f>IF('Données projet'!$A$166&gt;35,DO101+DN102-DW101,IF(A102&lt;'Données projet'!$A$166,$DL$205^A102,IF(A102='Données projet'!$A$166,'Données projet'!$B$166,DO101+DN102-DW101)))</f>
        <v>379.52666666666659</v>
      </c>
      <c r="DP102" s="17">
        <f>DO102*VLOOKUP('Données projet'!$B$14,Paramètres!$A$1:$I$89,3,0)*VLOOKUP('Données projet'!$B$14,Paramètres!$A$1:$I$89,5,0)</f>
        <v>177.61847999999995</v>
      </c>
      <c r="DQ102" s="13">
        <f t="shared" si="97"/>
        <v>44.791931827234123</v>
      </c>
      <c r="DR102" s="20">
        <f t="shared" si="70"/>
        <v>387.36480059909928</v>
      </c>
      <c r="DS102" s="59">
        <f t="shared" si="71"/>
        <v>677.94234995601562</v>
      </c>
      <c r="DT102" s="59">
        <f ca="1">AVERAGE(OFFSET($DS$3,0,0,'Données projet'!$E$14+1,1))-AVERAGE(OFFSET($H$3,0,0,'Données projet'!$E$14+1,1))</f>
        <v>343.44193069803498</v>
      </c>
      <c r="DU102" s="59">
        <f t="shared" si="98"/>
        <v>280.67367019483481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60.862812978425467</v>
      </c>
      <c r="EB102" s="21">
        <f>EXP(-LN(2)/25)*EB101+(1-EXP(-LN(2)/25))/(LN(2)/25)*Calculateur!DW102*Calculateur!DY102*VLOOKUP('Données projet'!$B$14,Paramètres!$A$1:$I$89,3,0)*0.475*44/12</f>
        <v>21.85062253799375</v>
      </c>
      <c r="EC102" s="21">
        <f>EXP(-LN(2)/2)*EC101+(1-EXP(-LN(2)/2))/(LN(2)/2)*DW102*DZ102*VLOOKUP('Données projet'!$B$14,Paramètres!$A$1:$I$89,3,0)*0.475*44/12</f>
        <v>4.8808345436505665</v>
      </c>
      <c r="ED102" s="22">
        <f t="shared" si="72"/>
        <v>87.594270060069789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3.0769230769230829</v>
      </c>
      <c r="EJ102" s="12">
        <f>IF('Données projet'!$A$192&gt;35,EJ101+EI102-ER101,IF(A102&lt;'Données projet'!$A$192,$EG$205^A102,IF(A102='Données projet'!$A$192,'Données projet'!$B$192,EJ101+EI102-ER101)))</f>
        <v>170.64102564102575</v>
      </c>
      <c r="EK102" s="17">
        <f>EJ102*VLOOKUP('Données projet'!$B$15,Paramètres!$A$1:$I$89,3,0)*VLOOKUP('Données projet'!$B$15,Paramètres!$A$1:$I$89,5,0)</f>
        <v>173.03000000000011</v>
      </c>
      <c r="EL102" s="13">
        <f t="shared" si="99"/>
        <v>43.767943464312708</v>
      </c>
      <c r="EM102" s="20">
        <f t="shared" si="73"/>
        <v>377.58975153367811</v>
      </c>
      <c r="EN102" s="59">
        <f t="shared" si="74"/>
        <v>668.16730089059445</v>
      </c>
      <c r="EO102" s="59">
        <f ca="1">AVERAGE(OFFSET($EN$3,0,0,'Données projet'!$E$15+1,1))-AVERAGE(OFFSET($H$3,0,0,'Données projet'!$E$15+1,1))</f>
        <v>270.0029254736703</v>
      </c>
      <c r="EP102" s="59">
        <f t="shared" si="100"/>
        <v>183.80022202211441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8.3850509186278721</v>
      </c>
      <c r="EW102" s="21">
        <f>EXP(-LN(2)/25)*EW101+(1-EXP(-LN(2)/25))/(LN(2)/25)*Calculateur!ER102*Calculateur!ET102*VLOOKUP('Données projet'!$B$15,Paramètres!$A$1:$I$89,3,0)*0.475*44/12</f>
        <v>17.96796664477047</v>
      </c>
      <c r="EX102" s="21">
        <f>EXP(-LN(2)/2)*EX101+(1-EXP(-LN(2)/2))/(LN(2)/2)*ER102*EU102*VLOOKUP('Données projet'!$B$15,Paramètres!$A$1:$I$89,3,0)*0.475*44/12</f>
        <v>0.35735411227070346</v>
      </c>
      <c r="EY102" s="22">
        <f t="shared" si="75"/>
        <v>26.710371675669045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-1.4897523215040567E-13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328.93328163316073</v>
      </c>
      <c r="FK102" s="59">
        <f t="shared" si="102"/>
        <v>320.27831321887072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31.626709049035597</v>
      </c>
      <c r="FR102" s="21">
        <f>EXP(-LN(2)/25)*FR101+(1-EXP(-LN(2)/25))/(LN(2)/25)*Calculateur!FM102*Calculateur!FO102*VLOOKUP('Données projet'!$B$16,Paramètres!$A$1:$I$89,3,0)*0.475*44/12</f>
        <v>27.467065463047284</v>
      </c>
      <c r="FS102" s="21">
        <f>EXP(-LN(2)/2)*FS101+(1-EXP(-LN(2)/2))/(LN(2)/2)*FM102*FP102*VLOOKUP('Données projet'!$B$16,Paramètres!$A$1:$I$89,3,0)*0.475*44/12</f>
        <v>7.8825845743429074E-2</v>
      </c>
      <c r="FT102" s="22">
        <f t="shared" si="78"/>
        <v>59.172600357826312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3.0769230769230829</v>
      </c>
      <c r="FZ102" s="12">
        <f>IF('Données projet'!$A$244&gt;35,FZ101+FY102-GH101,IF(A102&lt;'Données projet'!$A$244,$FW$205^A102,IF(A102='Données projet'!$A$244,'Données projet'!$B$244,FZ101+FY102-GH101)))</f>
        <v>170.64102564102575</v>
      </c>
      <c r="GA102" s="17">
        <f>FZ102*VLOOKUP('Données projet'!$B$17,Paramètres!$A$1:$I$89,3,0)*VLOOKUP('Données projet'!$B$17,Paramètres!$A$1:$I$89,5,0)</f>
        <v>114.46600000000008</v>
      </c>
      <c r="GB102" s="13">
        <f t="shared" si="103"/>
        <v>30.380759461713353</v>
      </c>
      <c r="GC102" s="20">
        <f t="shared" si="79"/>
        <v>252.27477272915084</v>
      </c>
      <c r="GD102" s="59">
        <f t="shared" si="80"/>
        <v>542.85232208606715</v>
      </c>
      <c r="GE102" s="59">
        <f ca="1">AVERAGE(OFFSET($GD$3,0,0,'Données projet'!$E$17+1,1))-AVERAGE(OFFSET($H$3,0,0,'Données projet'!$E$17+1,1))</f>
        <v>192.88444860121191</v>
      </c>
      <c r="GF102" s="59">
        <f t="shared" si="104"/>
        <v>136.13737493732751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6.8370415182658046</v>
      </c>
      <c r="GM102" s="21">
        <f>EXP(-LN(2)/25)*GM101+(1-EXP(-LN(2)/25))/(LN(2)/25)*Calculateur!GH102*Calculateur!GJ102*VLOOKUP('Données projet'!$B$17,Paramètres!$A$1:$I$89,3,0)*0.475*44/12</f>
        <v>14.650803571889766</v>
      </c>
      <c r="GN102" s="21">
        <f>EXP(-LN(2)/2)*GN101+(1-EXP(-LN(2)/2))/(LN(2)/2)*GH102*GK102*VLOOKUP('Données projet'!$B$17,Paramètres!$A$1:$I$89,3,0)*0.475*44/12</f>
        <v>0.23640348965600394</v>
      </c>
      <c r="GO102" s="21">
        <f t="shared" si="81"/>
        <v>21.724248579811576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69.248422551886279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0.85000000000000009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3.1166666666666671</v>
      </c>
      <c r="H103" s="67">
        <f t="shared" si="56"/>
        <v>244.19999999999996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1003.4873727399704</v>
      </c>
      <c r="S103" s="59">
        <f ca="1">AVERAGE(OFFSET($R$3,0,0,'Données projet'!$E$9+1,1))-AVERAGE(OFFSET($H$3,0,0,'Données projet'!$E$9+1,1))</f>
        <v>643.492472896403</v>
      </c>
      <c r="T103" s="59">
        <f t="shared" si="88"/>
        <v>285.0259479655341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-2.8421709430404007E-13</v>
      </c>
      <c r="AJ103" s="13">
        <f>AI103*VLOOKUP('Données projet'!$B$10,Paramètres!$A$1:$I$89,3,0)*VLOOKUP('Données projet'!$B$10,Paramètres!$A$1:$I$89,5,0)</f>
        <v>-2.2168933355715128E-13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289.89907502443873</v>
      </c>
      <c r="AO103" s="59">
        <f t="shared" si="90"/>
        <v>267.42183550360301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21.693763138066451</v>
      </c>
      <c r="AV103" s="21">
        <f>EXP(-LN(2)/25)*AV102+(1-EXP(-LN(2)/25))/(LN(2)/25)*Calculateur!AQ103*Calculateur!AS103*VLOOKUP('Données projet'!$B$10,Paramètres!$A$1:$I$89,3,0)*0.475*44/12</f>
        <v>19.594418457790955</v>
      </c>
      <c r="AW103" s="21">
        <f>EXP(-LN(2)/2)*AW102+(1-EXP(-LN(2)/2))/(LN(2)/2)*AQ103*AT103*VLOOKUP('Données projet'!$B$10,Paramètres!$A$1:$I$89,3,0)*0.475*44/12</f>
        <v>9.2280332871576762E-3</v>
      </c>
      <c r="AX103" s="21">
        <f t="shared" si="60"/>
        <v>41.297409629144568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108.97435897435898</v>
      </c>
      <c r="BB103" s="12">
        <f>VLOOKUP(A103,'Données projet'!$A$87:$I$107,9,0)</f>
        <v>1.9230769230769256</v>
      </c>
      <c r="BC103" s="12">
        <f t="array" ref="BC103">INDEX(BB:BB,MIN(IF(ISNUMBER(BB103:BB299),ROW(BB103:BB299),"")))</f>
        <v>1.9230769230769256</v>
      </c>
      <c r="BD103" s="12">
        <f>IF('Données projet'!$A$88&gt;35,BD102+BC103-BL102,IF(A103&lt;'Données projet'!$A$88,$BA$205^A103,IF(A103='Données projet'!$A$88,'Données projet'!$B$88,BD102+BC103-BL102)))</f>
        <v>108.97435897435894</v>
      </c>
      <c r="BE103" s="13">
        <f>BD103*VLOOKUP('Données projet'!$B$11,Paramètres!$A$1:$I$89,3,0)*VLOOKUP('Données projet'!$B$11,Paramètres!$A$1:$I$89,5,0)</f>
        <v>105.39999999999996</v>
      </c>
      <c r="BF103" s="13">
        <f t="shared" si="91"/>
        <v>28.244508950458165</v>
      </c>
      <c r="BG103" s="20">
        <f t="shared" si="61"/>
        <v>232.76418642204786</v>
      </c>
      <c r="BH103" s="59">
        <f t="shared" si="62"/>
        <v>523.38954246994513</v>
      </c>
      <c r="BI103" s="59">
        <f ca="1">AVERAGE(OFFSET($BH$3,0,0,'Données projet'!$E$11+1,1))-AVERAGE(OFFSET($H$3,0,0,'Données projet'!$E$11+1,1))</f>
        <v>177.54241137663234</v>
      </c>
      <c r="BJ103" s="59">
        <f t="shared" si="92"/>
        <v>114.71095021456071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5.7692307692307692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0.34400000000000003</v>
      </c>
      <c r="BO103" s="16">
        <f>IF(ISNA(VLOOKUP(A103,'Données projet'!$A$87:$I$107,7,0)),0%,VLOOKUP(A103,'Données projet'!$A$87:$I$107,7,0))</f>
        <v>0.2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15.029518840558421</v>
      </c>
      <c r="BR103" s="21">
        <f>EXP(-LN(2)/2)*BR102+(1-EXP(-LN(2)/2))/(LN(2)/2)*BL103*BO103*VLOOKUP('Données projet'!$B$11,Paramètres!$A$1:$I$89,3,0)*0.475*44/12</f>
        <v>1.2791137322305941</v>
      </c>
      <c r="BS103" s="22">
        <f t="shared" si="63"/>
        <v>16.308632572789016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108.97435897435898</v>
      </c>
      <c r="BW103" s="12">
        <f>VLOOKUP(A103,'Données projet'!$A$113:$I$133,9,0)</f>
        <v>1.9230769230769256</v>
      </c>
      <c r="BX103" s="12">
        <f t="array" ref="BX103">INDEX(BW:BW,MIN(IF(ISNUMBER(BW103:BW299),ROW(BW103:BW299),"")))</f>
        <v>1.9230769230769256</v>
      </c>
      <c r="BY103" s="12">
        <f>IF('Données projet'!$A$114&gt;35,BY102+BX103-CG102,IF(A103&lt;'Données projet'!$A$114,$BV$205^A103,IF(A103='Données projet'!$A$114,'Données projet'!$B$114,BY102+BX103-CG102)))</f>
        <v>108.97435897435894</v>
      </c>
      <c r="BZ103" s="13">
        <f>BY103*VLOOKUP('Données projet'!$B$12,Paramètres!$A$1:$I$89,3,0)*VLOOKUP('Données projet'!$B$12,Paramètres!$A$1:$I$89,5,0)</f>
        <v>117.29999999999995</v>
      </c>
      <c r="CA103" s="13">
        <f t="shared" si="93"/>
        <v>31.044437012840874</v>
      </c>
      <c r="CB103" s="20">
        <f t="shared" si="64"/>
        <v>258.36656113069779</v>
      </c>
      <c r="CC103" s="59">
        <f t="shared" si="65"/>
        <v>548.99191717859503</v>
      </c>
      <c r="CD103" s="59">
        <f ca="1">AVERAGE(OFFSET($CC$3,0,0,'Données projet'!$E$12+1,1))-AVERAGE(OFFSET($H$3,0,0,'Données projet'!$E$12+1,1))</f>
        <v>192.88977161349993</v>
      </c>
      <c r="CE103" s="59">
        <f t="shared" si="94"/>
        <v>122.91376861456772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5.7692307692307692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0.34400000000000003</v>
      </c>
      <c r="CJ103" s="16">
        <f>IF(ISNA(VLOOKUP(A103,'Données projet'!$A$113:$I$133,7,0)),0%,VLOOKUP(A103,'Données projet'!$A$113:$I$133,7,0))</f>
        <v>0.2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16.726399999976309</v>
      </c>
      <c r="CM103" s="21">
        <f>EXP(-LN(2)/2)*CM102+(1-EXP(-LN(2)/2))/(LN(2)/2)*CG103*CJ103*VLOOKUP('Données projet'!$B$12,Paramètres!$A$1:$I$89,3,0)*0.475*44/12</f>
        <v>1.4235297987727582</v>
      </c>
      <c r="CN103" s="22">
        <f t="shared" si="66"/>
        <v>18.149929798749067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-8.5265128291212022E-14</v>
      </c>
      <c r="CU103" s="17">
        <f>CT103*VLOOKUP('Données projet'!$B$13,Paramètres!$A$1:$I$89,3,0)*VLOOKUP('Données projet'!$B$13,Paramètres!$A$1:$I$89,5,0)</f>
        <v>-6.9167072069831198E-14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163.16040389635825</v>
      </c>
      <c r="CZ103" s="59">
        <f t="shared" si="96"/>
        <v>138.57856782158811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12.261640031425003</v>
      </c>
      <c r="DH103" s="21">
        <f>EXP(-LN(2)/2)*DH102+(1-EXP(-LN(2)/2))/(LN(2)/2)*DB103*DE103*VLOOKUP('Données projet'!$B$13,Paramètres!$A$1:$I$89,3,0)*0.475*44/12</f>
        <v>0.78265832572595917</v>
      </c>
      <c r="DI103" s="22">
        <f t="shared" si="69"/>
        <v>13.044298357150963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9.1833333333333318</v>
      </c>
      <c r="DO103" s="12">
        <f>IF('Données projet'!$A$166&gt;35,DO102+DN103-DW102,IF(A103&lt;'Données projet'!$A$166,$DL$205^A103,IF(A103='Données projet'!$A$166,'Données projet'!$B$166,DO102+DN103-DW102)))</f>
        <v>388.70999999999992</v>
      </c>
      <c r="DP103" s="17">
        <f>DO103*VLOOKUP('Données projet'!$B$14,Paramètres!$A$1:$I$89,3,0)*VLOOKUP('Données projet'!$B$14,Paramètres!$A$1:$I$89,5,0)</f>
        <v>181.91627999999997</v>
      </c>
      <c r="DQ103" s="13">
        <f t="shared" si="97"/>
        <v>45.748260044655694</v>
      </c>
      <c r="DR103" s="20">
        <f t="shared" si="70"/>
        <v>396.51574057777526</v>
      </c>
      <c r="DS103" s="59">
        <f t="shared" si="71"/>
        <v>687.1410966256725</v>
      </c>
      <c r="DT103" s="59">
        <f ca="1">AVERAGE(OFFSET($DS$3,0,0,'Données projet'!$E$14+1,1))-AVERAGE(OFFSET($H$3,0,0,'Données projet'!$E$14+1,1))</f>
        <v>343.44193069803498</v>
      </c>
      <c r="DU103" s="59">
        <f t="shared" si="98"/>
        <v>280.67367019483481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59.669330338568905</v>
      </c>
      <c r="EB103" s="21">
        <f>EXP(-LN(2)/25)*EB102+(1-EXP(-LN(2)/25))/(LN(2)/25)*Calculateur!DW103*Calculateur!DY103*VLOOKUP('Données projet'!$B$14,Paramètres!$A$1:$I$89,3,0)*0.475*44/12</f>
        <v>21.253116115618013</v>
      </c>
      <c r="EC103" s="21">
        <f>EXP(-LN(2)/2)*EC102+(1-EXP(-LN(2)/2))/(LN(2)/2)*DW103*DZ103*VLOOKUP('Données projet'!$B$14,Paramètres!$A$1:$I$89,3,0)*0.475*44/12</f>
        <v>3.4512712036648638</v>
      </c>
      <c r="ED103" s="22">
        <f t="shared" si="72"/>
        <v>84.37371765785177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173.71794871794873</v>
      </c>
      <c r="EH103" s="12">
        <f>VLOOKUP(A103,'Données projet'!$A$191:$I$211,9,0)</f>
        <v>3.0769230769230829</v>
      </c>
      <c r="EI103" s="12">
        <f t="array" ref="EI103">INDEX(EH:EH,MIN(IF(ISNUMBER(EH103:EH299),ROW(EH103:EH299),"")))</f>
        <v>3.0769230769230829</v>
      </c>
      <c r="EJ103" s="12">
        <f>IF('Données projet'!$A$192&gt;35,EJ102+EI103-ER102,IF(A103&lt;'Données projet'!$A$192,$EG$205^A103,IF(A103='Données projet'!$A$192,'Données projet'!$B$192,EJ102+EI103-ER102)))</f>
        <v>173.71794871794884</v>
      </c>
      <c r="EK103" s="17">
        <f>EJ103*VLOOKUP('Données projet'!$B$15,Paramètres!$A$1:$I$89,3,0)*VLOOKUP('Données projet'!$B$15,Paramètres!$A$1:$I$89,5,0)</f>
        <v>176.15000000000015</v>
      </c>
      <c r="EL103" s="13">
        <f t="shared" si="99"/>
        <v>44.464557247231902</v>
      </c>
      <c r="EM103" s="20">
        <f t="shared" si="73"/>
        <v>384.23702053892913</v>
      </c>
      <c r="EN103" s="59">
        <f t="shared" si="74"/>
        <v>674.86237658682637</v>
      </c>
      <c r="EO103" s="59">
        <f ca="1">AVERAGE(OFFSET($EN$3,0,0,'Données projet'!$E$15+1,1))-AVERAGE(OFFSET($H$3,0,0,'Données projet'!$E$15+1,1))</f>
        <v>270.0029254736703</v>
      </c>
      <c r="EP103" s="59">
        <f t="shared" si="100"/>
        <v>183.80022202211441</v>
      </c>
      <c r="EQ103" s="15">
        <f>IF(ISNA(VLOOKUP(A103,'Données projet'!$A$191:$I$211,3,0)),0,VLOOKUP(A103,'Données projet'!$A$191:$I$211,3,0))</f>
        <v>17</v>
      </c>
      <c r="ER103" s="15">
        <f>IF(ISNA(VLOOKUP(A103,'Données projet'!$A$191:$I$211,4,0)),0,VLOOKUP(A103,'Données projet'!$A$191:$I$211,4,0))</f>
        <v>11.538461538461538</v>
      </c>
      <c r="ES103" s="16">
        <f>IF(ISNA(VLOOKUP(A103,'Données projet'!$A$191:$I$211,5,0)),0%,VLOOKUP(A103,'Données projet'!$A$191:$I$211,5,0)*VLOOKUP('Données projet'!$B$15,Paramètres!$A$1:$I$89,7,0))</f>
        <v>0.15049999999999999</v>
      </c>
      <c r="ET103" s="16">
        <f>IF(ISNA(VLOOKUP(A103,'Données projet'!$A$191:$I$211,6,0)),0%,VLOOKUP(A103,'Données projet'!$A$191:$I$211,6,0)*VLOOKUP('Données projet'!$B$15,Paramètres!$A$1:$I$89,7,0))</f>
        <v>8.6000000000000007E-2</v>
      </c>
      <c r="EU103" s="16">
        <f>IF(ISNA(VLOOKUP(A103,'Données projet'!$A$191:$I$211,7,0)),0%,VLOOKUP(A103,'Données projet'!$A$191:$I$211,7,0))</f>
        <v>0.1</v>
      </c>
      <c r="EV103" s="21">
        <f>EXP(-LN(2)/35)*EV102+(1-EXP(-LN(2)/35))/(LN(2)/35)*ER103*ES103*VLOOKUP('Données projet'!$B$15,Paramètres!$A$1:$I$89,3,0)*0.475*44/12</f>
        <v>10.167192702290233</v>
      </c>
      <c r="EW103" s="21">
        <f>EXP(-LN(2)/25)*EW102+(1-EXP(-LN(2)/25))/(LN(2)/25)*Calculateur!ER103*Calculateur!ET103*VLOOKUP('Données projet'!$B$15,Paramètres!$A$1:$I$89,3,0)*0.475*44/12</f>
        <v>18.584576303279292</v>
      </c>
      <c r="EX103" s="21">
        <f>EXP(-LN(2)/2)*EX102+(1-EXP(-LN(2)/2))/(LN(2)/2)*ER103*EU103*VLOOKUP('Données projet'!$B$15,Paramètres!$A$1:$I$89,3,0)*0.475*44/12</f>
        <v>1.3566140061598175</v>
      </c>
      <c r="EY103" s="22">
        <f t="shared" si="75"/>
        <v>30.108383011729341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-1.4897523215040567E-13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328.93328163316073</v>
      </c>
      <c r="FK103" s="59">
        <f t="shared" si="102"/>
        <v>320.27831321887072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31.00652857497176</v>
      </c>
      <c r="FR103" s="21">
        <f>EXP(-LN(2)/25)*FR102+(1-EXP(-LN(2)/25))/(LN(2)/25)*Calculateur!FM103*Calculateur!FO103*VLOOKUP('Données projet'!$B$16,Paramètres!$A$1:$I$89,3,0)*0.475*44/12</f>
        <v>26.715977113530059</v>
      </c>
      <c r="FS103" s="21">
        <f>EXP(-LN(2)/2)*FS102+(1-EXP(-LN(2)/2))/(LN(2)/2)*FM103*FP103*VLOOKUP('Données projet'!$B$16,Paramètres!$A$1:$I$89,3,0)*0.475*44/12</f>
        <v>5.5738290057943451E-2</v>
      </c>
      <c r="FT103" s="22">
        <f t="shared" si="78"/>
        <v>57.778243978559765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173.71794871794873</v>
      </c>
      <c r="FX103" s="12">
        <f>VLOOKUP(A103,'Données projet'!$A$243:$I$263,9,0)</f>
        <v>3.0769230769230829</v>
      </c>
      <c r="FY103" s="12">
        <f t="array" ref="FY103">INDEX(FX:FX,MIN(IF(ISNUMBER(FX103:FX299),ROW(FX103:FX299),"")))</f>
        <v>3.0769230769230829</v>
      </c>
      <c r="FZ103" s="12">
        <f>IF('Données projet'!$A$244&gt;35,FZ102+FY103-GH102,IF(A103&lt;'Données projet'!$A$244,$FW$205^A103,IF(A103='Données projet'!$A$244,'Données projet'!$B$244,FZ102+FY103-GH102)))</f>
        <v>173.71794871794884</v>
      </c>
      <c r="GA103" s="17">
        <f>FZ103*VLOOKUP('Données projet'!$B$17,Paramètres!$A$1:$I$89,3,0)*VLOOKUP('Données projet'!$B$17,Paramètres!$A$1:$I$89,5,0)</f>
        <v>116.53000000000009</v>
      </c>
      <c r="GB103" s="13">
        <f t="shared" si="103"/>
        <v>30.864301846880164</v>
      </c>
      <c r="GC103" s="20">
        <f t="shared" si="79"/>
        <v>256.71174238331639</v>
      </c>
      <c r="GD103" s="59">
        <f t="shared" si="80"/>
        <v>547.33709843121369</v>
      </c>
      <c r="GE103" s="59">
        <f ca="1">AVERAGE(OFFSET($GD$3,0,0,'Données projet'!$E$17+1,1))-AVERAGE(OFFSET($H$3,0,0,'Données projet'!$E$17+1,1))</f>
        <v>192.88444860121191</v>
      </c>
      <c r="GF103" s="59">
        <f t="shared" si="104"/>
        <v>136.13737493732751</v>
      </c>
      <c r="GG103" s="15">
        <f>IF(ISNA(VLOOKUP(A103,'Données projet'!$A$243:$I$263,3,0)),0,VLOOKUP(A103,'Données projet'!$A$243:$I$263,3,0))</f>
        <v>17</v>
      </c>
      <c r="GH103" s="15">
        <f>IF(ISNA(VLOOKUP(A103,'Données projet'!$A$243:$I$263,4,0)),0,VLOOKUP(A103,'Données projet'!$A$243:$I$263,4,0))</f>
        <v>11.538461538461538</v>
      </c>
      <c r="GI103" s="16">
        <f>IF(ISNA(VLOOKUP(A103,'Données projet'!$A$243:$I$263,5,0)),0%,VLOOKUP(A103,'Données projet'!$A$243:$I$263,5,0)*VLOOKUP('Données projet'!$B$17,Paramètres!$A$1:$I$89,7,0))</f>
        <v>0.1855</v>
      </c>
      <c r="GJ103" s="16">
        <f>IF(ISNA(VLOOKUP(A103,'Données projet'!$A$243:$I$263,6,0)),0%,VLOOKUP(A103,'Données projet'!$A$243:$I$263,6,0)*VLOOKUP('Données projet'!$B$17,Paramètres!$A$1:$I$89,7,0))</f>
        <v>0.10600000000000001</v>
      </c>
      <c r="GK103" s="16">
        <f>IF(ISNA(VLOOKUP(A103,'Données projet'!$A$243:$I$263,7,0)),0%,VLOOKUP(A103,'Données projet'!$A$243:$I$263,7,0))</f>
        <v>0.1</v>
      </c>
      <c r="GL103" s="21">
        <f>EXP(-LN(2)/35)*GL102+(1-EXP(-LN(2)/35))/(LN(2)/35)*GH103*GI103*VLOOKUP('Données projet'!$B$17,Paramètres!$A$1:$I$89,3,0)*0.475*44/12</f>
        <v>8.2901725110981896</v>
      </c>
      <c r="GM103" s="21">
        <f>EXP(-LN(2)/25)*GM102+(1-EXP(-LN(2)/25))/(LN(2)/25)*Calculateur!GH103*Calculateur!GJ103*VLOOKUP('Données projet'!$B$17,Paramètres!$A$1:$I$89,3,0)*0.475*44/12</f>
        <v>15.153577601135417</v>
      </c>
      <c r="GN103" s="21">
        <f>EXP(-LN(2)/2)*GN102+(1-EXP(-LN(2)/2))/(LN(2)/2)*GH103*GK103*VLOOKUP('Données projet'!$B$17,Paramètres!$A$1:$I$89,3,0)*0.475*44/12</f>
        <v>0.89745234253649475</v>
      </c>
      <c r="GO103" s="21">
        <f t="shared" si="81"/>
        <v>24.341202454770105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69.261460740335608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0.85000000000000009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3.1166666666666671</v>
      </c>
      <c r="H104" s="67">
        <f t="shared" si="56"/>
        <v>244.19999999999996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1020.5414840269714</v>
      </c>
      <c r="S104" s="59">
        <f ca="1">AVERAGE(OFFSET($R$3,0,0,'Données projet'!$E$9+1,1))-AVERAGE(OFFSET($H$3,0,0,'Données projet'!$E$9+1,1))</f>
        <v>643.492472896403</v>
      </c>
      <c r="T104" s="59">
        <f t="shared" si="88"/>
        <v>285.0259479655341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-2.8421709430404007E-13</v>
      </c>
      <c r="AJ104" s="13">
        <f>AI104*VLOOKUP('Données projet'!$B$10,Paramètres!$A$1:$I$89,3,0)*VLOOKUP('Données projet'!$B$10,Paramètres!$A$1:$I$89,5,0)</f>
        <v>-2.2168933355715128E-13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289.89907502443873</v>
      </c>
      <c r="AO104" s="59">
        <f t="shared" si="90"/>
        <v>267.42183550360301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21.268361674817942</v>
      </c>
      <c r="AV104" s="21">
        <f>EXP(-LN(2)/25)*AV103+(1-EXP(-LN(2)/25))/(LN(2)/25)*Calculateur!AQ104*Calculateur!AS104*VLOOKUP('Données projet'!$B$10,Paramètres!$A$1:$I$89,3,0)*0.475*44/12</f>
        <v>19.058608054636977</v>
      </c>
      <c r="AW104" s="21">
        <f>EXP(-LN(2)/2)*AW103+(1-EXP(-LN(2)/2))/(LN(2)/2)*AQ104*AT104*VLOOKUP('Données projet'!$B$10,Paramètres!$A$1:$I$89,3,0)*0.475*44/12</f>
        <v>6.5252049143643799E-3</v>
      </c>
      <c r="AX104" s="21">
        <f t="shared" si="60"/>
        <v>40.333494934369277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1.9230769230769227</v>
      </c>
      <c r="BD104" s="12">
        <f>IF('Données projet'!$A$88&gt;35,BD103+BC104-BL103,IF(A104&lt;'Données projet'!$A$88,$BA$205^A104,IF(A104='Données projet'!$A$88,'Données projet'!$B$88,BD103+BC104-BL103)))</f>
        <v>105.12820512820508</v>
      </c>
      <c r="BE104" s="13">
        <f>BD104*VLOOKUP('Données projet'!$B$11,Paramètres!$A$1:$I$89,3,0)*VLOOKUP('Données projet'!$B$11,Paramètres!$A$1:$I$89,5,0)</f>
        <v>101.67999999999996</v>
      </c>
      <c r="BF104" s="13">
        <f t="shared" si="91"/>
        <v>27.361845471196556</v>
      </c>
      <c r="BG104" s="20">
        <f t="shared" si="61"/>
        <v>224.74788086233397</v>
      </c>
      <c r="BH104" s="59">
        <f t="shared" si="62"/>
        <v>515.42021426200324</v>
      </c>
      <c r="BI104" s="59">
        <f ca="1">AVERAGE(OFFSET($BH$3,0,0,'Données projet'!$E$11+1,1))-AVERAGE(OFFSET($H$3,0,0,'Données projet'!$E$11+1,1))</f>
        <v>177.54241137663234</v>
      </c>
      <c r="BJ104" s="59">
        <f t="shared" si="92"/>
        <v>114.71095021456071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14.618535857495305</v>
      </c>
      <c r="BR104" s="21">
        <f>EXP(-LN(2)/2)*BR103+(1-EXP(-LN(2)/2))/(LN(2)/2)*BL104*BO104*VLOOKUP('Données projet'!$B$11,Paramètres!$A$1:$I$89,3,0)*0.475*44/12</f>
        <v>0.90446999396908689</v>
      </c>
      <c r="BS104" s="22">
        <f t="shared" si="63"/>
        <v>15.523005851464392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1.9230769230769227</v>
      </c>
      <c r="BY104" s="12">
        <f>IF('Données projet'!$A$114&gt;35,BY103+BX104-CG103,IF(A104&lt;'Données projet'!$A$114,$BV$205^A104,IF(A104='Données projet'!$A$114,'Données projet'!$B$114,BY103+BX104-CG103)))</f>
        <v>105.12820512820508</v>
      </c>
      <c r="BZ104" s="13">
        <f>BY104*VLOOKUP('Données projet'!$B$12,Paramètres!$A$1:$I$89,3,0)*VLOOKUP('Données projet'!$B$12,Paramètres!$A$1:$I$89,5,0)</f>
        <v>113.15999999999995</v>
      </c>
      <c r="CA104" s="13">
        <f t="shared" si="93"/>
        <v>30.074273543773817</v>
      </c>
      <c r="CB104" s="20">
        <f t="shared" si="64"/>
        <v>249.46635975540599</v>
      </c>
      <c r="CC104" s="59">
        <f t="shared" si="65"/>
        <v>540.13869315507532</v>
      </c>
      <c r="CD104" s="59">
        <f ca="1">AVERAGE(OFFSET($CC$3,0,0,'Données projet'!$E$12+1,1))-AVERAGE(OFFSET($H$3,0,0,'Données projet'!$E$12+1,1))</f>
        <v>192.88977161349993</v>
      </c>
      <c r="CE104" s="59">
        <f t="shared" si="94"/>
        <v>122.91376861456772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16.269015712373808</v>
      </c>
      <c r="CM104" s="21">
        <f>EXP(-LN(2)/2)*CM103+(1-EXP(-LN(2)/2))/(LN(2)/2)*CG104*CJ104*VLOOKUP('Données projet'!$B$12,Paramètres!$A$1:$I$89,3,0)*0.475*44/12</f>
        <v>1.0065875739333388</v>
      </c>
      <c r="CN104" s="22">
        <f t="shared" si="66"/>
        <v>17.275603286307145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-8.5265128291212022E-14</v>
      </c>
      <c r="CU104" s="17">
        <f>CT104*VLOOKUP('Données projet'!$B$13,Paramètres!$A$1:$I$89,3,0)*VLOOKUP('Données projet'!$B$13,Paramètres!$A$1:$I$89,5,0)</f>
        <v>-6.9167072069831198E-14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163.16040389635825</v>
      </c>
      <c r="CZ104" s="59">
        <f t="shared" si="96"/>
        <v>138.57856782158811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11.926344839954062</v>
      </c>
      <c r="DH104" s="21">
        <f>EXP(-LN(2)/2)*DH103+(1-EXP(-LN(2)/2))/(LN(2)/2)*DB104*DE104*VLOOKUP('Données projet'!$B$13,Paramètres!$A$1:$I$89,3,0)*0.475*44/12</f>
        <v>0.55342300947293543</v>
      </c>
      <c r="DI104" s="22">
        <f t="shared" si="69"/>
        <v>12.479767849426997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9.1833333333333318</v>
      </c>
      <c r="DO104" s="12">
        <f>IF('Données projet'!$A$166&gt;35,DO103+DN104-DW103,IF(A104&lt;'Données projet'!$A$166,$DL$205^A104,IF(A104='Données projet'!$A$166,'Données projet'!$B$166,DO103+DN104-DW103)))</f>
        <v>397.89333333333326</v>
      </c>
      <c r="DP104" s="17">
        <f>DO104*VLOOKUP('Données projet'!$B$14,Paramètres!$A$1:$I$89,3,0)*VLOOKUP('Données projet'!$B$14,Paramètres!$A$1:$I$89,5,0)</f>
        <v>186.21407999999997</v>
      </c>
      <c r="DQ104" s="13">
        <f t="shared" si="97"/>
        <v>46.70196174472121</v>
      </c>
      <c r="DR104" s="20">
        <f t="shared" si="70"/>
        <v>405.6621060387227</v>
      </c>
      <c r="DS104" s="59">
        <f t="shared" si="71"/>
        <v>696.334439438392</v>
      </c>
      <c r="DT104" s="59">
        <f ca="1">AVERAGE(OFFSET($DS$3,0,0,'Données projet'!$E$14+1,1))-AVERAGE(OFFSET($H$3,0,0,'Données projet'!$E$14+1,1))</f>
        <v>343.44193069803498</v>
      </c>
      <c r="DU104" s="59">
        <f t="shared" si="98"/>
        <v>280.67367019483481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58.499251165327401</v>
      </c>
      <c r="EB104" s="21">
        <f>EXP(-LN(2)/25)*EB103+(1-EXP(-LN(2)/25))/(LN(2)/25)*Calculateur!DW104*Calculateur!DY104*VLOOKUP('Données projet'!$B$14,Paramètres!$A$1:$I$89,3,0)*0.475*44/12</f>
        <v>20.671948537783638</v>
      </c>
      <c r="EC104" s="21">
        <f>EXP(-LN(2)/2)*EC103+(1-EXP(-LN(2)/2))/(LN(2)/2)*DW104*DZ104*VLOOKUP('Données projet'!$B$14,Paramètres!$A$1:$I$89,3,0)*0.475*44/12</f>
        <v>2.4404172718252837</v>
      </c>
      <c r="ED104" s="22">
        <f t="shared" si="72"/>
        <v>81.611616974936325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3.0769230769230718</v>
      </c>
      <c r="EJ104" s="12">
        <f>IF('Données projet'!$A$192&gt;35,EJ103+EI104-ER103,IF(A104&lt;'Données projet'!$A$192,$EG$205^A104,IF(A104='Données projet'!$A$192,'Données projet'!$B$192,EJ103+EI104-ER103)))</f>
        <v>165.25641025641036</v>
      </c>
      <c r="EK104" s="17">
        <f>EJ104*VLOOKUP('Données projet'!$B$15,Paramètres!$A$1:$I$89,3,0)*VLOOKUP('Données projet'!$B$15,Paramètres!$A$1:$I$89,5,0)</f>
        <v>167.57000000000014</v>
      </c>
      <c r="EL104" s="13">
        <f t="shared" si="99"/>
        <v>42.545329231905278</v>
      </c>
      <c r="EM104" s="20">
        <f t="shared" si="73"/>
        <v>365.95086507890193</v>
      </c>
      <c r="EN104" s="59">
        <f t="shared" si="74"/>
        <v>656.62319847857123</v>
      </c>
      <c r="EO104" s="59">
        <f ca="1">AVERAGE(OFFSET($EN$3,0,0,'Données projet'!$E$15+1,1))-AVERAGE(OFFSET($H$3,0,0,'Données projet'!$E$15+1,1))</f>
        <v>270.0029254736703</v>
      </c>
      <c r="EP104" s="59">
        <f t="shared" si="100"/>
        <v>183.80022202211441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9.9678202547735353</v>
      </c>
      <c r="EW104" s="21">
        <f>EXP(-LN(2)/25)*EW103+(1-EXP(-LN(2)/25))/(LN(2)/25)*Calculateur!ER104*Calculateur!ET104*VLOOKUP('Données projet'!$B$15,Paramètres!$A$1:$I$89,3,0)*0.475*44/12</f>
        <v>18.076380086945726</v>
      </c>
      <c r="EX104" s="21">
        <f>EXP(-LN(2)/2)*EX103+(1-EXP(-LN(2)/2))/(LN(2)/2)*ER104*EU104*VLOOKUP('Données projet'!$B$15,Paramètres!$A$1:$I$89,3,0)*0.475*44/12</f>
        <v>0.95927096320825578</v>
      </c>
      <c r="EY104" s="22">
        <f t="shared" si="75"/>
        <v>29.003471304927515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-1.4897523215040567E-13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328.93328163316073</v>
      </c>
      <c r="FK104" s="59">
        <f t="shared" si="102"/>
        <v>320.27831321887072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30.398509461731578</v>
      </c>
      <c r="FR104" s="21">
        <f>EXP(-LN(2)/25)*FR103+(1-EXP(-LN(2)/25))/(LN(2)/25)*Calculateur!FM104*Calculateur!FO104*VLOOKUP('Données projet'!$B$16,Paramètres!$A$1:$I$89,3,0)*0.475*44/12</f>
        <v>25.985427314428403</v>
      </c>
      <c r="FS104" s="21">
        <f>EXP(-LN(2)/2)*FS103+(1-EXP(-LN(2)/2))/(LN(2)/2)*FM104*FP104*VLOOKUP('Données projet'!$B$16,Paramètres!$A$1:$I$89,3,0)*0.475*44/12</f>
        <v>3.9412922871714537E-2</v>
      </c>
      <c r="FT104" s="22">
        <f t="shared" si="78"/>
        <v>56.423349699031697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3.0769230769230718</v>
      </c>
      <c r="FZ104" s="12">
        <f>IF('Données projet'!$A$244&gt;35,FZ103+FY104-GH103,IF(A104&lt;'Données projet'!$A$244,$FW$205^A104,IF(A104='Données projet'!$A$244,'Données projet'!$B$244,FZ103+FY104-GH103)))</f>
        <v>165.25641025641036</v>
      </c>
      <c r="GA104" s="17">
        <f>FZ104*VLOOKUP('Données projet'!$B$17,Paramètres!$A$1:$I$89,3,0)*VLOOKUP('Données projet'!$B$17,Paramètres!$A$1:$I$89,5,0)</f>
        <v>110.85400000000007</v>
      </c>
      <c r="GB104" s="13">
        <f t="shared" si="103"/>
        <v>29.532102980068863</v>
      </c>
      <c r="GC104" s="20">
        <f t="shared" si="79"/>
        <v>244.50579602362004</v>
      </c>
      <c r="GD104" s="59">
        <f t="shared" si="80"/>
        <v>535.17812942328931</v>
      </c>
      <c r="GE104" s="59">
        <f ca="1">AVERAGE(OFFSET($GD$3,0,0,'Données projet'!$E$17+1,1))-AVERAGE(OFFSET($H$3,0,0,'Données projet'!$E$17+1,1))</f>
        <v>192.88444860121191</v>
      </c>
      <c r="GF104" s="59">
        <f t="shared" si="104"/>
        <v>136.13737493732751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8.1276072846614973</v>
      </c>
      <c r="GM104" s="21">
        <f>EXP(-LN(2)/25)*GM103+(1-EXP(-LN(2)/25))/(LN(2)/25)*Calculateur!GH104*Calculateur!GJ104*VLOOKUP('Données projet'!$B$17,Paramètres!$A$1:$I$89,3,0)*0.475*44/12</f>
        <v>14.739202224740357</v>
      </c>
      <c r="GN104" s="21">
        <f>EXP(-LN(2)/2)*GN103+(1-EXP(-LN(2)/2))/(LN(2)/2)*GH104*GK104*VLOOKUP('Données projet'!$B$17,Paramètres!$A$1:$I$89,3,0)*0.475*44/12</f>
        <v>0.63459463719930775</v>
      </c>
      <c r="GO104" s="21">
        <f t="shared" si="81"/>
        <v>23.501404146601161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69.274272745364357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0.85000000000000009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3.1166666666666671</v>
      </c>
      <c r="H105" s="67">
        <f t="shared" si="56"/>
        <v>244.19999999999996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1037.5867057491123</v>
      </c>
      <c r="S105" s="59">
        <f ca="1">AVERAGE(OFFSET($R$3,0,0,'Données projet'!$E$9+1,1))-AVERAGE(OFFSET($H$3,0,0,'Données projet'!$E$9+1,1))</f>
        <v>643.492472896403</v>
      </c>
      <c r="T105" s="59">
        <f t="shared" si="88"/>
        <v>285.0259479655341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-2.8421709430404007E-13</v>
      </c>
      <c r="AJ105" s="13">
        <f>AI105*VLOOKUP('Données projet'!$B$10,Paramètres!$A$1:$I$89,3,0)*VLOOKUP('Données projet'!$B$10,Paramètres!$A$1:$I$89,5,0)</f>
        <v>-2.2168933355715128E-13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289.89907502443873</v>
      </c>
      <c r="AO105" s="59">
        <f t="shared" si="90"/>
        <v>267.42183550360301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20.851302074794464</v>
      </c>
      <c r="AV105" s="21">
        <f>EXP(-LN(2)/25)*AV104+(1-EXP(-LN(2)/25))/(LN(2)/25)*Calculateur!AQ105*Calculateur!AS105*VLOOKUP('Données projet'!$B$10,Paramètres!$A$1:$I$89,3,0)*0.475*44/12</f>
        <v>18.53744941513429</v>
      </c>
      <c r="AW105" s="21">
        <f>EXP(-LN(2)/2)*AW104+(1-EXP(-LN(2)/2))/(LN(2)/2)*AQ105*AT105*VLOOKUP('Données projet'!$B$10,Paramètres!$A$1:$I$89,3,0)*0.475*44/12</f>
        <v>4.6140166435788381E-3</v>
      </c>
      <c r="AX105" s="21">
        <f t="shared" si="60"/>
        <v>39.39336550657233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1.9230769230769227</v>
      </c>
      <c r="BD105" s="12">
        <f>IF('Données projet'!$A$88&gt;35,BD104+BC105-BL104,IF(A105&lt;'Données projet'!$A$88,$BA$205^A105,IF(A105='Données projet'!$A$88,'Données projet'!$B$88,BD104+BC105-BL104)))</f>
        <v>107.051282051282</v>
      </c>
      <c r="BE105" s="13">
        <f>BD105*VLOOKUP('Données projet'!$B$11,Paramètres!$A$1:$I$89,3,0)*VLOOKUP('Données projet'!$B$11,Paramètres!$A$1:$I$89,5,0)</f>
        <v>103.53999999999996</v>
      </c>
      <c r="BF105" s="13">
        <f t="shared" si="91"/>
        <v>27.80363865322208</v>
      </c>
      <c r="BG105" s="20">
        <f t="shared" si="61"/>
        <v>228.75683732102837</v>
      </c>
      <c r="BH105" s="59">
        <f t="shared" si="62"/>
        <v>519.47533312044209</v>
      </c>
      <c r="BI105" s="59">
        <f ca="1">AVERAGE(OFFSET($BH$3,0,0,'Données projet'!$E$11+1,1))-AVERAGE(OFFSET($H$3,0,0,'Données projet'!$E$11+1,1))</f>
        <v>177.54241137663234</v>
      </c>
      <c r="BJ105" s="59">
        <f t="shared" si="92"/>
        <v>114.71095021456071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14.218791225716705</v>
      </c>
      <c r="BR105" s="21">
        <f>EXP(-LN(2)/2)*BR104+(1-EXP(-LN(2)/2))/(LN(2)/2)*BL105*BO105*VLOOKUP('Données projet'!$B$11,Paramètres!$A$1:$I$89,3,0)*0.475*44/12</f>
        <v>0.63955686611529716</v>
      </c>
      <c r="BS105" s="22">
        <f t="shared" si="63"/>
        <v>14.858348091832003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1.9230769230769227</v>
      </c>
      <c r="BY105" s="12">
        <f>IF('Données projet'!$A$114&gt;35,BY104+BX105-CG104,IF(A105&lt;'Données projet'!$A$114,$BV$205^A105,IF(A105='Données projet'!$A$114,'Données projet'!$B$114,BY104+BX105-CG104)))</f>
        <v>107.051282051282</v>
      </c>
      <c r="BZ105" s="13">
        <f>BY105*VLOOKUP('Données projet'!$B$12,Paramètres!$A$1:$I$89,3,0)*VLOOKUP('Données projet'!$B$12,Paramètres!$A$1:$I$89,5,0)</f>
        <v>115.22999999999993</v>
      </c>
      <c r="CA105" s="13">
        <f t="shared" si="93"/>
        <v>30.559862464301705</v>
      </c>
      <c r="CB105" s="20">
        <f t="shared" si="64"/>
        <v>253.91734379199201</v>
      </c>
      <c r="CC105" s="59">
        <f t="shared" si="65"/>
        <v>544.63583959140578</v>
      </c>
      <c r="CD105" s="59">
        <f ca="1">AVERAGE(OFFSET($CC$3,0,0,'Données projet'!$E$12+1,1))-AVERAGE(OFFSET($H$3,0,0,'Données projet'!$E$12+1,1))</f>
        <v>192.88977161349993</v>
      </c>
      <c r="CE105" s="59">
        <f t="shared" si="94"/>
        <v>122.91376861456772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15.824138622168594</v>
      </c>
      <c r="CM105" s="21">
        <f>EXP(-LN(2)/2)*CM104+(1-EXP(-LN(2)/2))/(LN(2)/2)*CG105*CJ105*VLOOKUP('Données projet'!$B$12,Paramètres!$A$1:$I$89,3,0)*0.475*44/12</f>
        <v>0.7117648993863791</v>
      </c>
      <c r="CN105" s="22">
        <f t="shared" si="66"/>
        <v>16.535903521554971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-8.5265128291212022E-14</v>
      </c>
      <c r="CU105" s="17">
        <f>CT105*VLOOKUP('Données projet'!$B$13,Paramètres!$A$1:$I$89,3,0)*VLOOKUP('Données projet'!$B$13,Paramètres!$A$1:$I$89,5,0)</f>
        <v>-6.9167072069831198E-14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163.16040389635825</v>
      </c>
      <c r="CZ105" s="59">
        <f t="shared" si="96"/>
        <v>138.57856782158811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11.600218313126302</v>
      </c>
      <c r="DH105" s="21">
        <f>EXP(-LN(2)/2)*DH104+(1-EXP(-LN(2)/2))/(LN(2)/2)*DB105*DE105*VLOOKUP('Données projet'!$B$13,Paramètres!$A$1:$I$89,3,0)*0.475*44/12</f>
        <v>0.39132916286297958</v>
      </c>
      <c r="DI105" s="22">
        <f t="shared" si="69"/>
        <v>11.991547475989281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9.1833333333333318</v>
      </c>
      <c r="DO105" s="12">
        <f>IF('Données projet'!$A$166&gt;35,DO104+DN105-DW104,IF(A105&lt;'Données projet'!$A$166,$DL$205^A105,IF(A105='Données projet'!$A$166,'Données projet'!$B$166,DO104+DN105-DW104)))</f>
        <v>407.0766666666666</v>
      </c>
      <c r="DP105" s="17">
        <f>DO105*VLOOKUP('Données projet'!$B$14,Paramètres!$A$1:$I$89,3,0)*VLOOKUP('Données projet'!$B$14,Paramètres!$A$1:$I$89,5,0)</f>
        <v>190.51187999999996</v>
      </c>
      <c r="DQ105" s="13">
        <f t="shared" si="97"/>
        <v>47.653104524596984</v>
      </c>
      <c r="DR105" s="20">
        <f t="shared" si="70"/>
        <v>414.80401471367298</v>
      </c>
      <c r="DS105" s="59">
        <f t="shared" si="71"/>
        <v>705.52251051308667</v>
      </c>
      <c r="DT105" s="59">
        <f ca="1">AVERAGE(OFFSET($DS$3,0,0,'Données projet'!$E$14+1,1))-AVERAGE(OFFSET($H$3,0,0,'Données projet'!$E$14+1,1))</f>
        <v>343.44193069803498</v>
      </c>
      <c r="DU105" s="59">
        <f t="shared" si="98"/>
        <v>280.67367019483481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57.352116530995332</v>
      </c>
      <c r="EB105" s="21">
        <f>EXP(-LN(2)/25)*EB104+(1-EXP(-LN(2)/25))/(LN(2)/25)*Calculateur!DW105*Calculateur!DY105*VLOOKUP('Données projet'!$B$14,Paramètres!$A$1:$I$89,3,0)*0.475*44/12</f>
        <v>20.106673017927417</v>
      </c>
      <c r="EC105" s="21">
        <f>EXP(-LN(2)/2)*EC104+(1-EXP(-LN(2)/2))/(LN(2)/2)*DW105*DZ105*VLOOKUP('Données projet'!$B$14,Paramètres!$A$1:$I$89,3,0)*0.475*44/12</f>
        <v>1.7256356018324321</v>
      </c>
      <c r="ED105" s="22">
        <f t="shared" si="72"/>
        <v>79.184425150755189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3.0769230769230718</v>
      </c>
      <c r="EJ105" s="12">
        <f>IF('Données projet'!$A$192&gt;35,EJ104+EI105-ER104,IF(A105&lt;'Données projet'!$A$192,$EG$205^A105,IF(A105='Données projet'!$A$192,'Données projet'!$B$192,EJ104+EI105-ER104)))</f>
        <v>168.33333333333343</v>
      </c>
      <c r="EK105" s="17">
        <f>EJ105*VLOOKUP('Données projet'!$B$15,Paramètres!$A$1:$I$89,3,0)*VLOOKUP('Données projet'!$B$15,Paramètres!$A$1:$I$89,5,0)</f>
        <v>170.69000000000011</v>
      </c>
      <c r="EL105" s="13">
        <f t="shared" si="99"/>
        <v>43.244524181749327</v>
      </c>
      <c r="EM105" s="20">
        <f t="shared" si="73"/>
        <v>372.60262961654695</v>
      </c>
      <c r="EN105" s="59">
        <f t="shared" si="74"/>
        <v>663.32112541596075</v>
      </c>
      <c r="EO105" s="59">
        <f ca="1">AVERAGE(OFFSET($EN$3,0,0,'Données projet'!$E$15+1,1))-AVERAGE(OFFSET($H$3,0,0,'Données projet'!$E$15+1,1))</f>
        <v>270.0029254736703</v>
      </c>
      <c r="EP105" s="59">
        <f t="shared" si="100"/>
        <v>183.80022202211441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9.7723573793474543</v>
      </c>
      <c r="EW105" s="21">
        <f>EXP(-LN(2)/25)*EW104+(1-EXP(-LN(2)/25))/(LN(2)/25)*Calculateur!ER105*Calculateur!ET105*VLOOKUP('Données projet'!$B$15,Paramètres!$A$1:$I$89,3,0)*0.475*44/12</f>
        <v>17.58208052287268</v>
      </c>
      <c r="EX105" s="21">
        <f>EXP(-LN(2)/2)*EX104+(1-EXP(-LN(2)/2))/(LN(2)/2)*ER105*EU105*VLOOKUP('Données projet'!$B$15,Paramètres!$A$1:$I$89,3,0)*0.475*44/12</f>
        <v>0.67830700307990888</v>
      </c>
      <c r="EY105" s="22">
        <f t="shared" si="75"/>
        <v>28.032744905300042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-1.4897523215040567E-13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328.93328163316073</v>
      </c>
      <c r="FK105" s="59">
        <f t="shared" si="102"/>
        <v>320.27831321887072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29.802413232446995</v>
      </c>
      <c r="FR105" s="21">
        <f>EXP(-LN(2)/25)*FR104+(1-EXP(-LN(2)/25))/(LN(2)/25)*Calculateur!FM105*Calculateur!FO105*VLOOKUP('Données projet'!$B$16,Paramètres!$A$1:$I$89,3,0)*0.475*44/12</f>
        <v>25.274854438001125</v>
      </c>
      <c r="FS105" s="21">
        <f>EXP(-LN(2)/2)*FS104+(1-EXP(-LN(2)/2))/(LN(2)/2)*FM105*FP105*VLOOKUP('Données projet'!$B$16,Paramètres!$A$1:$I$89,3,0)*0.475*44/12</f>
        <v>2.7869145028971726E-2</v>
      </c>
      <c r="FT105" s="22">
        <f t="shared" si="78"/>
        <v>55.105136815477096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3.0769230769230718</v>
      </c>
      <c r="FZ105" s="12">
        <f>IF('Données projet'!$A$244&gt;35,FZ104+FY105-GH104,IF(A105&lt;'Données projet'!$A$244,$FW$205^A105,IF(A105='Données projet'!$A$244,'Données projet'!$B$244,FZ104+FY105-GH104)))</f>
        <v>168.33333333333343</v>
      </c>
      <c r="GA105" s="17">
        <f>FZ105*VLOOKUP('Données projet'!$B$17,Paramètres!$A$1:$I$89,3,0)*VLOOKUP('Données projet'!$B$17,Paramètres!$A$1:$I$89,5,0)</f>
        <v>112.91800000000006</v>
      </c>
      <c r="GB105" s="13">
        <f t="shared" si="103"/>
        <v>30.017437037525255</v>
      </c>
      <c r="GC105" s="20">
        <f t="shared" si="79"/>
        <v>248.94588617368993</v>
      </c>
      <c r="GD105" s="59">
        <f t="shared" si="80"/>
        <v>539.66438197310367</v>
      </c>
      <c r="GE105" s="59">
        <f ca="1">AVERAGE(OFFSET($GD$3,0,0,'Données projet'!$E$17+1,1))-AVERAGE(OFFSET($H$3,0,0,'Données projet'!$E$17+1,1))</f>
        <v>192.88444860121191</v>
      </c>
      <c r="GF105" s="59">
        <f t="shared" si="104"/>
        <v>136.13737493732751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7.9682298631602313</v>
      </c>
      <c r="GM105" s="21">
        <f>EXP(-LN(2)/25)*GM104+(1-EXP(-LN(2)/25))/(LN(2)/25)*Calculateur!GH105*Calculateur!GJ105*VLOOKUP('Données projet'!$B$17,Paramètres!$A$1:$I$89,3,0)*0.475*44/12</f>
        <v>14.336157964803874</v>
      </c>
      <c r="GN105" s="21">
        <f>EXP(-LN(2)/2)*GN104+(1-EXP(-LN(2)/2))/(LN(2)/2)*GH105*GK105*VLOOKUP('Données projet'!$B$17,Paramètres!$A$1:$I$89,3,0)*0.475*44/12</f>
        <v>0.44872617126824743</v>
      </c>
      <c r="GO105" s="21">
        <f t="shared" si="81"/>
        <v>22.753113999232355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69.286862490749201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0.85000000000000009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3.1166666666666671</v>
      </c>
      <c r="H106" s="67">
        <f t="shared" si="56"/>
        <v>244.19999999999996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1054.6232615415552</v>
      </c>
      <c r="S106" s="59">
        <f ca="1">AVERAGE(OFFSET($R$3,0,0,'Données projet'!$E$9+1,1))-AVERAGE(OFFSET($H$3,0,0,'Données projet'!$E$9+1,1))</f>
        <v>643.492472896403</v>
      </c>
      <c r="T106" s="59">
        <f t="shared" si="88"/>
        <v>285.0259479655341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-2.8421709430404007E-13</v>
      </c>
      <c r="AJ106" s="13">
        <f>AI106*VLOOKUP('Données projet'!$B$10,Paramètres!$A$1:$I$89,3,0)*VLOOKUP('Données projet'!$B$10,Paramètres!$A$1:$I$89,5,0)</f>
        <v>-2.2168933355715128E-13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289.89907502443873</v>
      </c>
      <c r="AO106" s="59">
        <f t="shared" si="90"/>
        <v>267.42183550360301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20.442420759146209</v>
      </c>
      <c r="AV106" s="21">
        <f>EXP(-LN(2)/25)*AV105+(1-EXP(-LN(2)/25))/(LN(2)/25)*Calculateur!AQ106*Calculateur!AS106*VLOOKUP('Données projet'!$B$10,Paramètres!$A$1:$I$89,3,0)*0.475*44/12</f>
        <v>18.030541886035348</v>
      </c>
      <c r="AW106" s="21">
        <f>EXP(-LN(2)/2)*AW105+(1-EXP(-LN(2)/2))/(LN(2)/2)*AQ106*AT106*VLOOKUP('Données projet'!$B$10,Paramètres!$A$1:$I$89,3,0)*0.475*44/12</f>
        <v>3.26260245718219E-3</v>
      </c>
      <c r="AX106" s="21">
        <f t="shared" si="60"/>
        <v>38.476225247638737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1.9230769230769227</v>
      </c>
      <c r="BD106" s="12">
        <f>IF('Données projet'!$A$88&gt;35,BD105+BC106-BL105,IF(A106&lt;'Données projet'!$A$88,$BA$205^A106,IF(A106='Données projet'!$A$88,'Données projet'!$B$88,BD105+BC106-BL105)))</f>
        <v>108.97435897435892</v>
      </c>
      <c r="BE106" s="13">
        <f>BD106*VLOOKUP('Données projet'!$B$11,Paramètres!$A$1:$I$89,3,0)*VLOOKUP('Données projet'!$B$11,Paramètres!$A$1:$I$89,5,0)</f>
        <v>105.39999999999995</v>
      </c>
      <c r="BF106" s="13">
        <f t="shared" si="91"/>
        <v>28.24450895045814</v>
      </c>
      <c r="BG106" s="20">
        <f t="shared" si="61"/>
        <v>232.76418642204783</v>
      </c>
      <c r="BH106" s="59">
        <f t="shared" si="62"/>
        <v>523.52804380677412</v>
      </c>
      <c r="BI106" s="59">
        <f ca="1">AVERAGE(OFFSET($BH$3,0,0,'Données projet'!$E$11+1,1))-AVERAGE(OFFSET($H$3,0,0,'Données projet'!$E$11+1,1))</f>
        <v>177.54241137663234</v>
      </c>
      <c r="BJ106" s="59">
        <f t="shared" si="92"/>
        <v>114.71095021456071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13.829977631915749</v>
      </c>
      <c r="BR106" s="21">
        <f>EXP(-LN(2)/2)*BR105+(1-EXP(-LN(2)/2))/(LN(2)/2)*BL106*BO106*VLOOKUP('Données projet'!$B$11,Paramètres!$A$1:$I$89,3,0)*0.475*44/12</f>
        <v>0.45223499698454356</v>
      </c>
      <c r="BS106" s="22">
        <f t="shared" si="63"/>
        <v>14.282212628900293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1.9230769230769227</v>
      </c>
      <c r="BY106" s="12">
        <f>IF('Données projet'!$A$114&gt;35,BY105+BX106-CG105,IF(A106&lt;'Données projet'!$A$114,$BV$205^A106,IF(A106='Données projet'!$A$114,'Données projet'!$B$114,BY105+BX106-CG105)))</f>
        <v>108.97435897435892</v>
      </c>
      <c r="BZ106" s="13">
        <f>BY106*VLOOKUP('Données projet'!$B$12,Paramètres!$A$1:$I$89,3,0)*VLOOKUP('Données projet'!$B$12,Paramètres!$A$1:$I$89,5,0)</f>
        <v>117.29999999999994</v>
      </c>
      <c r="CA106" s="13">
        <f t="shared" si="93"/>
        <v>31.044437012840874</v>
      </c>
      <c r="CB106" s="20">
        <f t="shared" si="64"/>
        <v>258.36656113069773</v>
      </c>
      <c r="CC106" s="59">
        <f t="shared" si="65"/>
        <v>549.13041851542403</v>
      </c>
      <c r="CD106" s="59">
        <f ca="1">AVERAGE(OFFSET($CC$3,0,0,'Données projet'!$E$12+1,1))-AVERAGE(OFFSET($H$3,0,0,'Données projet'!$E$12+1,1))</f>
        <v>192.88977161349993</v>
      </c>
      <c r="CE106" s="59">
        <f t="shared" si="94"/>
        <v>122.91376861456772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15.391426719390109</v>
      </c>
      <c r="CM106" s="21">
        <f>EXP(-LN(2)/2)*CM105+(1-EXP(-LN(2)/2))/(LN(2)/2)*CG106*CJ106*VLOOKUP('Données projet'!$B$12,Paramètres!$A$1:$I$89,3,0)*0.475*44/12</f>
        <v>0.50329378696666938</v>
      </c>
      <c r="CN106" s="22">
        <f t="shared" si="66"/>
        <v>15.894720506356778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-8.5265128291212022E-14</v>
      </c>
      <c r="CU106" s="17">
        <f>CT106*VLOOKUP('Données projet'!$B$13,Paramètres!$A$1:$I$89,3,0)*VLOOKUP('Données projet'!$B$13,Paramètres!$A$1:$I$89,5,0)</f>
        <v>-6.9167072069831198E-14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163.16040389635825</v>
      </c>
      <c r="CZ106" s="59">
        <f t="shared" si="96"/>
        <v>138.57856782158811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11.283009733324894</v>
      </c>
      <c r="DH106" s="21">
        <f>EXP(-LN(2)/2)*DH105+(1-EXP(-LN(2)/2))/(LN(2)/2)*DB106*DE106*VLOOKUP('Données projet'!$B$13,Paramètres!$A$1:$I$89,3,0)*0.475*44/12</f>
        <v>0.27671150473646772</v>
      </c>
      <c r="DI106" s="22">
        <f t="shared" si="69"/>
        <v>11.559721238061362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9.1833333333333318</v>
      </c>
      <c r="DO106" s="12">
        <f>IF('Données projet'!$A$166&gt;35,DO105+DN106-DW105,IF(A106&lt;'Données projet'!$A$166,$DL$205^A106,IF(A106='Données projet'!$A$166,'Données projet'!$B$166,DO105+DN106-DW105)))</f>
        <v>416.25999999999993</v>
      </c>
      <c r="DP106" s="17">
        <f>DO106*VLOOKUP('Données projet'!$B$14,Paramètres!$A$1:$I$89,3,0)*VLOOKUP('Données projet'!$B$14,Paramètres!$A$1:$I$89,5,0)</f>
        <v>194.80967999999996</v>
      </c>
      <c r="DQ106" s="13">
        <f t="shared" si="97"/>
        <v>48.601752757478572</v>
      </c>
      <c r="DR106" s="20">
        <f t="shared" si="70"/>
        <v>423.94157871927513</v>
      </c>
      <c r="DS106" s="59">
        <f t="shared" si="71"/>
        <v>714.70543610400136</v>
      </c>
      <c r="DT106" s="59">
        <f ca="1">AVERAGE(OFFSET($DS$3,0,0,'Données projet'!$E$14+1,1))-AVERAGE(OFFSET($H$3,0,0,'Données projet'!$E$14+1,1))</f>
        <v>343.44193069803498</v>
      </c>
      <c r="DU106" s="59">
        <f t="shared" si="98"/>
        <v>280.67367019483481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56.22747650715948</v>
      </c>
      <c r="EB106" s="21">
        <f>EXP(-LN(2)/25)*EB105+(1-EXP(-LN(2)/25))/(LN(2)/25)*Calculateur!DW106*Calculateur!DY106*VLOOKUP('Données projet'!$B$14,Paramètres!$A$1:$I$89,3,0)*0.475*44/12</f>
        <v>19.556854986888212</v>
      </c>
      <c r="EC106" s="21">
        <f>EXP(-LN(2)/2)*EC105+(1-EXP(-LN(2)/2))/(LN(2)/2)*DW106*DZ106*VLOOKUP('Données projet'!$B$14,Paramètres!$A$1:$I$89,3,0)*0.475*44/12</f>
        <v>1.2202086359126418</v>
      </c>
      <c r="ED106" s="22">
        <f t="shared" si="72"/>
        <v>77.004540129960333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3.0769230769230718</v>
      </c>
      <c r="EJ106" s="12">
        <f>IF('Données projet'!$A$192&gt;35,EJ105+EI106-ER105,IF(A106&lt;'Données projet'!$A$192,$EG$205^A106,IF(A106='Données projet'!$A$192,'Données projet'!$B$192,EJ105+EI106-ER105)))</f>
        <v>171.41025641025649</v>
      </c>
      <c r="EK106" s="17">
        <f>EJ106*VLOOKUP('Données projet'!$B$15,Paramètres!$A$1:$I$89,3,0)*VLOOKUP('Données projet'!$B$15,Paramètres!$A$1:$I$89,5,0)</f>
        <v>173.81000000000012</v>
      </c>
      <c r="EL106" s="13">
        <f t="shared" si="99"/>
        <v>43.942232985805028</v>
      </c>
      <c r="EM106" s="20">
        <f t="shared" si="73"/>
        <v>379.25180578361056</v>
      </c>
      <c r="EN106" s="59">
        <f t="shared" si="74"/>
        <v>670.01566316833691</v>
      </c>
      <c r="EO106" s="59">
        <f ca="1">AVERAGE(OFFSET($EN$3,0,0,'Données projet'!$E$15+1,1))-AVERAGE(OFFSET($H$3,0,0,'Données projet'!$E$15+1,1))</f>
        <v>270.0029254736703</v>
      </c>
      <c r="EP106" s="59">
        <f t="shared" si="100"/>
        <v>183.80022202211441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9.5807274116878975</v>
      </c>
      <c r="EW106" s="21">
        <f>EXP(-LN(2)/25)*EW105+(1-EXP(-LN(2)/25))/(LN(2)/25)*Calculateur!ER106*Calculateur!ET106*VLOOKUP('Données projet'!$B$15,Paramètres!$A$1:$I$89,3,0)*0.475*44/12</f>
        <v>17.101297606373297</v>
      </c>
      <c r="EX106" s="21">
        <f>EXP(-LN(2)/2)*EX105+(1-EXP(-LN(2)/2))/(LN(2)/2)*ER106*EU106*VLOOKUP('Données projet'!$B$15,Paramètres!$A$1:$I$89,3,0)*0.475*44/12</f>
        <v>0.479635481604128</v>
      </c>
      <c r="EY106" s="22">
        <f t="shared" si="75"/>
        <v>27.161660499665324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-1.4897523215040567E-13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328.93328163316073</v>
      </c>
      <c r="FK106" s="59">
        <f t="shared" si="102"/>
        <v>320.27831321887072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29.218006086635885</v>
      </c>
      <c r="FR106" s="21">
        <f>EXP(-LN(2)/25)*FR105+(1-EXP(-LN(2)/25))/(LN(2)/25)*Calculateur!FM106*Calculateur!FO106*VLOOKUP('Données projet'!$B$16,Paramètres!$A$1:$I$89,3,0)*0.475*44/12</f>
        <v>24.583712214247157</v>
      </c>
      <c r="FS106" s="21">
        <f>EXP(-LN(2)/2)*FS105+(1-EXP(-LN(2)/2))/(LN(2)/2)*FM106*FP106*VLOOKUP('Données projet'!$B$16,Paramètres!$A$1:$I$89,3,0)*0.475*44/12</f>
        <v>1.9706461435857268E-2</v>
      </c>
      <c r="FT106" s="22">
        <f t="shared" si="78"/>
        <v>53.821424762318898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3.0769230769230718</v>
      </c>
      <c r="FZ106" s="12">
        <f>IF('Données projet'!$A$244&gt;35,FZ105+FY106-GH105,IF(A106&lt;'Données projet'!$A$244,$FW$205^A106,IF(A106='Données projet'!$A$244,'Données projet'!$B$244,FZ105+FY106-GH105)))</f>
        <v>171.41025641025649</v>
      </c>
      <c r="GA106" s="17">
        <f>FZ106*VLOOKUP('Données projet'!$B$17,Paramètres!$A$1:$I$89,3,0)*VLOOKUP('Données projet'!$B$17,Paramètres!$A$1:$I$89,5,0)</f>
        <v>114.98200000000006</v>
      </c>
      <c r="GB106" s="13">
        <f t="shared" si="103"/>
        <v>30.501739512637389</v>
      </c>
      <c r="GC106" s="20">
        <f t="shared" si="79"/>
        <v>253.38417965117685</v>
      </c>
      <c r="GD106" s="59">
        <f t="shared" si="80"/>
        <v>544.14803703590314</v>
      </c>
      <c r="GE106" s="59">
        <f ca="1">AVERAGE(OFFSET($GD$3,0,0,'Données projet'!$E$17+1,1))-AVERAGE(OFFSET($H$3,0,0,'Données projet'!$E$17+1,1))</f>
        <v>192.88444860121191</v>
      </c>
      <c r="GF106" s="59">
        <f t="shared" si="104"/>
        <v>136.13737493732751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7.8119777356839766</v>
      </c>
      <c r="GM106" s="21">
        <f>EXP(-LN(2)/25)*GM105+(1-EXP(-LN(2)/25))/(LN(2)/25)*Calculateur!GH106*Calculateur!GJ106*VLOOKUP('Données projet'!$B$17,Paramètres!$A$1:$I$89,3,0)*0.475*44/12</f>
        <v>13.944134971350531</v>
      </c>
      <c r="GN106" s="21">
        <f>EXP(-LN(2)/2)*GN105+(1-EXP(-LN(2)/2))/(LN(2)/2)*GH106*GK106*VLOOKUP('Données projet'!$B$17,Paramètres!$A$1:$I$89,3,0)*0.475*44/12</f>
        <v>0.31729731859965393</v>
      </c>
      <c r="GO106" s="21">
        <f t="shared" si="81"/>
        <v>22.073410025634161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69.299233832198084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0.85000000000000009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3.1166666666666671</v>
      </c>
      <c r="H107" s="67">
        <f t="shared" si="56"/>
        <v>244.19999999999996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1071.6513647232227</v>
      </c>
      <c r="S107" s="59">
        <f ca="1">AVERAGE(OFFSET($R$3,0,0,'Données projet'!$E$9+1,1))-AVERAGE(OFFSET($H$3,0,0,'Données projet'!$E$9+1,1))</f>
        <v>643.492472896403</v>
      </c>
      <c r="T107" s="59">
        <f t="shared" si="88"/>
        <v>285.0259479655341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-2.8421709430404007E-13</v>
      </c>
      <c r="AJ107" s="13">
        <f>AI107*VLOOKUP('Données projet'!$B$10,Paramètres!$A$1:$I$89,3,0)*VLOOKUP('Données projet'!$B$10,Paramètres!$A$1:$I$89,5,0)</f>
        <v>-2.2168933355715128E-13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289.89907502443873</v>
      </c>
      <c r="AO107" s="59">
        <f t="shared" si="90"/>
        <v>267.42183550360301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20.041557356704839</v>
      </c>
      <c r="AV107" s="21">
        <f>EXP(-LN(2)/25)*AV106+(1-EXP(-LN(2)/25))/(LN(2)/25)*Calculateur!AQ107*Calculateur!AS107*VLOOKUP('Données projet'!$B$10,Paramètres!$A$1:$I$89,3,0)*0.475*44/12</f>
        <v>17.537495769976722</v>
      </c>
      <c r="AW107" s="21">
        <f>EXP(-LN(2)/2)*AW106+(1-EXP(-LN(2)/2))/(LN(2)/2)*AQ107*AT107*VLOOKUP('Données projet'!$B$10,Paramètres!$A$1:$I$89,3,0)*0.475*44/12</f>
        <v>2.307008321789419E-3</v>
      </c>
      <c r="AX107" s="21">
        <f t="shared" si="60"/>
        <v>37.581360135003344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1.9230769230769227</v>
      </c>
      <c r="BD107" s="12">
        <f>IF('Données projet'!$A$88&gt;35,BD106+BC107-BL106,IF(A107&lt;'Données projet'!$A$88,$BA$205^A107,IF(A107='Données projet'!$A$88,'Données projet'!$B$88,BD106+BC107-BL106)))</f>
        <v>110.89743589743584</v>
      </c>
      <c r="BE107" s="13">
        <f>BD107*VLOOKUP('Données projet'!$B$11,Paramètres!$A$1:$I$89,3,0)*VLOOKUP('Données projet'!$B$11,Paramètres!$A$1:$I$89,5,0)</f>
        <v>107.25999999999995</v>
      </c>
      <c r="BF107" s="13">
        <f t="shared" si="91"/>
        <v>28.68447452806058</v>
      </c>
      <c r="BG107" s="20">
        <f t="shared" si="61"/>
        <v>236.76995980303874</v>
      </c>
      <c r="BH107" s="59">
        <f t="shared" si="62"/>
        <v>527.57839185098578</v>
      </c>
      <c r="BI107" s="59">
        <f ca="1">AVERAGE(OFFSET($BH$3,0,0,'Données projet'!$E$11+1,1))-AVERAGE(OFFSET($H$3,0,0,'Données projet'!$E$11+1,1))</f>
        <v>177.54241137663234</v>
      </c>
      <c r="BJ107" s="59">
        <f t="shared" si="92"/>
        <v>114.71095021456071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13.451796166284099</v>
      </c>
      <c r="BR107" s="21">
        <f>EXP(-LN(2)/2)*BR106+(1-EXP(-LN(2)/2))/(LN(2)/2)*BL107*BO107*VLOOKUP('Données projet'!$B$11,Paramètres!$A$1:$I$89,3,0)*0.475*44/12</f>
        <v>0.31977843305764864</v>
      </c>
      <c r="BS107" s="22">
        <f t="shared" si="63"/>
        <v>13.771574599341747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1.9230769230769227</v>
      </c>
      <c r="BY107" s="12">
        <f>IF('Données projet'!$A$114&gt;35,BY106+BX107-CG106,IF(A107&lt;'Données projet'!$A$114,$BV$205^A107,IF(A107='Données projet'!$A$114,'Données projet'!$B$114,BY106+BX107-CG106)))</f>
        <v>110.89743589743584</v>
      </c>
      <c r="BZ107" s="13">
        <f>BY107*VLOOKUP('Données projet'!$B$12,Paramètres!$A$1:$I$89,3,0)*VLOOKUP('Données projet'!$B$12,Paramètres!$A$1:$I$89,5,0)</f>
        <v>119.36999999999995</v>
      </c>
      <c r="CA107" s="13">
        <f t="shared" si="93"/>
        <v>31.528017155291025</v>
      </c>
      <c r="CB107" s="20">
        <f t="shared" si="64"/>
        <v>262.81404654546509</v>
      </c>
      <c r="CC107" s="59">
        <f t="shared" si="65"/>
        <v>553.6224785934121</v>
      </c>
      <c r="CD107" s="59">
        <f ca="1">AVERAGE(OFFSET($CC$3,0,0,'Données projet'!$E$12+1,1))-AVERAGE(OFFSET($H$3,0,0,'Données projet'!$E$12+1,1))</f>
        <v>192.88977161349993</v>
      </c>
      <c r="CE107" s="59">
        <f t="shared" si="94"/>
        <v>122.91376861456772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14.970547346348432</v>
      </c>
      <c r="CM107" s="21">
        <f>EXP(-LN(2)/2)*CM106+(1-EXP(-LN(2)/2))/(LN(2)/2)*CG107*CJ107*VLOOKUP('Données projet'!$B$12,Paramètres!$A$1:$I$89,3,0)*0.475*44/12</f>
        <v>0.35588244969318955</v>
      </c>
      <c r="CN107" s="22">
        <f t="shared" si="66"/>
        <v>15.326429796041621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-8.5265128291212022E-14</v>
      </c>
      <c r="CU107" s="17">
        <f>CT107*VLOOKUP('Données projet'!$B$13,Paramètres!$A$1:$I$89,3,0)*VLOOKUP('Données projet'!$B$13,Paramètres!$A$1:$I$89,5,0)</f>
        <v>-6.9167072069831198E-14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163.16040389635825</v>
      </c>
      <c r="CZ107" s="59">
        <f t="shared" si="96"/>
        <v>138.57856782158811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10.97447523881943</v>
      </c>
      <c r="DH107" s="21">
        <f>EXP(-LN(2)/2)*DH106+(1-EXP(-LN(2)/2))/(LN(2)/2)*DB107*DE107*VLOOKUP('Données projet'!$B$13,Paramètres!$A$1:$I$89,3,0)*0.475*44/12</f>
        <v>0.19566458143148979</v>
      </c>
      <c r="DI107" s="22">
        <f t="shared" si="69"/>
        <v>11.17013982025092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9.1833333333333318</v>
      </c>
      <c r="DO107" s="12">
        <f>IF('Données projet'!$A$166&gt;35,DO106+DN107-DW106,IF(A107&lt;'Données projet'!$A$166,$DL$205^A107,IF(A107='Données projet'!$A$166,'Données projet'!$B$166,DO106+DN107-DW106)))</f>
        <v>425.44333333333327</v>
      </c>
      <c r="DP107" s="17">
        <f>DO107*VLOOKUP('Données projet'!$B$14,Paramètres!$A$1:$I$89,3,0)*VLOOKUP('Données projet'!$B$14,Paramètres!$A$1:$I$89,5,0)</f>
        <v>199.10747999999998</v>
      </c>
      <c r="DQ107" s="13">
        <f t="shared" si="97"/>
        <v>49.547967814034735</v>
      </c>
      <c r="DR107" s="20">
        <f t="shared" si="70"/>
        <v>433.0749049427771</v>
      </c>
      <c r="DS107" s="59">
        <f t="shared" si="71"/>
        <v>723.88333699072405</v>
      </c>
      <c r="DT107" s="59">
        <f ca="1">AVERAGE(OFFSET($DS$3,0,0,'Données projet'!$E$14+1,1))-AVERAGE(OFFSET($H$3,0,0,'Données projet'!$E$14+1,1))</f>
        <v>343.44193069803498</v>
      </c>
      <c r="DU107" s="59">
        <f t="shared" si="98"/>
        <v>280.67367019483481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55.124889988228368</v>
      </c>
      <c r="EB107" s="21">
        <f>EXP(-LN(2)/25)*EB106+(1-EXP(-LN(2)/25))/(LN(2)/25)*Calculateur!DW107*Calculateur!DY107*VLOOKUP('Données projet'!$B$14,Paramètres!$A$1:$I$89,3,0)*0.475*44/12</f>
        <v>19.022071758821447</v>
      </c>
      <c r="EC107" s="21">
        <f>EXP(-LN(2)/2)*EC106+(1-EXP(-LN(2)/2))/(LN(2)/2)*DW107*DZ107*VLOOKUP('Données projet'!$B$14,Paramètres!$A$1:$I$89,3,0)*0.475*44/12</f>
        <v>0.86281780091621607</v>
      </c>
      <c r="ED107" s="22">
        <f t="shared" si="72"/>
        <v>75.009779547966033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3.0769230769230718</v>
      </c>
      <c r="EJ107" s="12">
        <f>IF('Données projet'!$A$192&gt;35,EJ106+EI107-ER106,IF(A107&lt;'Données projet'!$A$192,$EG$205^A107,IF(A107='Données projet'!$A$192,'Données projet'!$B$192,EJ106+EI107-ER106)))</f>
        <v>174.48717948717956</v>
      </c>
      <c r="EK107" s="17">
        <f>EJ107*VLOOKUP('Données projet'!$B$15,Paramètres!$A$1:$I$89,3,0)*VLOOKUP('Données projet'!$B$15,Paramètres!$A$1:$I$89,5,0)</f>
        <v>176.93000000000009</v>
      </c>
      <c r="EL107" s="13">
        <f t="shared" si="99"/>
        <v>44.638485398696339</v>
      </c>
      <c r="EM107" s="20">
        <f t="shared" si="73"/>
        <v>385.89844540272958</v>
      </c>
      <c r="EN107" s="59">
        <f t="shared" si="74"/>
        <v>676.70687745067653</v>
      </c>
      <c r="EO107" s="59">
        <f ca="1">AVERAGE(OFFSET($EN$3,0,0,'Données projet'!$E$15+1,1))-AVERAGE(OFFSET($H$3,0,0,'Données projet'!$E$15+1,1))</f>
        <v>270.0029254736703</v>
      </c>
      <c r="EP107" s="59">
        <f t="shared" si="100"/>
        <v>183.80022202211441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9.3928551908114049</v>
      </c>
      <c r="EW107" s="21">
        <f>EXP(-LN(2)/25)*EW106+(1-EXP(-LN(2)/25))/(LN(2)/25)*Calculateur!ER107*Calculateur!ET107*VLOOKUP('Données projet'!$B$15,Paramètres!$A$1:$I$89,3,0)*0.475*44/12</f>
        <v>16.633661724008864</v>
      </c>
      <c r="EX107" s="21">
        <f>EXP(-LN(2)/2)*EX106+(1-EXP(-LN(2)/2))/(LN(2)/2)*ER107*EU107*VLOOKUP('Données projet'!$B$15,Paramètres!$A$1:$I$89,3,0)*0.475*44/12</f>
        <v>0.33915350153995449</v>
      </c>
      <c r="EY107" s="22">
        <f t="shared" si="75"/>
        <v>26.365670416360224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-1.4897523215040567E-13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328.93328163316073</v>
      </c>
      <c r="FK107" s="59">
        <f t="shared" si="102"/>
        <v>320.27831321887072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28.64505880850097</v>
      </c>
      <c r="FR107" s="21">
        <f>EXP(-LN(2)/25)*FR106+(1-EXP(-LN(2)/25))/(LN(2)/25)*Calculateur!FM107*Calculateur!FO107*VLOOKUP('Données projet'!$B$16,Paramètres!$A$1:$I$89,3,0)*0.475*44/12</f>
        <v>23.911469310947329</v>
      </c>
      <c r="FS107" s="21">
        <f>EXP(-LN(2)/2)*FS106+(1-EXP(-LN(2)/2))/(LN(2)/2)*FM107*FP107*VLOOKUP('Données projet'!$B$16,Paramètres!$A$1:$I$89,3,0)*0.475*44/12</f>
        <v>1.3934572514485863E-2</v>
      </c>
      <c r="FT107" s="22">
        <f t="shared" si="78"/>
        <v>52.570462691962788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3.0769230769230718</v>
      </c>
      <c r="FZ107" s="12">
        <f>IF('Données projet'!$A$244&gt;35,FZ106+FY107-GH106,IF(A107&lt;'Données projet'!$A$244,$FW$205^A107,IF(A107='Données projet'!$A$244,'Données projet'!$B$244,FZ106+FY107-GH106)))</f>
        <v>174.48717948717956</v>
      </c>
      <c r="GA107" s="17">
        <f>FZ107*VLOOKUP('Données projet'!$B$17,Paramètres!$A$1:$I$89,3,0)*VLOOKUP('Données projet'!$B$17,Paramètres!$A$1:$I$89,5,0)</f>
        <v>117.04600000000005</v>
      </c>
      <c r="GB107" s="13">
        <f t="shared" si="103"/>
        <v>30.985031059061935</v>
      </c>
      <c r="GC107" s="20">
        <f t="shared" si="79"/>
        <v>257.82071242786628</v>
      </c>
      <c r="GD107" s="59">
        <f t="shared" si="80"/>
        <v>548.62914447581329</v>
      </c>
      <c r="GE107" s="59">
        <f ca="1">AVERAGE(OFFSET($GD$3,0,0,'Données projet'!$E$17+1,1))-AVERAGE(OFFSET($H$3,0,0,'Données projet'!$E$17+1,1))</f>
        <v>192.88444860121191</v>
      </c>
      <c r="GF107" s="59">
        <f t="shared" si="104"/>
        <v>136.13737493732751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7.6587896171231442</v>
      </c>
      <c r="GM107" s="21">
        <f>EXP(-LN(2)/25)*GM106+(1-EXP(-LN(2)/25))/(LN(2)/25)*Calculateur!GH107*Calculateur!GJ107*VLOOKUP('Données projet'!$B$17,Paramètres!$A$1:$I$89,3,0)*0.475*44/12</f>
        <v>13.562831867268763</v>
      </c>
      <c r="GN107" s="21">
        <f>EXP(-LN(2)/2)*GN106+(1-EXP(-LN(2)/2))/(LN(2)/2)*GH107*GK107*VLOOKUP('Données projet'!$B$17,Paramètres!$A$1:$I$89,3,0)*0.475*44/12</f>
        <v>0.22436308563412377</v>
      </c>
      <c r="GO107" s="21">
        <f t="shared" si="81"/>
        <v>21.445984570026031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69.311390558531002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0.85000000000000009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3.1166666666666671</v>
      </c>
      <c r="H108" s="67">
        <f t="shared" si="56"/>
        <v>244.19999999999996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962.83198499451714</v>
      </c>
      <c r="S108" s="59">
        <f ca="1">AVERAGE(OFFSET($R$3,0,0,'Données projet'!$E$9+1,1))-AVERAGE(OFFSET($H$3,0,0,'Données projet'!$E$9+1,1))</f>
        <v>643.492472896403</v>
      </c>
      <c r="T108" s="59">
        <f t="shared" si="88"/>
        <v>285.0259479655341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-2.8421709430404007E-13</v>
      </c>
      <c r="AJ108" s="13">
        <f>AI108*VLOOKUP('Données projet'!$B$10,Paramètres!$A$1:$I$89,3,0)*VLOOKUP('Données projet'!$B$10,Paramètres!$A$1:$I$89,5,0)</f>
        <v>-2.2168933355715128E-13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289.89907502443873</v>
      </c>
      <c r="AO108" s="59">
        <f t="shared" si="90"/>
        <v>267.42183550360301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19.648554641082811</v>
      </c>
      <c r="AV108" s="21">
        <f>EXP(-LN(2)/25)*AV107+(1-EXP(-LN(2)/25))/(LN(2)/25)*Calculateur!AQ108*Calculateur!AS108*VLOOKUP('Données projet'!$B$10,Paramètres!$A$1:$I$89,3,0)*0.475*44/12</f>
        <v>17.05793202588989</v>
      </c>
      <c r="AW108" s="21">
        <f>EXP(-LN(2)/2)*AW107+(1-EXP(-LN(2)/2))/(LN(2)/2)*AQ108*AT108*VLOOKUP('Données projet'!$B$10,Paramètres!$A$1:$I$89,3,0)*0.475*44/12</f>
        <v>1.631301228591095E-3</v>
      </c>
      <c r="AX108" s="21">
        <f t="shared" si="60"/>
        <v>36.708117968201293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112.82051282051282</v>
      </c>
      <c r="BB108" s="12">
        <f>VLOOKUP(A108,'Données projet'!$A$87:$I$107,9,0)</f>
        <v>1.9230769230769227</v>
      </c>
      <c r="BC108" s="12">
        <f t="array" ref="BC108">INDEX(BB:BB,MIN(IF(ISNUMBER(BB108:BB304),ROW(BB108:BB304),"")))</f>
        <v>1.9230769230769227</v>
      </c>
      <c r="BD108" s="12">
        <f>IF('Données projet'!$A$88&gt;35,BD107+BC108-BL107,IF(A108&lt;'Données projet'!$A$88,$BA$205^A108,IF(A108='Données projet'!$A$88,'Données projet'!$B$88,BD107+BC108-BL107)))</f>
        <v>112.82051282051276</v>
      </c>
      <c r="BE108" s="13">
        <f>BD108*VLOOKUP('Données projet'!$B$11,Paramètres!$A$1:$I$89,3,0)*VLOOKUP('Données projet'!$B$11,Paramètres!$A$1:$I$89,5,0)</f>
        <v>109.11999999999995</v>
      </c>
      <c r="BF108" s="13">
        <f t="shared" si="91"/>
        <v>29.123552885085918</v>
      </c>
      <c r="BG108" s="20">
        <f t="shared" si="61"/>
        <v>240.7741879415245</v>
      </c>
      <c r="BH108" s="59">
        <f t="shared" si="62"/>
        <v>531.62642138193939</v>
      </c>
      <c r="BI108" s="59">
        <f ca="1">AVERAGE(OFFSET($BH$3,0,0,'Données projet'!$E$11+1,1))-AVERAGE(OFFSET($H$3,0,0,'Données projet'!$E$11+1,1))</f>
        <v>177.54241137663234</v>
      </c>
      <c r="BJ108" s="59">
        <f t="shared" si="92"/>
        <v>114.71095021456071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6.4102564102564097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0.34400000000000003</v>
      </c>
      <c r="BO108" s="16">
        <f>IF(ISNA(VLOOKUP(A108,'Données projet'!$A$87:$I$107,7,0)),0%,VLOOKUP(A108,'Données projet'!$A$87:$I$107,7,0))</f>
        <v>0.2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15.432419968986929</v>
      </c>
      <c r="BR108" s="21">
        <f>EXP(-LN(2)/2)*BR107+(1-EXP(-LN(2)/2))/(LN(2)/2)*BL108*BO108*VLOOKUP('Données projet'!$B$11,Paramètres!$A$1:$I$89,3,0)*0.475*44/12</f>
        <v>1.3960908726029533</v>
      </c>
      <c r="BS108" s="22">
        <f t="shared" si="63"/>
        <v>16.828510841589882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112.82051282051282</v>
      </c>
      <c r="BW108" s="12">
        <f>VLOOKUP(A108,'Données projet'!$A$113:$I$133,9,0)</f>
        <v>1.9230769230769227</v>
      </c>
      <c r="BX108" s="12">
        <f t="array" ref="BX108">INDEX(BW:BW,MIN(IF(ISNUMBER(BW108:BW304),ROW(BW108:BW304),"")))</f>
        <v>1.9230769230769227</v>
      </c>
      <c r="BY108" s="12">
        <f>IF('Données projet'!$A$114&gt;35,BY107+BX108-CG107,IF(A108&lt;'Données projet'!$A$114,$BV$205^A108,IF(A108='Données projet'!$A$114,'Données projet'!$B$114,BY107+BX108-CG107)))</f>
        <v>112.82051282051276</v>
      </c>
      <c r="BZ108" s="13">
        <f>BY108*VLOOKUP('Données projet'!$B$12,Paramètres!$A$1:$I$89,3,0)*VLOOKUP('Données projet'!$B$12,Paramètres!$A$1:$I$89,5,0)</f>
        <v>121.43999999999993</v>
      </c>
      <c r="CA108" s="13">
        <f t="shared" si="93"/>
        <v>32.010622125421079</v>
      </c>
      <c r="CB108" s="20">
        <f t="shared" si="64"/>
        <v>267.25983353510821</v>
      </c>
      <c r="CC108" s="59">
        <f t="shared" si="65"/>
        <v>558.11206697552302</v>
      </c>
      <c r="CD108" s="59">
        <f ca="1">AVERAGE(OFFSET($CC$3,0,0,'Données projet'!$E$12+1,1))-AVERAGE(OFFSET($H$3,0,0,'Données projet'!$E$12+1,1))</f>
        <v>192.88977161349993</v>
      </c>
      <c r="CE108" s="59">
        <f t="shared" si="94"/>
        <v>122.91376861456772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6.4102564102564097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0.34400000000000003</v>
      </c>
      <c r="CJ108" s="16">
        <f>IF(ISNA(VLOOKUP(A108,'Données projet'!$A$113:$I$133,7,0)),0%,VLOOKUP(A108,'Données projet'!$A$113:$I$133,7,0))</f>
        <v>0.2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17.174789965485452</v>
      </c>
      <c r="CM108" s="21">
        <f>EXP(-LN(2)/2)*CM107+(1-EXP(-LN(2)/2))/(LN(2)/2)*CG108*CJ108*VLOOKUP('Données projet'!$B$12,Paramètres!$A$1:$I$89,3,0)*0.475*44/12</f>
        <v>1.5537140356387702</v>
      </c>
      <c r="CN108" s="22">
        <f t="shared" si="66"/>
        <v>18.728504001124222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-8.5265128291212022E-14</v>
      </c>
      <c r="CU108" s="17">
        <f>CT108*VLOOKUP('Données projet'!$B$13,Paramètres!$A$1:$I$89,3,0)*VLOOKUP('Données projet'!$B$13,Paramètres!$A$1:$I$89,5,0)</f>
        <v>-6.9167072069831198E-14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163.16040389635825</v>
      </c>
      <c r="CZ108" s="59">
        <f t="shared" si="96"/>
        <v>138.57856782158811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10.674377636291343</v>
      </c>
      <c r="DH108" s="21">
        <f>EXP(-LN(2)/2)*DH107+(1-EXP(-LN(2)/2))/(LN(2)/2)*DB108*DE108*VLOOKUP('Données projet'!$B$13,Paramètres!$A$1:$I$89,3,0)*0.475*44/12</f>
        <v>0.13835575236823386</v>
      </c>
      <c r="DI108" s="22">
        <f t="shared" si="69"/>
        <v>10.812733388659577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9.1833333333333318</v>
      </c>
      <c r="DO108" s="12">
        <f>IF('Données projet'!$A$166&gt;35,DO107+DN108-DW107,IF(A108&lt;'Données projet'!$A$166,$DL$205^A108,IF(A108='Données projet'!$A$166,'Données projet'!$B$166,DO107+DN108-DW107)))</f>
        <v>434.62666666666661</v>
      </c>
      <c r="DP108" s="17">
        <f>DO108*VLOOKUP('Données projet'!$B$14,Paramètres!$A$1:$I$89,3,0)*VLOOKUP('Données projet'!$B$14,Paramètres!$A$1:$I$89,5,0)</f>
        <v>203.40527999999998</v>
      </c>
      <c r="DQ108" s="13">
        <f t="shared" si="97"/>
        <v>50.491808264192287</v>
      </c>
      <c r="DR108" s="20">
        <f t="shared" si="70"/>
        <v>442.20409539346821</v>
      </c>
      <c r="DS108" s="59">
        <f t="shared" si="71"/>
        <v>733.05632883388307</v>
      </c>
      <c r="DT108" s="59">
        <f ca="1">AVERAGE(OFFSET($DS$3,0,0,'Données projet'!$E$14+1,1))-AVERAGE(OFFSET($H$3,0,0,'Données projet'!$E$14+1,1))</f>
        <v>343.44193069803498</v>
      </c>
      <c r="DU108" s="59">
        <f t="shared" si="98"/>
        <v>280.67367019483481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54.043924518422124</v>
      </c>
      <c r="EB108" s="21">
        <f>EXP(-LN(2)/25)*EB107+(1-EXP(-LN(2)/25))/(LN(2)/25)*Calculateur!DW108*Calculateur!DY108*VLOOKUP('Données projet'!$B$14,Paramètres!$A$1:$I$89,3,0)*0.475*44/12</f>
        <v>18.501912206249195</v>
      </c>
      <c r="EC108" s="21">
        <f>EXP(-LN(2)/2)*EC107+(1-EXP(-LN(2)/2))/(LN(2)/2)*DW108*DZ108*VLOOKUP('Données projet'!$B$14,Paramètres!$A$1:$I$89,3,0)*0.475*44/12</f>
        <v>0.61010431795632092</v>
      </c>
      <c r="ED108" s="22">
        <f t="shared" si="72"/>
        <v>73.155941042627646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177.56410256410254</v>
      </c>
      <c r="EH108" s="12">
        <f>VLOOKUP(A108,'Données projet'!$A$191:$I$211,9,0)</f>
        <v>3.0769230769230718</v>
      </c>
      <c r="EI108" s="12">
        <f t="array" ref="EI108">INDEX(EH:EH,MIN(IF(ISNUMBER(EH108:EH304),ROW(EH108:EH304),"")))</f>
        <v>3.0769230769230718</v>
      </c>
      <c r="EJ108" s="12">
        <f>IF('Données projet'!$A$192&gt;35,EJ107+EI108-ER107,IF(A108&lt;'Données projet'!$A$192,$EG$205^A108,IF(A108='Données projet'!$A$192,'Données projet'!$B$192,EJ107+EI108-ER107)))</f>
        <v>177.56410256410263</v>
      </c>
      <c r="EK108" s="17">
        <f>EJ108*VLOOKUP('Données projet'!$B$15,Paramètres!$A$1:$I$89,3,0)*VLOOKUP('Données projet'!$B$15,Paramètres!$A$1:$I$89,5,0)</f>
        <v>180.05000000000007</v>
      </c>
      <c r="EL108" s="13">
        <f t="shared" si="99"/>
        <v>45.333310065548019</v>
      </c>
      <c r="EM108" s="20">
        <f t="shared" si="73"/>
        <v>392.54259836416287</v>
      </c>
      <c r="EN108" s="59">
        <f t="shared" si="74"/>
        <v>683.39483180457773</v>
      </c>
      <c r="EO108" s="59">
        <f ca="1">AVERAGE(OFFSET($EN$3,0,0,'Données projet'!$E$15+1,1))-AVERAGE(OFFSET($H$3,0,0,'Données projet'!$E$15+1,1))</f>
        <v>270.0029254736703</v>
      </c>
      <c r="EP108" s="59">
        <f t="shared" si="100"/>
        <v>183.80022202211441</v>
      </c>
      <c r="EQ108" s="15">
        <f>IF(ISNA(VLOOKUP(A108,'Données projet'!$A$191:$I$211,3,0)),0,VLOOKUP(A108,'Données projet'!$A$191:$I$211,3,0))</f>
        <v>18</v>
      </c>
      <c r="ER108" s="15">
        <f>IF(ISNA(VLOOKUP(A108,'Données projet'!$A$191:$I$211,4,0)),0,VLOOKUP(A108,'Données projet'!$A$191:$I$211,4,0))</f>
        <v>10.897435897435898</v>
      </c>
      <c r="ES108" s="16">
        <f>IF(ISNA(VLOOKUP(A108,'Données projet'!$A$191:$I$211,5,0)),0%,VLOOKUP(A108,'Données projet'!$A$191:$I$211,5,0)*VLOOKUP('Données projet'!$B$15,Paramètres!$A$1:$I$89,7,0))</f>
        <v>0.15049999999999999</v>
      </c>
      <c r="ET108" s="16">
        <f>IF(ISNA(VLOOKUP(A108,'Données projet'!$A$191:$I$211,6,0)),0%,VLOOKUP(A108,'Données projet'!$A$191:$I$211,6,0)*VLOOKUP('Données projet'!$B$15,Paramètres!$A$1:$I$89,7,0))</f>
        <v>8.6000000000000007E-2</v>
      </c>
      <c r="EU108" s="16">
        <f>IF(ISNA(VLOOKUP(A108,'Données projet'!$A$191:$I$211,7,0)),0%,VLOOKUP(A108,'Données projet'!$A$191:$I$211,7,0))</f>
        <v>0.1</v>
      </c>
      <c r="EV108" s="21">
        <f>EXP(-LN(2)/35)*EV107+(1-EXP(-LN(2)/35))/(LN(2)/35)*ER108*ES108*VLOOKUP('Données projet'!$B$15,Paramètres!$A$1:$I$89,3,0)*0.475*44/12</f>
        <v>11.047091907518345</v>
      </c>
      <c r="EW108" s="21">
        <f>EXP(-LN(2)/25)*EW107+(1-EXP(-LN(2)/25))/(LN(2)/25)*Calculateur!ER108*Calculateur!ET108*VLOOKUP('Données projet'!$B$15,Paramètres!$A$1:$I$89,3,0)*0.475*44/12</f>
        <v>17.225205540115933</v>
      </c>
      <c r="EX108" s="21">
        <f>EXP(-LN(2)/2)*EX107+(1-EXP(-LN(2)/2))/(LN(2)/2)*ER108*EU108*VLOOKUP('Données projet'!$B$15,Paramètres!$A$1:$I$89,3,0)*0.475*44/12</f>
        <v>1.2824149814410182</v>
      </c>
      <c r="EY108" s="22">
        <f t="shared" si="75"/>
        <v>29.554712429075298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-1.4897523215040567E-13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328.93328163316073</v>
      </c>
      <c r="FK108" s="59">
        <f t="shared" si="102"/>
        <v>320.27831321887072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28.083346677026945</v>
      </c>
      <c r="FR108" s="21">
        <f>EXP(-LN(2)/25)*FR107+(1-EXP(-LN(2)/25))/(LN(2)/25)*Calculateur!FM108*Calculateur!FO108*VLOOKUP('Données projet'!$B$16,Paramètres!$A$1:$I$89,3,0)*0.475*44/12</f>
        <v>23.257608925189952</v>
      </c>
      <c r="FS108" s="21">
        <f>EXP(-LN(2)/2)*FS107+(1-EXP(-LN(2)/2))/(LN(2)/2)*FM108*FP108*VLOOKUP('Données projet'!$B$16,Paramètres!$A$1:$I$89,3,0)*0.475*44/12</f>
        <v>9.8532307179286342E-3</v>
      </c>
      <c r="FT108" s="22">
        <f t="shared" si="78"/>
        <v>51.350808832934824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>
        <f>VLOOKUP(A108,'Données projet'!$A$243:$I$263,2,0)</f>
        <v>177.56410256410254</v>
      </c>
      <c r="FX108" s="12">
        <f>VLOOKUP(A108,'Données projet'!$A$243:$I$263,9,0)</f>
        <v>3.0769230769230718</v>
      </c>
      <c r="FY108" s="12">
        <f t="array" ref="FY108">INDEX(FX:FX,MIN(IF(ISNUMBER(FX108:FX304),ROW(FX108:FX304),"")))</f>
        <v>3.0769230769230718</v>
      </c>
      <c r="FZ108" s="12">
        <f>IF('Données projet'!$A$244&gt;35,FZ107+FY108-GH107,IF(A108&lt;'Données projet'!$A$244,$FW$205^A108,IF(A108='Données projet'!$A$244,'Données projet'!$B$244,FZ107+FY108-GH107)))</f>
        <v>177.56410256410263</v>
      </c>
      <c r="GA108" s="17">
        <f>FZ108*VLOOKUP('Données projet'!$B$17,Paramètres!$A$1:$I$89,3,0)*VLOOKUP('Données projet'!$B$17,Paramètres!$A$1:$I$89,5,0)</f>
        <v>119.11000000000004</v>
      </c>
      <c r="GB108" s="13">
        <f t="shared" si="103"/>
        <v>31.467331560315703</v>
      </c>
      <c r="GC108" s="20">
        <f t="shared" si="79"/>
        <v>262.25551913421657</v>
      </c>
      <c r="GD108" s="59">
        <f t="shared" si="80"/>
        <v>553.10775257463138</v>
      </c>
      <c r="GE108" s="59">
        <f ca="1">AVERAGE(OFFSET($GD$3,0,0,'Données projet'!$E$17+1,1))-AVERAGE(OFFSET($H$3,0,0,'Données projet'!$E$17+1,1))</f>
        <v>192.88444860121191</v>
      </c>
      <c r="GF108" s="59">
        <f t="shared" si="104"/>
        <v>136.13737493732751</v>
      </c>
      <c r="GG108" s="15">
        <f>IF(ISNA(VLOOKUP(A108,'Données projet'!$A$243:$I$263,3,0)),0,VLOOKUP(A108,'Données projet'!$A$243:$I$263,3,0))</f>
        <v>18</v>
      </c>
      <c r="GH108" s="15">
        <f>IF(ISNA(VLOOKUP(A108,'Données projet'!$A$243:$I$263,4,0)),0,VLOOKUP(A108,'Données projet'!$A$243:$I$263,4,0))</f>
        <v>10.897435897435898</v>
      </c>
      <c r="GI108" s="16">
        <f>IF(ISNA(VLOOKUP(A108,'Données projet'!$A$243:$I$263,5,0)),0%,VLOOKUP(A108,'Données projet'!$A$243:$I$263,5,0)*VLOOKUP('Données projet'!$B$17,Paramètres!$A$1:$I$89,7,0))</f>
        <v>0.1855</v>
      </c>
      <c r="GJ108" s="16">
        <f>IF(ISNA(VLOOKUP(A108,'Données projet'!$A$243:$I$263,6,0)),0%,VLOOKUP(A108,'Données projet'!$A$243:$I$263,6,0)*VLOOKUP('Données projet'!$B$17,Paramètres!$A$1:$I$89,7,0))</f>
        <v>0.10600000000000001</v>
      </c>
      <c r="GK108" s="16">
        <f>IF(ISNA(VLOOKUP(A108,'Données projet'!$A$243:$I$263,7,0)),0%,VLOOKUP(A108,'Données projet'!$A$243:$I$263,7,0))</f>
        <v>0.1</v>
      </c>
      <c r="GL108" s="21">
        <f>EXP(-LN(2)/35)*GL107+(1-EXP(-LN(2)/35))/(LN(2)/35)*GH108*GI108*VLOOKUP('Données projet'!$B$17,Paramètres!$A$1:$I$89,3,0)*0.475*44/12</f>
        <v>9.0076287861303417</v>
      </c>
      <c r="GM108" s="21">
        <f>EXP(-LN(2)/25)*GM107+(1-EXP(-LN(2)/25))/(LN(2)/25)*Calculateur!GH108*Calculateur!GJ108*VLOOKUP('Données projet'!$B$17,Paramètres!$A$1:$I$89,3,0)*0.475*44/12</f>
        <v>14.045167594248374</v>
      </c>
      <c r="GN108" s="21">
        <f>EXP(-LN(2)/2)*GN107+(1-EXP(-LN(2)/2))/(LN(2)/2)*GH108*GK108*VLOOKUP('Données projet'!$B$17,Paramètres!$A$1:$I$89,3,0)*0.475*44/12</f>
        <v>0.84836683387636569</v>
      </c>
      <c r="GO108" s="21">
        <f t="shared" si="81"/>
        <v>23.901163214255082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69.323336392840417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0.85000000000000009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3.1166666666666671</v>
      </c>
      <c r="H109" s="67">
        <f t="shared" si="56"/>
        <v>244.19999999999996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979.71781506378966</v>
      </c>
      <c r="S109" s="59">
        <f ca="1">AVERAGE(OFFSET($R$3,0,0,'Données projet'!$E$9+1,1))-AVERAGE(OFFSET($H$3,0,0,'Données projet'!$E$9+1,1))</f>
        <v>643.492472896403</v>
      </c>
      <c r="T109" s="59">
        <f t="shared" si="88"/>
        <v>285.0259479655341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-2.8421709430404007E-13</v>
      </c>
      <c r="AJ109" s="13">
        <f>AI109*VLOOKUP('Données projet'!$B$10,Paramètres!$A$1:$I$89,3,0)*VLOOKUP('Données projet'!$B$10,Paramètres!$A$1:$I$89,5,0)</f>
        <v>-2.2168933355715128E-13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289.89907502443873</v>
      </c>
      <c r="AO109" s="59">
        <f t="shared" si="90"/>
        <v>267.42183550360301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19.263258469006143</v>
      </c>
      <c r="AV109" s="21">
        <f>EXP(-LN(2)/25)*AV108+(1-EXP(-LN(2)/25))/(LN(2)/25)*Calculateur!AQ109*Calculateur!AS109*VLOOKUP('Données projet'!$B$10,Paramètres!$A$1:$I$89,3,0)*0.475*44/12</f>
        <v>16.591481977604271</v>
      </c>
      <c r="AW109" s="21">
        <f>EXP(-LN(2)/2)*AW108+(1-EXP(-LN(2)/2))/(LN(2)/2)*AQ109*AT109*VLOOKUP('Données projet'!$B$10,Paramètres!$A$1:$I$89,3,0)*0.475*44/12</f>
        <v>1.1535041608947095E-3</v>
      </c>
      <c r="AX109" s="21">
        <f t="shared" si="60"/>
        <v>35.855893950771311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1.9230769230769227</v>
      </c>
      <c r="BD109" s="12">
        <f>IF('Données projet'!$A$88&gt;35,BD108+BC109-BL108,IF(A109&lt;'Données projet'!$A$88,$BA$205^A109,IF(A109='Données projet'!$A$88,'Données projet'!$B$88,BD108+BC109-BL108)))</f>
        <v>108.33333333333327</v>
      </c>
      <c r="BE109" s="13">
        <f>BD109*VLOOKUP('Données projet'!$B$11,Paramètres!$A$1:$I$89,3,0)*VLOOKUP('Données projet'!$B$11,Paramètres!$A$1:$I$89,5,0)</f>
        <v>104.77999999999994</v>
      </c>
      <c r="BF109" s="13">
        <f t="shared" si="91"/>
        <v>28.097653592102308</v>
      </c>
      <c r="BG109" s="20">
        <f t="shared" si="61"/>
        <v>231.4285800062448</v>
      </c>
      <c r="BH109" s="59">
        <f t="shared" si="62"/>
        <v>522.32385498289341</v>
      </c>
      <c r="BI109" s="59">
        <f ca="1">AVERAGE(OFFSET($BH$3,0,0,'Données projet'!$E$11+1,1))-AVERAGE(OFFSET($H$3,0,0,'Données projet'!$E$11+1,1))</f>
        <v>177.54241137663234</v>
      </c>
      <c r="BJ109" s="59">
        <f t="shared" si="92"/>
        <v>114.71095021456071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15.010419633379287</v>
      </c>
      <c r="BR109" s="21">
        <f>EXP(-LN(2)/2)*BR108+(1-EXP(-LN(2)/2))/(LN(2)/2)*BL109*BO109*VLOOKUP('Données projet'!$B$11,Paramètres!$A$1:$I$89,3,0)*0.475*44/12</f>
        <v>0.9871853231701927</v>
      </c>
      <c r="BS109" s="22">
        <f t="shared" si="63"/>
        <v>15.99760495654948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1.9230769230769227</v>
      </c>
      <c r="BY109" s="12">
        <f>IF('Données projet'!$A$114&gt;35,BY108+BX109-CG108,IF(A109&lt;'Données projet'!$A$114,$BV$205^A109,IF(A109='Données projet'!$A$114,'Données projet'!$B$114,BY108+BX109-CG108)))</f>
        <v>108.33333333333327</v>
      </c>
      <c r="BZ109" s="13">
        <f>BY109*VLOOKUP('Données projet'!$B$12,Paramètres!$A$1:$I$89,3,0)*VLOOKUP('Données projet'!$B$12,Paramètres!$A$1:$I$89,5,0)</f>
        <v>116.60999999999994</v>
      </c>
      <c r="CA109" s="13">
        <f t="shared" si="93"/>
        <v>30.883023623410974</v>
      </c>
      <c r="CB109" s="20">
        <f t="shared" si="64"/>
        <v>256.88368281077402</v>
      </c>
      <c r="CC109" s="59">
        <f t="shared" si="65"/>
        <v>547.77895778742266</v>
      </c>
      <c r="CD109" s="59">
        <f ca="1">AVERAGE(OFFSET($CC$3,0,0,'Données projet'!$E$12+1,1))-AVERAGE(OFFSET($H$3,0,0,'Données projet'!$E$12+1,1))</f>
        <v>192.88977161349993</v>
      </c>
      <c r="CE109" s="59">
        <f t="shared" si="94"/>
        <v>122.91376861456772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16.705144430696301</v>
      </c>
      <c r="CM109" s="21">
        <f>EXP(-LN(2)/2)*CM108+(1-EXP(-LN(2)/2))/(LN(2)/2)*CG109*CJ109*VLOOKUP('Données projet'!$B$12,Paramètres!$A$1:$I$89,3,0)*0.475*44/12</f>
        <v>1.0986417306248917</v>
      </c>
      <c r="CN109" s="22">
        <f t="shared" si="66"/>
        <v>17.803786161321192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-8.5265128291212022E-14</v>
      </c>
      <c r="CU109" s="17">
        <f>CT109*VLOOKUP('Données projet'!$B$13,Paramètres!$A$1:$I$89,3,0)*VLOOKUP('Données projet'!$B$13,Paramètres!$A$1:$I$89,5,0)</f>
        <v>-6.9167072069831198E-14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163.16040389635825</v>
      </c>
      <c r="CZ109" s="59">
        <f t="shared" si="96"/>
        <v>138.57856782158811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10.382486218485832</v>
      </c>
      <c r="DH109" s="21">
        <f>EXP(-LN(2)/2)*DH108+(1-EXP(-LN(2)/2))/(LN(2)/2)*DB109*DE109*VLOOKUP('Données projet'!$B$13,Paramètres!$A$1:$I$89,3,0)*0.475*44/12</f>
        <v>9.7832290715744896E-2</v>
      </c>
      <c r="DI109" s="22">
        <f t="shared" si="69"/>
        <v>10.480318509201577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9.1833333333333318</v>
      </c>
      <c r="DO109" s="12">
        <f>IF('Données projet'!$A$166&gt;35,DO108+DN109-DW108,IF(A109&lt;'Données projet'!$A$166,$DL$205^A109,IF(A109='Données projet'!$A$166,'Données projet'!$B$166,DO108+DN109-DW108)))</f>
        <v>443.80999999999995</v>
      </c>
      <c r="DP109" s="17">
        <f>DO109*VLOOKUP('Données projet'!$B$14,Paramètres!$A$1:$I$89,3,0)*VLOOKUP('Données projet'!$B$14,Paramètres!$A$1:$I$89,5,0)</f>
        <v>207.70307999999997</v>
      </c>
      <c r="DQ109" s="13">
        <f t="shared" si="97"/>
        <v>51.433330061385618</v>
      </c>
      <c r="DR109" s="20">
        <f t="shared" si="70"/>
        <v>451.32924752357991</v>
      </c>
      <c r="DS109" s="59">
        <f t="shared" si="71"/>
        <v>742.22452250022855</v>
      </c>
      <c r="DT109" s="59">
        <f ca="1">AVERAGE(OFFSET($DS$3,0,0,'Données projet'!$E$14+1,1))-AVERAGE(OFFSET($H$3,0,0,'Données projet'!$E$14+1,1))</f>
        <v>343.44193069803498</v>
      </c>
      <c r="DU109" s="59">
        <f t="shared" si="98"/>
        <v>280.67367019483481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52.984156122154943</v>
      </c>
      <c r="EB109" s="21">
        <f>EXP(-LN(2)/25)*EB108+(1-EXP(-LN(2)/25))/(LN(2)/25)*Calculateur!DW109*Calculateur!DY109*VLOOKUP('Données projet'!$B$14,Paramètres!$A$1:$I$89,3,0)*0.475*44/12</f>
        <v>17.995976443996035</v>
      </c>
      <c r="EC109" s="21">
        <f>EXP(-LN(2)/2)*EC108+(1-EXP(-LN(2)/2))/(LN(2)/2)*DW109*DZ109*VLOOKUP('Données projet'!$B$14,Paramètres!$A$1:$I$89,3,0)*0.475*44/12</f>
        <v>0.43140890045810804</v>
      </c>
      <c r="ED109" s="22">
        <f t="shared" si="72"/>
        <v>71.411541466609094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2.8205128205128291</v>
      </c>
      <c r="EJ109" s="12">
        <f>IF('Données projet'!$A$192&gt;35,EJ108+EI109-ER108,IF(A109&lt;'Données projet'!$A$192,$EG$205^A109,IF(A109='Données projet'!$A$192,'Données projet'!$B$192,EJ108+EI109-ER108)))</f>
        <v>169.48717948717956</v>
      </c>
      <c r="EK109" s="17">
        <f>EJ109*VLOOKUP('Données projet'!$B$15,Paramètres!$A$1:$I$89,3,0)*VLOOKUP('Données projet'!$B$15,Paramètres!$A$1:$I$89,5,0)</f>
        <v>171.86000000000007</v>
      </c>
      <c r="EL109" s="13">
        <f t="shared" si="99"/>
        <v>43.506337517905081</v>
      </c>
      <c r="EM109" s="20">
        <f t="shared" si="73"/>
        <v>375.09637117701817</v>
      </c>
      <c r="EN109" s="59">
        <f t="shared" si="74"/>
        <v>665.99164615366681</v>
      </c>
      <c r="EO109" s="59">
        <f ca="1">AVERAGE(OFFSET($EN$3,0,0,'Données projet'!$E$15+1,1))-AVERAGE(OFFSET($H$3,0,0,'Données projet'!$E$15+1,1))</f>
        <v>270.0029254736703</v>
      </c>
      <c r="EP109" s="59">
        <f t="shared" si="100"/>
        <v>183.80022202211441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10.830465173272646</v>
      </c>
      <c r="EW109" s="21">
        <f>EXP(-LN(2)/25)*EW108+(1-EXP(-LN(2)/25))/(LN(2)/25)*Calculateur!ER109*Calculateur!ET109*VLOOKUP('Données projet'!$B$15,Paramètres!$A$1:$I$89,3,0)*0.475*44/12</f>
        <v>16.754181388787273</v>
      </c>
      <c r="EX109" s="21">
        <f>EXP(-LN(2)/2)*EX108+(1-EXP(-LN(2)/2))/(LN(2)/2)*ER109*EU109*VLOOKUP('Données projet'!$B$15,Paramètres!$A$1:$I$89,3,0)*0.475*44/12</f>
        <v>0.90680432967216451</v>
      </c>
      <c r="EY109" s="22">
        <f t="shared" si="75"/>
        <v>28.491450891732086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-1.4897523215040567E-13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328.93328163316073</v>
      </c>
      <c r="FK109" s="59">
        <f t="shared" si="102"/>
        <v>320.27831321887072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27.532649377840556</v>
      </c>
      <c r="FR109" s="21">
        <f>EXP(-LN(2)/25)*FR108+(1-EXP(-LN(2)/25))/(LN(2)/25)*Calculateur!FM109*Calculateur!FO109*VLOOKUP('Données projet'!$B$16,Paramètres!$A$1:$I$89,3,0)*0.475*44/12</f>
        <v>22.621628386066135</v>
      </c>
      <c r="FS109" s="21">
        <f>EXP(-LN(2)/2)*FS108+(1-EXP(-LN(2)/2))/(LN(2)/2)*FM109*FP109*VLOOKUP('Données projet'!$B$16,Paramètres!$A$1:$I$89,3,0)*0.475*44/12</f>
        <v>6.9672862572429314E-3</v>
      </c>
      <c r="FT109" s="22">
        <f t="shared" si="78"/>
        <v>50.161245050163934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2.8205128205128291</v>
      </c>
      <c r="FZ109" s="12">
        <f>IF('Données projet'!$A$244&gt;35,FZ108+FY109-GH108,IF(A109&lt;'Données projet'!$A$244,$FW$205^A109,IF(A109='Données projet'!$A$244,'Données projet'!$B$244,FZ108+FY109-GH108)))</f>
        <v>169.48717948717956</v>
      </c>
      <c r="GA109" s="17">
        <f>FZ109*VLOOKUP('Données projet'!$B$17,Paramètres!$A$1:$I$89,3,0)*VLOOKUP('Données projet'!$B$17,Paramètres!$A$1:$I$89,5,0)</f>
        <v>113.69200000000006</v>
      </c>
      <c r="GB109" s="13">
        <f t="shared" si="103"/>
        <v>30.199170227619074</v>
      </c>
      <c r="GC109" s="20">
        <f t="shared" si="79"/>
        <v>250.6104548131033</v>
      </c>
      <c r="GD109" s="59">
        <f t="shared" si="80"/>
        <v>541.50572978975197</v>
      </c>
      <c r="GE109" s="59">
        <f ca="1">AVERAGE(OFFSET($GD$3,0,0,'Données projet'!$E$17+1,1))-AVERAGE(OFFSET($H$3,0,0,'Données projet'!$E$17+1,1))</f>
        <v>192.88444860121191</v>
      </c>
      <c r="GF109" s="59">
        <f t="shared" si="104"/>
        <v>136.13737493732751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8.8309946797453875</v>
      </c>
      <c r="GM109" s="21">
        <f>EXP(-LN(2)/25)*GM108+(1-EXP(-LN(2)/25))/(LN(2)/25)*Calculateur!GH109*Calculateur!GJ109*VLOOKUP('Données projet'!$B$17,Paramètres!$A$1:$I$89,3,0)*0.475*44/12</f>
        <v>13.661101747780389</v>
      </c>
      <c r="GN109" s="21">
        <f>EXP(-LN(2)/2)*GN108+(1-EXP(-LN(2)/2))/(LN(2)/2)*GH109*GK109*VLOOKUP('Données projet'!$B$17,Paramètres!$A$1:$I$89,3,0)*0.475*44/12</f>
        <v>0.59988594116773952</v>
      </c>
      <c r="GO109" s="21">
        <f t="shared" si="81"/>
        <v>23.091982368693515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69.335074993631437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0.85000000000000009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3.1166666666666671</v>
      </c>
      <c r="H110" s="67">
        <f t="shared" si="56"/>
        <v>244.19999999999996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996.59445828166997</v>
      </c>
      <c r="S110" s="59">
        <f ca="1">AVERAGE(OFFSET($R$3,0,0,'Données projet'!$E$9+1,1))-AVERAGE(OFFSET($H$3,0,0,'Données projet'!$E$9+1,1))</f>
        <v>643.492472896403</v>
      </c>
      <c r="T110" s="59">
        <f t="shared" si="88"/>
        <v>285.0259479655341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-2.8421709430404007E-13</v>
      </c>
      <c r="AJ110" s="13">
        <f>AI110*VLOOKUP('Données projet'!$B$10,Paramètres!$A$1:$I$89,3,0)*VLOOKUP('Données projet'!$B$10,Paramètres!$A$1:$I$89,5,0)</f>
        <v>-2.2168933355715128E-13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289.89907502443873</v>
      </c>
      <c r="AO110" s="59">
        <f t="shared" si="90"/>
        <v>267.42183550360301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18.885517719856438</v>
      </c>
      <c r="AV110" s="21">
        <f>EXP(-LN(2)/25)*AV109+(1-EXP(-LN(2)/25))/(LN(2)/25)*Calculateur!AQ110*Calculateur!AS110*VLOOKUP('Données projet'!$B$10,Paramètres!$A$1:$I$89,3,0)*0.475*44/12</f>
        <v>16.137787030418565</v>
      </c>
      <c r="AW110" s="21">
        <f>EXP(-LN(2)/2)*AW109+(1-EXP(-LN(2)/2))/(LN(2)/2)*AQ110*AT110*VLOOKUP('Données projet'!$B$10,Paramètres!$A$1:$I$89,3,0)*0.475*44/12</f>
        <v>8.1565061429554749E-4</v>
      </c>
      <c r="AX110" s="21">
        <f t="shared" si="60"/>
        <v>35.024120400889295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1.9230769230769227</v>
      </c>
      <c r="BD110" s="12">
        <f>IF('Données projet'!$A$88&gt;35,BD109+BC110-BL109,IF(A110&lt;'Données projet'!$A$88,$BA$205^A110,IF(A110='Données projet'!$A$88,'Données projet'!$B$88,BD109+BC110-BL109)))</f>
        <v>110.25641025641019</v>
      </c>
      <c r="BE110" s="13">
        <f>BD110*VLOOKUP('Données projet'!$B$11,Paramètres!$A$1:$I$89,3,0)*VLOOKUP('Données projet'!$B$11,Paramètres!$A$1:$I$89,5,0)</f>
        <v>106.63999999999994</v>
      </c>
      <c r="BF110" s="13">
        <f t="shared" si="91"/>
        <v>28.537918766434593</v>
      </c>
      <c r="BG110" s="20">
        <f t="shared" si="61"/>
        <v>235.4348751848735</v>
      </c>
      <c r="BH110" s="59">
        <f t="shared" si="62"/>
        <v>526.37244502332862</v>
      </c>
      <c r="BI110" s="59">
        <f ca="1">AVERAGE(OFFSET($BH$3,0,0,'Données projet'!$E$11+1,1))-AVERAGE(OFFSET($H$3,0,0,'Données projet'!$E$11+1,1))</f>
        <v>177.54241137663234</v>
      </c>
      <c r="BJ110" s="59">
        <f t="shared" si="92"/>
        <v>114.71095021456071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14.599958919140869</v>
      </c>
      <c r="BR110" s="21">
        <f>EXP(-LN(2)/2)*BR109+(1-EXP(-LN(2)/2))/(LN(2)/2)*BL110*BO110*VLOOKUP('Données projet'!$B$11,Paramètres!$A$1:$I$89,3,0)*0.475*44/12</f>
        <v>0.69804543630147675</v>
      </c>
      <c r="BS110" s="22">
        <f t="shared" si="63"/>
        <v>15.298004355442346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1.9230769230769227</v>
      </c>
      <c r="BY110" s="12">
        <f>IF('Données projet'!$A$114&gt;35,BY109+BX110-CG109,IF(A110&lt;'Données projet'!$A$114,$BV$205^A110,IF(A110='Données projet'!$A$114,'Données projet'!$B$114,BY109+BX110-CG109)))</f>
        <v>110.25641025641019</v>
      </c>
      <c r="BZ110" s="13">
        <f>BY110*VLOOKUP('Données projet'!$B$12,Paramètres!$A$1:$I$89,3,0)*VLOOKUP('Données projet'!$B$12,Paramètres!$A$1:$I$89,5,0)</f>
        <v>118.67999999999992</v>
      </c>
      <c r="CA110" s="13">
        <f t="shared" si="93"/>
        <v>31.366933062144025</v>
      </c>
      <c r="CB110" s="20">
        <f t="shared" si="64"/>
        <v>261.33174174990069</v>
      </c>
      <c r="CC110" s="59">
        <f t="shared" si="65"/>
        <v>552.26931158835578</v>
      </c>
      <c r="CD110" s="59">
        <f ca="1">AVERAGE(OFFSET($CC$3,0,0,'Données projet'!$E$12+1,1))-AVERAGE(OFFSET($H$3,0,0,'Données projet'!$E$12+1,1))</f>
        <v>192.88977161349993</v>
      </c>
      <c r="CE110" s="59">
        <f t="shared" si="94"/>
        <v>122.91376861456772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16.248341377753544</v>
      </c>
      <c r="CM110" s="21">
        <f>EXP(-LN(2)/2)*CM109+(1-EXP(-LN(2)/2))/(LN(2)/2)*CG110*CJ110*VLOOKUP('Données projet'!$B$12,Paramètres!$A$1:$I$89,3,0)*0.475*44/12</f>
        <v>0.77685701781938521</v>
      </c>
      <c r="CN110" s="22">
        <f t="shared" si="66"/>
        <v>17.025198395572929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-8.5265128291212022E-14</v>
      </c>
      <c r="CU110" s="17">
        <f>CT110*VLOOKUP('Données projet'!$B$13,Paramètres!$A$1:$I$89,3,0)*VLOOKUP('Données projet'!$B$13,Paramètres!$A$1:$I$89,5,0)</f>
        <v>-6.9167072069831198E-14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163.16040389635825</v>
      </c>
      <c r="CZ110" s="59">
        <f t="shared" si="96"/>
        <v>138.57856782158811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10.098576586850116</v>
      </c>
      <c r="DH110" s="21">
        <f>EXP(-LN(2)/2)*DH109+(1-EXP(-LN(2)/2))/(LN(2)/2)*DB110*DE110*VLOOKUP('Données projet'!$B$13,Paramètres!$A$1:$I$89,3,0)*0.475*44/12</f>
        <v>6.9177876184116929E-2</v>
      </c>
      <c r="DI110" s="22">
        <f t="shared" si="69"/>
        <v>10.167754463034234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9.1833333333333318</v>
      </c>
      <c r="DO110" s="12">
        <f>IF('Données projet'!$A$166&gt;35,DO109+DN110-DW109,IF(A110&lt;'Données projet'!$A$166,$DL$205^A110,IF(A110='Données projet'!$A$166,'Données projet'!$B$166,DO109+DN110-DW109)))</f>
        <v>452.99333333333328</v>
      </c>
      <c r="DP110" s="17">
        <f>DO110*VLOOKUP('Données projet'!$B$14,Paramètres!$A$1:$I$89,3,0)*VLOOKUP('Données projet'!$B$14,Paramètres!$A$1:$I$89,5,0)</f>
        <v>212.00088</v>
      </c>
      <c r="DQ110" s="13">
        <f t="shared" si="97"/>
        <v>52.372586711125109</v>
      </c>
      <c r="DR110" s="20">
        <f t="shared" si="70"/>
        <v>460.45045452187622</v>
      </c>
      <c r="DS110" s="59">
        <f t="shared" si="71"/>
        <v>751.38802436033143</v>
      </c>
      <c r="DT110" s="59">
        <f ca="1">AVERAGE(OFFSET($DS$3,0,0,'Données projet'!$E$14+1,1))-AVERAGE(OFFSET($H$3,0,0,'Données projet'!$E$14+1,1))</f>
        <v>343.44193069803498</v>
      </c>
      <c r="DU110" s="59">
        <f t="shared" si="98"/>
        <v>280.67367019483481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51.945169137743669</v>
      </c>
      <c r="EB110" s="21">
        <f>EXP(-LN(2)/25)*EB109+(1-EXP(-LN(2)/25))/(LN(2)/25)*Calculateur!DW110*Calculateur!DY110*VLOOKUP('Données projet'!$B$14,Paramètres!$A$1:$I$89,3,0)*0.475*44/12</f>
        <v>17.503875521767693</v>
      </c>
      <c r="EC110" s="21">
        <f>EXP(-LN(2)/2)*EC109+(1-EXP(-LN(2)/2))/(LN(2)/2)*DW110*DZ110*VLOOKUP('Données projet'!$B$14,Paramètres!$A$1:$I$89,3,0)*0.475*44/12</f>
        <v>0.30505215897816046</v>
      </c>
      <c r="ED110" s="22">
        <f t="shared" si="72"/>
        <v>69.754096818489515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2.8205128205128291</v>
      </c>
      <c r="EJ110" s="12">
        <f>IF('Données projet'!$A$192&gt;35,EJ109+EI110-ER109,IF(A110&lt;'Données projet'!$A$192,$EG$205^A110,IF(A110='Données projet'!$A$192,'Données projet'!$B$192,EJ109+EI110-ER109)))</f>
        <v>172.30769230769238</v>
      </c>
      <c r="EK110" s="17">
        <f>EJ110*VLOOKUP('Données projet'!$B$15,Paramètres!$A$1:$I$89,3,0)*VLOOKUP('Données projet'!$B$15,Paramètres!$A$1:$I$89,5,0)</f>
        <v>174.72000000000008</v>
      </c>
      <c r="EL110" s="13">
        <f t="shared" si="99"/>
        <v>44.145455754865246</v>
      </c>
      <c r="EM110" s="20">
        <f t="shared" si="73"/>
        <v>381.1906687730571</v>
      </c>
      <c r="EN110" s="59">
        <f t="shared" si="74"/>
        <v>672.12823861151219</v>
      </c>
      <c r="EO110" s="59">
        <f ca="1">AVERAGE(OFFSET($EN$3,0,0,'Données projet'!$E$15+1,1))-AVERAGE(OFFSET($H$3,0,0,'Données projet'!$E$15+1,1))</f>
        <v>270.0029254736703</v>
      </c>
      <c r="EP110" s="59">
        <f t="shared" si="100"/>
        <v>183.80022202211441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10.618086357156244</v>
      </c>
      <c r="EW110" s="21">
        <f>EXP(-LN(2)/25)*EW109+(1-EXP(-LN(2)/25))/(LN(2)/25)*Calculateur!ER110*Calculateur!ET110*VLOOKUP('Données projet'!$B$15,Paramètres!$A$1:$I$89,3,0)*0.475*44/12</f>
        <v>16.296037417646779</v>
      </c>
      <c r="EX110" s="21">
        <f>EXP(-LN(2)/2)*EX109+(1-EXP(-LN(2)/2))/(LN(2)/2)*ER110*EU110*VLOOKUP('Données projet'!$B$15,Paramètres!$A$1:$I$89,3,0)*0.475*44/12</f>
        <v>0.6412074907205092</v>
      </c>
      <c r="EY110" s="22">
        <f t="shared" si="75"/>
        <v>27.555331265523535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-1.4897523215040567E-13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328.93328163316073</v>
      </c>
      <c r="FK110" s="59">
        <f t="shared" si="102"/>
        <v>320.27831321887072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26.992750916799029</v>
      </c>
      <c r="FR110" s="21">
        <f>EXP(-LN(2)/25)*FR109+(1-EXP(-LN(2)/25))/(LN(2)/25)*Calculateur!FM110*Calculateur!FO110*VLOOKUP('Données projet'!$B$16,Paramètres!$A$1:$I$89,3,0)*0.475*44/12</f>
        <v>22.003038768229423</v>
      </c>
      <c r="FS110" s="21">
        <f>EXP(-LN(2)/2)*FS109+(1-EXP(-LN(2)/2))/(LN(2)/2)*FM110*FP110*VLOOKUP('Données projet'!$B$16,Paramètres!$A$1:$I$89,3,0)*0.475*44/12</f>
        <v>4.9266153589643171E-3</v>
      </c>
      <c r="FT110" s="22">
        <f t="shared" si="78"/>
        <v>49.000716300387417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2.8205128205128291</v>
      </c>
      <c r="FZ110" s="12">
        <f>IF('Données projet'!$A$244&gt;35,FZ109+FY110-GH109,IF(A110&lt;'Données projet'!$A$244,$FW$205^A110,IF(A110='Données projet'!$A$244,'Données projet'!$B$244,FZ109+FY110-GH109)))</f>
        <v>172.30769230769238</v>
      </c>
      <c r="GA110" s="17">
        <f>FZ110*VLOOKUP('Données projet'!$B$17,Paramètres!$A$1:$I$89,3,0)*VLOOKUP('Données projet'!$B$17,Paramètres!$A$1:$I$89,5,0)</f>
        <v>115.58400000000006</v>
      </c>
      <c r="GB110" s="13">
        <f t="shared" si="103"/>
        <v>30.642803075950507</v>
      </c>
      <c r="GC110" s="20">
        <f t="shared" si="79"/>
        <v>254.67834869061383</v>
      </c>
      <c r="GD110" s="59">
        <f t="shared" si="80"/>
        <v>545.61591852906895</v>
      </c>
      <c r="GE110" s="59">
        <f ca="1">AVERAGE(OFFSET($GD$3,0,0,'Données projet'!$E$17+1,1))-AVERAGE(OFFSET($H$3,0,0,'Données projet'!$E$17+1,1))</f>
        <v>192.88444860121191</v>
      </c>
      <c r="GF110" s="59">
        <f t="shared" si="104"/>
        <v>136.13737493732751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8.6578242604504752</v>
      </c>
      <c r="GM110" s="21">
        <f>EXP(-LN(2)/25)*GM109+(1-EXP(-LN(2)/25))/(LN(2)/25)*Calculateur!GH110*Calculateur!GJ110*VLOOKUP('Données projet'!$B$17,Paramètres!$A$1:$I$89,3,0)*0.475*44/12</f>
        <v>13.287538202081217</v>
      </c>
      <c r="GN110" s="21">
        <f>EXP(-LN(2)/2)*GN109+(1-EXP(-LN(2)/2))/(LN(2)/2)*GH110*GK110*VLOOKUP('Données projet'!$B$17,Paramètres!$A$1:$I$89,3,0)*0.475*44/12</f>
        <v>0.42418341693818296</v>
      </c>
      <c r="GO110" s="21">
        <f t="shared" si="81"/>
        <v>22.369545879469875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69.346609955942313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0.85000000000000009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3.1166666666666671</v>
      </c>
      <c r="H111" s="67">
        <f t="shared" si="56"/>
        <v>244.19999999999996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1013.4621571412374</v>
      </c>
      <c r="S111" s="59">
        <f ca="1">AVERAGE(OFFSET($R$3,0,0,'Données projet'!$E$9+1,1))-AVERAGE(OFFSET($H$3,0,0,'Données projet'!$E$9+1,1))</f>
        <v>643.492472896403</v>
      </c>
      <c r="T111" s="59">
        <f t="shared" si="88"/>
        <v>285.0259479655341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-2.8421709430404007E-13</v>
      </c>
      <c r="AJ111" s="13">
        <f>AI111*VLOOKUP('Données projet'!$B$10,Paramètres!$A$1:$I$89,3,0)*VLOOKUP('Données projet'!$B$10,Paramètres!$A$1:$I$89,5,0)</f>
        <v>-2.2168933355715128E-13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289.89907502443873</v>
      </c>
      <c r="AO111" s="59">
        <f t="shared" si="90"/>
        <v>267.42183550360301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18.515184236398454</v>
      </c>
      <c r="AV111" s="21">
        <f>EXP(-LN(2)/25)*AV110+(1-EXP(-LN(2)/25))/(LN(2)/25)*Calculateur!AQ111*Calculateur!AS111*VLOOKUP('Données projet'!$B$10,Paramètres!$A$1:$I$89,3,0)*0.475*44/12</f>
        <v>15.696498395422433</v>
      </c>
      <c r="AW111" s="21">
        <f>EXP(-LN(2)/2)*AW110+(1-EXP(-LN(2)/2))/(LN(2)/2)*AQ111*AT111*VLOOKUP('Données projet'!$B$10,Paramètres!$A$1:$I$89,3,0)*0.475*44/12</f>
        <v>5.7675208044735476E-4</v>
      </c>
      <c r="AX111" s="21">
        <f t="shared" si="60"/>
        <v>34.212259383901333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1.9230769230769227</v>
      </c>
      <c r="BD111" s="12">
        <f>IF('Données projet'!$A$88&gt;35,BD110+BC111-BL110,IF(A111&lt;'Données projet'!$A$88,$BA$205^A111,IF(A111='Données projet'!$A$88,'Données projet'!$B$88,BD110+BC111-BL110)))</f>
        <v>112.17948717948711</v>
      </c>
      <c r="BE111" s="13">
        <f>BD111*VLOOKUP('Données projet'!$B$11,Paramètres!$A$1:$I$89,3,0)*VLOOKUP('Données projet'!$B$11,Paramètres!$A$1:$I$89,5,0)</f>
        <v>108.49999999999994</v>
      </c>
      <c r="BF111" s="13">
        <f t="shared" si="91"/>
        <v>28.977290958947286</v>
      </c>
      <c r="BG111" s="20">
        <f t="shared" si="61"/>
        <v>239.4396150868331</v>
      </c>
      <c r="BH111" s="59">
        <f t="shared" si="62"/>
        <v>530.41874606579972</v>
      </c>
      <c r="BI111" s="59">
        <f ca="1">AVERAGE(OFFSET($BH$3,0,0,'Données projet'!$E$11+1,1))-AVERAGE(OFFSET($H$3,0,0,'Données projet'!$E$11+1,1))</f>
        <v>177.54241137663234</v>
      </c>
      <c r="BJ111" s="59">
        <f t="shared" si="92"/>
        <v>114.71095021456071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14.20072227471849</v>
      </c>
      <c r="BR111" s="21">
        <f>EXP(-LN(2)/2)*BR110+(1-EXP(-LN(2)/2))/(LN(2)/2)*BL111*BO111*VLOOKUP('Données projet'!$B$11,Paramètres!$A$1:$I$89,3,0)*0.475*44/12</f>
        <v>0.49359266158509646</v>
      </c>
      <c r="BS111" s="22">
        <f t="shared" si="63"/>
        <v>14.694314936303586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1.9230769230769227</v>
      </c>
      <c r="BY111" s="12">
        <f>IF('Données projet'!$A$114&gt;35,BY110+BX111-CG110,IF(A111&lt;'Données projet'!$A$114,$BV$205^A111,IF(A111='Données projet'!$A$114,'Données projet'!$B$114,BY110+BX111-CG110)))</f>
        <v>112.17948717948711</v>
      </c>
      <c r="BZ111" s="13">
        <f>BY111*VLOOKUP('Données projet'!$B$12,Paramètres!$A$1:$I$89,3,0)*VLOOKUP('Données projet'!$B$12,Paramètres!$A$1:$I$89,5,0)</f>
        <v>120.74999999999993</v>
      </c>
      <c r="CA111" s="13">
        <f t="shared" si="93"/>
        <v>31.849860996192348</v>
      </c>
      <c r="CB111" s="20">
        <f t="shared" si="64"/>
        <v>265.77809123503482</v>
      </c>
      <c r="CC111" s="59">
        <f t="shared" si="65"/>
        <v>556.75722221400133</v>
      </c>
      <c r="CD111" s="59">
        <f ca="1">AVERAGE(OFFSET($CC$3,0,0,'Données projet'!$E$12+1,1))-AVERAGE(OFFSET($H$3,0,0,'Données projet'!$E$12+1,1))</f>
        <v>192.88977161349993</v>
      </c>
      <c r="CE111" s="59">
        <f t="shared" si="94"/>
        <v>122.91376861456772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15.804029628315737</v>
      </c>
      <c r="CM111" s="21">
        <f>EXP(-LN(2)/2)*CM110+(1-EXP(-LN(2)/2))/(LN(2)/2)*CG111*CJ111*VLOOKUP('Données projet'!$B$12,Paramètres!$A$1:$I$89,3,0)*0.475*44/12</f>
        <v>0.54932086531244595</v>
      </c>
      <c r="CN111" s="22">
        <f t="shared" si="66"/>
        <v>16.353350493628184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-8.5265128291212022E-14</v>
      </c>
      <c r="CU111" s="17">
        <f>CT111*VLOOKUP('Données projet'!$B$13,Paramètres!$A$1:$I$89,3,0)*VLOOKUP('Données projet'!$B$13,Paramètres!$A$1:$I$89,5,0)</f>
        <v>-6.9167072069831198E-14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163.16040389635825</v>
      </c>
      <c r="CZ111" s="59">
        <f t="shared" si="96"/>
        <v>138.57856782158811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9.8224304790216372</v>
      </c>
      <c r="DH111" s="21">
        <f>EXP(-LN(2)/2)*DH110+(1-EXP(-LN(2)/2))/(LN(2)/2)*DB111*DE111*VLOOKUP('Données projet'!$B$13,Paramètres!$A$1:$I$89,3,0)*0.475*44/12</f>
        <v>4.8916145357872448E-2</v>
      </c>
      <c r="DI111" s="22">
        <f t="shared" si="69"/>
        <v>9.8713466243795089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9.1833333333333318</v>
      </c>
      <c r="DO111" s="12">
        <f>IF('Données projet'!$A$166&gt;35,DO110+DN111-DW110,IF(A111&lt;'Données projet'!$A$166,$DL$205^A111,IF(A111='Données projet'!$A$166,'Données projet'!$B$166,DO110+DN111-DW110)))</f>
        <v>462.17666666666662</v>
      </c>
      <c r="DP111" s="17">
        <f>DO111*VLOOKUP('Données projet'!$B$14,Paramètres!$A$1:$I$89,3,0)*VLOOKUP('Données projet'!$B$14,Paramètres!$A$1:$I$89,5,0)</f>
        <v>216.29867999999996</v>
      </c>
      <c r="DQ111" s="13">
        <f t="shared" si="97"/>
        <v>53.309629425511069</v>
      </c>
      <c r="DR111" s="20">
        <f t="shared" si="70"/>
        <v>469.567805582765</v>
      </c>
      <c r="DS111" s="59">
        <f t="shared" si="71"/>
        <v>760.54693656173163</v>
      </c>
      <c r="DT111" s="59">
        <f ca="1">AVERAGE(OFFSET($DS$3,0,0,'Données projet'!$E$14+1,1))-AVERAGE(OFFSET($H$3,0,0,'Données projet'!$E$14+1,1))</f>
        <v>343.44193069803498</v>
      </c>
      <c r="DU111" s="59">
        <f t="shared" si="98"/>
        <v>280.67367019483481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50.926556054377208</v>
      </c>
      <c r="EB111" s="21">
        <f>EXP(-LN(2)/25)*EB110+(1-EXP(-LN(2)/25))/(LN(2)/25)*Calculateur!DW111*Calculateur!DY111*VLOOKUP('Données projet'!$B$14,Paramètres!$A$1:$I$89,3,0)*0.475*44/12</f>
        <v>17.025231125136148</v>
      </c>
      <c r="EC111" s="21">
        <f>EXP(-LN(2)/2)*EC110+(1-EXP(-LN(2)/2))/(LN(2)/2)*DW111*DZ111*VLOOKUP('Données projet'!$B$14,Paramètres!$A$1:$I$89,3,0)*0.475*44/12</f>
        <v>0.21570445022905402</v>
      </c>
      <c r="ED111" s="22">
        <f t="shared" si="72"/>
        <v>68.167491629742415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2.8205128205128291</v>
      </c>
      <c r="EJ111" s="12">
        <f>IF('Données projet'!$A$192&gt;35,EJ110+EI111-ER110,IF(A111&lt;'Données projet'!$A$192,$EG$205^A111,IF(A111='Données projet'!$A$192,'Données projet'!$B$192,EJ110+EI111-ER110)))</f>
        <v>175.1282051282052</v>
      </c>
      <c r="EK111" s="17">
        <f>EJ111*VLOOKUP('Données projet'!$B$15,Paramètres!$A$1:$I$89,3,0)*VLOOKUP('Données projet'!$B$15,Paramètres!$A$1:$I$89,5,0)</f>
        <v>177.5800000000001</v>
      </c>
      <c r="EL111" s="13">
        <f t="shared" si="99"/>
        <v>44.783357345270282</v>
      </c>
      <c r="EM111" s="20">
        <f t="shared" si="73"/>
        <v>387.2828473763459</v>
      </c>
      <c r="EN111" s="59">
        <f t="shared" si="74"/>
        <v>678.26197835531252</v>
      </c>
      <c r="EO111" s="59">
        <f ca="1">AVERAGE(OFFSET($EN$3,0,0,'Données projet'!$E$15+1,1))-AVERAGE(OFFSET($H$3,0,0,'Données projet'!$E$15+1,1))</f>
        <v>270.0029254736703</v>
      </c>
      <c r="EP111" s="59">
        <f t="shared" si="100"/>
        <v>183.80022202211441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10.409872160085598</v>
      </c>
      <c r="EW111" s="21">
        <f>EXP(-LN(2)/25)*EW110+(1-EXP(-LN(2)/25))/(LN(2)/25)*Calculateur!ER111*Calculateur!ET111*VLOOKUP('Données projet'!$B$15,Paramètres!$A$1:$I$89,3,0)*0.475*44/12</f>
        <v>15.850421417489866</v>
      </c>
      <c r="EX111" s="21">
        <f>EXP(-LN(2)/2)*EX110+(1-EXP(-LN(2)/2))/(LN(2)/2)*ER111*EU111*VLOOKUP('Données projet'!$B$15,Paramètres!$A$1:$I$89,3,0)*0.475*44/12</f>
        <v>0.45340216483608231</v>
      </c>
      <c r="EY111" s="22">
        <f t="shared" si="75"/>
        <v>26.713695742411545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-1.4897523215040567E-13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328.93328163316073</v>
      </c>
      <c r="FK111" s="59">
        <f t="shared" si="102"/>
        <v>320.27831321887072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26.463439535272979</v>
      </c>
      <c r="FR111" s="21">
        <f>EXP(-LN(2)/25)*FR110+(1-EXP(-LN(2)/25))/(LN(2)/25)*Calculateur!FM111*Calculateur!FO111*VLOOKUP('Données projet'!$B$16,Paramètres!$A$1:$I$89,3,0)*0.475*44/12</f>
        <v>21.401364516022671</v>
      </c>
      <c r="FS111" s="21">
        <f>EXP(-LN(2)/2)*FS110+(1-EXP(-LN(2)/2))/(LN(2)/2)*FM111*FP111*VLOOKUP('Données projet'!$B$16,Paramètres!$A$1:$I$89,3,0)*0.475*44/12</f>
        <v>3.4836431286214657E-3</v>
      </c>
      <c r="FT111" s="22">
        <f t="shared" si="78"/>
        <v>47.868287694424268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2.8205128205128291</v>
      </c>
      <c r="FZ111" s="12">
        <f>IF('Données projet'!$A$244&gt;35,FZ110+FY111-GH110,IF(A111&lt;'Données projet'!$A$244,$FW$205^A111,IF(A111='Données projet'!$A$244,'Données projet'!$B$244,FZ110+FY111-GH110)))</f>
        <v>175.1282051282052</v>
      </c>
      <c r="GA111" s="17">
        <f>FZ111*VLOOKUP('Données projet'!$B$17,Paramètres!$A$1:$I$89,3,0)*VLOOKUP('Données projet'!$B$17,Paramètres!$A$1:$I$89,5,0)</f>
        <v>117.47600000000004</v>
      </c>
      <c r="GB111" s="13">
        <f t="shared" si="103"/>
        <v>31.085591410160038</v>
      </c>
      <c r="GC111" s="20">
        <f t="shared" si="79"/>
        <v>258.74477170602881</v>
      </c>
      <c r="GD111" s="59">
        <f t="shared" si="80"/>
        <v>549.72390268499544</v>
      </c>
      <c r="GE111" s="59">
        <f ca="1">AVERAGE(OFFSET($GD$3,0,0,'Données projet'!$E$17+1,1))-AVERAGE(OFFSET($H$3,0,0,'Données projet'!$E$17+1,1))</f>
        <v>192.88444860121191</v>
      </c>
      <c r="GF111" s="59">
        <f t="shared" si="104"/>
        <v>136.13737493732751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8.4880496074544087</v>
      </c>
      <c r="GM111" s="21">
        <f>EXP(-LN(2)/25)*GM110+(1-EXP(-LN(2)/25))/(LN(2)/25)*Calculateur!GH111*Calculateur!GJ111*VLOOKUP('Données projet'!$B$17,Paramètres!$A$1:$I$89,3,0)*0.475*44/12</f>
        <v>12.924189771184041</v>
      </c>
      <c r="GN111" s="21">
        <f>EXP(-LN(2)/2)*GN110+(1-EXP(-LN(2)/2))/(LN(2)/2)*GH111*GK111*VLOOKUP('Données projet'!$B$17,Paramètres!$A$1:$I$89,3,0)*0.475*44/12</f>
        <v>0.29994297058386982</v>
      </c>
      <c r="GO111" s="21">
        <f t="shared" si="81"/>
        <v>21.712182349222321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69.357944812445425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0.85000000000000009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3.1166666666666671</v>
      </c>
      <c r="H112" s="67">
        <f t="shared" si="56"/>
        <v>244.19999999999996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1030.321142356961</v>
      </c>
      <c r="S112" s="59">
        <f ca="1">AVERAGE(OFFSET($R$3,0,0,'Données projet'!$E$9+1,1))-AVERAGE(OFFSET($H$3,0,0,'Données projet'!$E$9+1,1))</f>
        <v>643.492472896403</v>
      </c>
      <c r="T112" s="59">
        <f t="shared" si="88"/>
        <v>285.0259479655341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-2.8421709430404007E-13</v>
      </c>
      <c r="AJ112" s="13">
        <f>AI112*VLOOKUP('Données projet'!$B$10,Paramètres!$A$1:$I$89,3,0)*VLOOKUP('Données projet'!$B$10,Paramètres!$A$1:$I$89,5,0)</f>
        <v>-2.2168933355715128E-13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289.89907502443873</v>
      </c>
      <c r="AO112" s="59">
        <f t="shared" si="90"/>
        <v>267.42183550360301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18.152112766669958</v>
      </c>
      <c r="AV112" s="21">
        <f>EXP(-LN(2)/25)*AV111+(1-EXP(-LN(2)/25))/(LN(2)/25)*Calculateur!AQ112*Calculateur!AS112*VLOOKUP('Données projet'!$B$10,Paramètres!$A$1:$I$89,3,0)*0.475*44/12</f>
        <v>15.26727682135663</v>
      </c>
      <c r="AW112" s="21">
        <f>EXP(-LN(2)/2)*AW111+(1-EXP(-LN(2)/2))/(LN(2)/2)*AQ112*AT112*VLOOKUP('Données projet'!$B$10,Paramètres!$A$1:$I$89,3,0)*0.475*44/12</f>
        <v>4.0782530714777375E-4</v>
      </c>
      <c r="AX112" s="21">
        <f t="shared" si="60"/>
        <v>33.41979741333374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1.9230769230769227</v>
      </c>
      <c r="BD112" s="12">
        <f>IF('Données projet'!$A$88&gt;35,BD111+BC112-BL111,IF(A112&lt;'Données projet'!$A$88,$BA$205^A112,IF(A112='Données projet'!$A$88,'Données projet'!$B$88,BD111+BC112-BL111)))</f>
        <v>114.10256410256403</v>
      </c>
      <c r="BE112" s="13">
        <f>BD112*VLOOKUP('Données projet'!$B$11,Paramètres!$A$1:$I$89,3,0)*VLOOKUP('Données projet'!$B$11,Paramètres!$A$1:$I$89,5,0)</f>
        <v>110.35999999999993</v>
      </c>
      <c r="BF112" s="13">
        <f t="shared" si="91"/>
        <v>29.415787244427506</v>
      </c>
      <c r="BG112" s="20">
        <f t="shared" si="61"/>
        <v>243.44282945071109</v>
      </c>
      <c r="BH112" s="59">
        <f t="shared" si="62"/>
        <v>534.46280057731792</v>
      </c>
      <c r="BI112" s="59">
        <f ca="1">AVERAGE(OFFSET($BH$3,0,0,'Données projet'!$E$11+1,1))-AVERAGE(OFFSET($H$3,0,0,'Données projet'!$E$11+1,1))</f>
        <v>177.54241137663234</v>
      </c>
      <c r="BJ112" s="59">
        <f t="shared" si="92"/>
        <v>114.71095021456071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13.812402777332785</v>
      </c>
      <c r="BR112" s="21">
        <f>EXP(-LN(2)/2)*BR111+(1-EXP(-LN(2)/2))/(LN(2)/2)*BL112*BO112*VLOOKUP('Données projet'!$B$11,Paramètres!$A$1:$I$89,3,0)*0.475*44/12</f>
        <v>0.34902271815073843</v>
      </c>
      <c r="BS112" s="22">
        <f t="shared" si="63"/>
        <v>14.161425495483524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1.9230769230769227</v>
      </c>
      <c r="BY112" s="12">
        <f>IF('Données projet'!$A$114&gt;35,BY111+BX112-CG111,IF(A112&lt;'Données projet'!$A$114,$BV$205^A112,IF(A112='Données projet'!$A$114,'Données projet'!$B$114,BY111+BX112-CG111)))</f>
        <v>114.10256410256403</v>
      </c>
      <c r="BZ112" s="13">
        <f>BY112*VLOOKUP('Données projet'!$B$12,Paramètres!$A$1:$I$89,3,0)*VLOOKUP('Données projet'!$B$12,Paramètres!$A$1:$I$89,5,0)</f>
        <v>122.81999999999991</v>
      </c>
      <c r="CA112" s="13">
        <f t="shared" si="93"/>
        <v>32.331826192996836</v>
      </c>
      <c r="CB112" s="20">
        <f t="shared" si="64"/>
        <v>270.22276395280261</v>
      </c>
      <c r="CC112" s="59">
        <f t="shared" si="65"/>
        <v>561.24273507940939</v>
      </c>
      <c r="CD112" s="59">
        <f ca="1">AVERAGE(OFFSET($CC$3,0,0,'Données projet'!$E$12+1,1))-AVERAGE(OFFSET($H$3,0,0,'Données projet'!$E$12+1,1))</f>
        <v>192.88977161349993</v>
      </c>
      <c r="CE112" s="59">
        <f t="shared" si="94"/>
        <v>122.91376861456772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15.371867607031646</v>
      </c>
      <c r="CM112" s="21">
        <f>EXP(-LN(2)/2)*CM111+(1-EXP(-LN(2)/2))/(LN(2)/2)*CG112*CJ112*VLOOKUP('Données projet'!$B$12,Paramètres!$A$1:$I$89,3,0)*0.475*44/12</f>
        <v>0.38842850890969272</v>
      </c>
      <c r="CN112" s="22">
        <f t="shared" si="66"/>
        <v>15.760296115941339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-8.5265128291212022E-14</v>
      </c>
      <c r="CU112" s="17">
        <f>CT112*VLOOKUP('Données projet'!$B$13,Paramètres!$A$1:$I$89,3,0)*VLOOKUP('Données projet'!$B$13,Paramètres!$A$1:$I$89,5,0)</f>
        <v>-6.9167072069831198E-14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163.16040389635825</v>
      </c>
      <c r="CZ112" s="59">
        <f t="shared" si="96"/>
        <v>138.57856782158811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9.5538356010336205</v>
      </c>
      <c r="DH112" s="21">
        <f>EXP(-LN(2)/2)*DH111+(1-EXP(-LN(2)/2))/(LN(2)/2)*DB112*DE112*VLOOKUP('Données projet'!$B$13,Paramètres!$A$1:$I$89,3,0)*0.475*44/12</f>
        <v>3.4588938092058465E-2</v>
      </c>
      <c r="DI112" s="22">
        <f t="shared" si="69"/>
        <v>9.588424539125679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471.36</v>
      </c>
      <c r="DM112" s="12">
        <f>VLOOKUP(A112,'Données projet'!$A$165:$I$185,9,0)</f>
        <v>9.1833333333333318</v>
      </c>
      <c r="DN112" s="12">
        <f t="array" ref="DN112">INDEX(DM:DM,MIN(IF(ISNUMBER(DM112:DM308),ROW(DM112:DM308),"")))</f>
        <v>9.1833333333333318</v>
      </c>
      <c r="DO112" s="12">
        <f>IF('Données projet'!$A$166&gt;35,DO111+DN112-DW111,IF(A112&lt;'Données projet'!$A$166,$DL$205^A112,IF(A112='Données projet'!$A$166,'Données projet'!$B$166,DO111+DN112-DW111)))</f>
        <v>471.35999999999996</v>
      </c>
      <c r="DP112" s="17">
        <f>DO112*VLOOKUP('Données projet'!$B$14,Paramètres!$A$1:$I$89,3,0)*VLOOKUP('Données projet'!$B$14,Paramètres!$A$1:$I$89,5,0)</f>
        <v>220.59647999999999</v>
      </c>
      <c r="DQ112" s="13">
        <f t="shared" si="97"/>
        <v>54.244507265119324</v>
      </c>
      <c r="DR112" s="20">
        <f t="shared" si="70"/>
        <v>478.6813861534161</v>
      </c>
      <c r="DS112" s="59">
        <f t="shared" si="71"/>
        <v>769.70135728002288</v>
      </c>
      <c r="DT112" s="59">
        <f ca="1">AVERAGE(OFFSET($DS$3,0,0,'Données projet'!$E$14+1,1))-AVERAGE(OFFSET($H$3,0,0,'Données projet'!$E$14+1,1))</f>
        <v>343.44193069803498</v>
      </c>
      <c r="DU112" s="59">
        <f t="shared" si="98"/>
        <v>280.67367019483481</v>
      </c>
      <c r="DV112" s="15">
        <f>IF(ISNA(VLOOKUP(A112,'Données projet'!$A$165:$I$185,3,0)),0,VLOOKUP(A112,'Données projet'!$A$165:$I$185,3,0))</f>
        <v>6</v>
      </c>
      <c r="DW112" s="15">
        <f>IF(ISNA(VLOOKUP(A112,'Données projet'!$A$165:$I$185,4,0)),0,VLOOKUP(A112,'Données projet'!$A$165:$I$185,4,0))</f>
        <v>92.199999999999989</v>
      </c>
      <c r="DX112" s="16">
        <f>IF(ISNA(VLOOKUP(A112,'Données projet'!$A$165:$I$185,5,0)),0%,VLOOKUP(A112,'Données projet'!$A$165:$I$185,5,0)*VLOOKUP('Données projet'!$B$14,Paramètres!$A$1:$I$89,7,0))</f>
        <v>0.33</v>
      </c>
      <c r="DY112" s="16">
        <f>IF(ISNA(VLOOKUP(A112,'Données projet'!$A$165:$I$185,6,0)),0%,VLOOKUP(A112,'Données projet'!$A$165:$I$185,6,0)*VLOOKUP('Données projet'!$B$14,Paramètres!$A$1:$I$89,7,0))</f>
        <v>0.11000000000000001</v>
      </c>
      <c r="DZ112" s="16">
        <f>IF(ISNA(VLOOKUP(A112,'Données projet'!$A$165:$I$185,7,0)),0%,VLOOKUP(A112,'Données projet'!$A$165:$I$185,7,0))</f>
        <v>0.2</v>
      </c>
      <c r="EA112" s="21">
        <f>EXP(-LN(2)/35)*EA111+(1-EXP(-LN(2)/35))/(LN(2)/35)*DW112*DX112*VLOOKUP('Données projet'!$B$14,Paramètres!$A$1:$I$89,3,0)*0.475*44/12</f>
        <v>68.817356809006142</v>
      </c>
      <c r="EB112" s="21">
        <f>EXP(-LN(2)/25)*EB111+(1-EXP(-LN(2)/25))/(LN(2)/25)*Calculateur!DW112*Calculateur!DY112*VLOOKUP('Données projet'!$B$14,Paramètres!$A$1:$I$89,3,0)*0.475*44/12</f>
        <v>22.831363463415105</v>
      </c>
      <c r="EC112" s="21">
        <f>EXP(-LN(2)/2)*EC111+(1-EXP(-LN(2)/2))/(LN(2)/2)*DW112*DZ112*VLOOKUP('Données projet'!$B$14,Paramètres!$A$1:$I$89,3,0)*0.475*44/12</f>
        <v>9.9236002285586764</v>
      </c>
      <c r="ED112" s="22">
        <f t="shared" si="72"/>
        <v>101.57232050097991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2.8205128205128291</v>
      </c>
      <c r="EJ112" s="12">
        <f>IF('Données projet'!$A$192&gt;35,EJ111+EI112-ER111,IF(A112&lt;'Données projet'!$A$192,$EG$205^A112,IF(A112='Données projet'!$A$192,'Données projet'!$B$192,EJ111+EI112-ER111)))</f>
        <v>177.94871794871801</v>
      </c>
      <c r="EK112" s="17">
        <f>EJ112*VLOOKUP('Données projet'!$B$15,Paramètres!$A$1:$I$89,3,0)*VLOOKUP('Données projet'!$B$15,Paramètres!$A$1:$I$89,5,0)</f>
        <v>180.44000000000008</v>
      </c>
      <c r="EL112" s="13">
        <f t="shared" si="99"/>
        <v>45.420064145943897</v>
      </c>
      <c r="EM112" s="20">
        <f t="shared" si="73"/>
        <v>393.37294505418572</v>
      </c>
      <c r="EN112" s="59">
        <f t="shared" si="74"/>
        <v>684.39291618079255</v>
      </c>
      <c r="EO112" s="59">
        <f ca="1">AVERAGE(OFFSET($EN$3,0,0,'Données projet'!$E$15+1,1))-AVERAGE(OFFSET($H$3,0,0,'Données projet'!$E$15+1,1))</f>
        <v>270.0029254736703</v>
      </c>
      <c r="EP112" s="59">
        <f t="shared" si="100"/>
        <v>183.80022202211441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10.205740916421387</v>
      </c>
      <c r="EW112" s="21">
        <f>EXP(-LN(2)/25)*EW111+(1-EXP(-LN(2)/25))/(LN(2)/25)*Calculateur!ER112*Calculateur!ET112*VLOOKUP('Données projet'!$B$15,Paramètres!$A$1:$I$89,3,0)*0.475*44/12</f>
        <v>15.416990810291169</v>
      </c>
      <c r="EX112" s="21">
        <f>EXP(-LN(2)/2)*EX111+(1-EXP(-LN(2)/2))/(LN(2)/2)*ER112*EU112*VLOOKUP('Données projet'!$B$15,Paramètres!$A$1:$I$89,3,0)*0.475*44/12</f>
        <v>0.32060374536025465</v>
      </c>
      <c r="EY112" s="22">
        <f t="shared" si="75"/>
        <v>25.943335472072814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-1.4897523215040567E-13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328.93328163316073</v>
      </c>
      <c r="FK112" s="59">
        <f t="shared" si="102"/>
        <v>320.27831321887072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25.944507627090591</v>
      </c>
      <c r="FR112" s="21">
        <f>EXP(-LN(2)/25)*FR111+(1-EXP(-LN(2)/25))/(LN(2)/25)*Calculateur!FM112*Calculateur!FO112*VLOOKUP('Données projet'!$B$16,Paramètres!$A$1:$I$89,3,0)*0.475*44/12</f>
        <v>20.816143077883183</v>
      </c>
      <c r="FS112" s="21">
        <f>EXP(-LN(2)/2)*FS111+(1-EXP(-LN(2)/2))/(LN(2)/2)*FM112*FP112*VLOOKUP('Données projet'!$B$16,Paramètres!$A$1:$I$89,3,0)*0.475*44/12</f>
        <v>2.4633076794821586E-3</v>
      </c>
      <c r="FT112" s="22">
        <f t="shared" si="78"/>
        <v>46.763114012653254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2.8205128205128291</v>
      </c>
      <c r="FZ112" s="12">
        <f>IF('Données projet'!$A$244&gt;35,FZ111+FY112-GH111,IF(A112&lt;'Données projet'!$A$244,$FW$205^A112,IF(A112='Données projet'!$A$244,'Données projet'!$B$244,FZ111+FY112-GH111)))</f>
        <v>177.94871794871801</v>
      </c>
      <c r="GA112" s="17">
        <f>FZ112*VLOOKUP('Données projet'!$B$17,Paramètres!$A$1:$I$89,3,0)*VLOOKUP('Données projet'!$B$17,Paramètres!$A$1:$I$89,5,0)</f>
        <v>119.36800000000004</v>
      </c>
      <c r="GB112" s="13">
        <f t="shared" si="103"/>
        <v>31.527550401783053</v>
      </c>
      <c r="GC112" s="20">
        <f t="shared" si="79"/>
        <v>262.80975028310553</v>
      </c>
      <c r="GD112" s="59">
        <f t="shared" si="80"/>
        <v>553.82972140971231</v>
      </c>
      <c r="GE112" s="59">
        <f ca="1">AVERAGE(OFFSET($GD$3,0,0,'Données projet'!$E$17+1,1))-AVERAGE(OFFSET($H$3,0,0,'Données projet'!$E$17+1,1))</f>
        <v>192.88444860121191</v>
      </c>
      <c r="GF112" s="59">
        <f t="shared" si="104"/>
        <v>136.13737493732751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8.3216041318512826</v>
      </c>
      <c r="GM112" s="21">
        <f>EXP(-LN(2)/25)*GM111+(1-EXP(-LN(2)/25))/(LN(2)/25)*Calculateur!GH112*Calculateur!GJ112*VLOOKUP('Données projet'!$B$17,Paramètres!$A$1:$I$89,3,0)*0.475*44/12</f>
        <v>12.570777122237413</v>
      </c>
      <c r="GN112" s="21">
        <f>EXP(-LN(2)/2)*GN111+(1-EXP(-LN(2)/2))/(LN(2)/2)*GH112*GK112*VLOOKUP('Données projet'!$B$17,Paramètres!$A$1:$I$89,3,0)*0.475*44/12</f>
        <v>0.21209170846909151</v>
      </c>
      <c r="GO112" s="21">
        <f t="shared" si="81"/>
        <v>21.104472962557789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69.369083034529126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0.85000000000000009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3.1166666666666671</v>
      </c>
      <c r="H113" s="67">
        <f t="shared" si="56"/>
        <v>244.19999999999996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1047.171633705133</v>
      </c>
      <c r="S113" s="59">
        <f ca="1">AVERAGE(OFFSET($R$3,0,0,'Données projet'!$E$9+1,1))-AVERAGE(OFFSET($H$3,0,0,'Données projet'!$E$9+1,1))</f>
        <v>643.492472896403</v>
      </c>
      <c r="T113" s="59">
        <f t="shared" si="88"/>
        <v>285.0259479655341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-2.8421709430404007E-13</v>
      </c>
      <c r="AJ113" s="13">
        <f>AI113*VLOOKUP('Données projet'!$B$10,Paramètres!$A$1:$I$89,3,0)*VLOOKUP('Données projet'!$B$10,Paramètres!$A$1:$I$89,5,0)</f>
        <v>-2.2168933355715128E-13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289.89907502443873</v>
      </c>
      <c r="AO113" s="59">
        <f t="shared" si="90"/>
        <v>267.42183550360301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17.79616090701111</v>
      </c>
      <c r="AV113" s="21">
        <f>EXP(-LN(2)/25)*AV112+(1-EXP(-LN(2)/25))/(LN(2)/25)*Calculateur!AQ113*Calculateur!AS113*VLOOKUP('Données projet'!$B$10,Paramètres!$A$1:$I$89,3,0)*0.475*44/12</f>
        <v>14.849792333805439</v>
      </c>
      <c r="AW113" s="21">
        <f>EXP(-LN(2)/2)*AW112+(1-EXP(-LN(2)/2))/(LN(2)/2)*AQ113*AT113*VLOOKUP('Données projet'!$B$10,Paramètres!$A$1:$I$89,3,0)*0.475*44/12</f>
        <v>2.8837604022367738E-4</v>
      </c>
      <c r="AX113" s="21">
        <f t="shared" si="60"/>
        <v>32.646241616856777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116.02564102564102</v>
      </c>
      <c r="BB113" s="12">
        <f>VLOOKUP(A113,'Données projet'!$A$87:$I$107,9,0)</f>
        <v>1.9230769230769227</v>
      </c>
      <c r="BC113" s="12">
        <f t="array" ref="BC113">INDEX(BB:BB,MIN(IF(ISNUMBER(BB113:BB309),ROW(BB113:BB309),"")))</f>
        <v>1.9230769230769227</v>
      </c>
      <c r="BD113" s="12">
        <f>IF('Données projet'!$A$88&gt;35,BD112+BC113-BL112,IF(A113&lt;'Données projet'!$A$88,$BA$205^A113,IF(A113='Données projet'!$A$88,'Données projet'!$B$88,BD112+BC113-BL112)))</f>
        <v>116.02564102564095</v>
      </c>
      <c r="BE113" s="13">
        <f>BD113*VLOOKUP('Données projet'!$B$11,Paramètres!$A$1:$I$89,3,0)*VLOOKUP('Données projet'!$B$11,Paramètres!$A$1:$I$89,5,0)</f>
        <v>112.21999999999993</v>
      </c>
      <c r="BF113" s="13">
        <f t="shared" si="91"/>
        <v>29.85342408912129</v>
      </c>
      <c r="BG113" s="20">
        <f t="shared" si="61"/>
        <v>247.44454695521941</v>
      </c>
      <c r="BH113" s="59">
        <f t="shared" si="62"/>
        <v>538.50464974420981</v>
      </c>
      <c r="BI113" s="59">
        <f ca="1">AVERAGE(OFFSET($BH$3,0,0,'Données projet'!$E$11+1,1))-AVERAGE(OFFSET($H$3,0,0,'Données projet'!$E$11+1,1))</f>
        <v>177.54241137663234</v>
      </c>
      <c r="BJ113" s="59">
        <f t="shared" si="92"/>
        <v>114.71095021456071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6.4102564102564097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0.34400000000000003</v>
      </c>
      <c r="BO113" s="16">
        <f>IF(ISNA(VLOOKUP(A113,'Données projet'!$A$87:$I$107,7,0)),0%,VLOOKUP(A113,'Données projet'!$A$87:$I$107,7,0))</f>
        <v>0.2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15.783165773293012</v>
      </c>
      <c r="BR113" s="21">
        <f>EXP(-LN(2)/2)*BR112+(1-EXP(-LN(2)/2))/(LN(2)/2)*BL113*BO113*VLOOKUP('Données projet'!$B$11,Paramètres!$A$1:$I$89,3,0)*0.475*44/12</f>
        <v>1.4167697049032297</v>
      </c>
      <c r="BS113" s="22">
        <f t="shared" si="63"/>
        <v>17.199935478196242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116.02564102564102</v>
      </c>
      <c r="BW113" s="12">
        <f>VLOOKUP(A113,'Données projet'!$A$113:$I$133,9,0)</f>
        <v>1.9230769230769227</v>
      </c>
      <c r="BX113" s="12">
        <f t="array" ref="BX113">INDEX(BW:BW,MIN(IF(ISNUMBER(BW113:BW309),ROW(BW113:BW309),"")))</f>
        <v>1.9230769230769227</v>
      </c>
      <c r="BY113" s="12">
        <f>IF('Données projet'!$A$114&gt;35,BY112+BX113-CG112,IF(A113&lt;'Données projet'!$A$114,$BV$205^A113,IF(A113='Données projet'!$A$114,'Données projet'!$B$114,BY112+BX113-CG112)))</f>
        <v>116.02564102564095</v>
      </c>
      <c r="BZ113" s="13">
        <f>BY113*VLOOKUP('Données projet'!$B$12,Paramètres!$A$1:$I$89,3,0)*VLOOKUP('Données projet'!$B$12,Paramètres!$A$1:$I$89,5,0)</f>
        <v>124.88999999999992</v>
      </c>
      <c r="CA113" s="13">
        <f t="shared" si="93"/>
        <v>32.81284675113173</v>
      </c>
      <c r="CB113" s="20">
        <f t="shared" si="64"/>
        <v>274.66579142488757</v>
      </c>
      <c r="CC113" s="59">
        <f t="shared" si="65"/>
        <v>565.72589421387806</v>
      </c>
      <c r="CD113" s="59">
        <f ca="1">AVERAGE(OFFSET($CC$3,0,0,'Données projet'!$E$12+1,1))-AVERAGE(OFFSET($H$3,0,0,'Données projet'!$E$12+1,1))</f>
        <v>192.88977161349993</v>
      </c>
      <c r="CE113" s="59">
        <f t="shared" si="94"/>
        <v>122.91376861456772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6.4102564102564097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0.34400000000000003</v>
      </c>
      <c r="CJ113" s="16">
        <f>IF(ISNA(VLOOKUP(A113,'Données projet'!$A$113:$I$133,7,0)),0%,VLOOKUP(A113,'Données projet'!$A$113:$I$133,7,0))</f>
        <v>0.2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17.565136102535771</v>
      </c>
      <c r="CM113" s="21">
        <f>EXP(-LN(2)/2)*CM112+(1-EXP(-LN(2)/2))/(LN(2)/2)*CG113*CJ113*VLOOKUP('Données projet'!$B$12,Paramètres!$A$1:$I$89,3,0)*0.475*44/12</f>
        <v>1.5767275748116585</v>
      </c>
      <c r="CN113" s="22">
        <f t="shared" si="66"/>
        <v>19.14186367734743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-8.5265128291212022E-14</v>
      </c>
      <c r="CU113" s="17">
        <f>CT113*VLOOKUP('Données projet'!$B$13,Paramètres!$A$1:$I$89,3,0)*VLOOKUP('Données projet'!$B$13,Paramètres!$A$1:$I$89,5,0)</f>
        <v>-6.9167072069831198E-14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163.16040389635825</v>
      </c>
      <c r="CZ113" s="59">
        <f t="shared" si="96"/>
        <v>138.57856782158811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9.2925854641089778</v>
      </c>
      <c r="DH113" s="21">
        <f>EXP(-LN(2)/2)*DH112+(1-EXP(-LN(2)/2))/(LN(2)/2)*DB113*DE113*VLOOKUP('Données projet'!$B$13,Paramètres!$A$1:$I$89,3,0)*0.475*44/12</f>
        <v>2.4458072678936224E-2</v>
      </c>
      <c r="DI113" s="22">
        <f t="shared" si="69"/>
        <v>9.3170435367879136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8.2299999999999986</v>
      </c>
      <c r="DO113" s="12">
        <f>IF('Données projet'!$A$166&gt;35,DO112+DN113-DW112,IF(A113&lt;'Données projet'!$A$166,$DL$205^A113,IF(A113='Données projet'!$A$166,'Données projet'!$B$166,DO112+DN113-DW112)))</f>
        <v>387.39</v>
      </c>
      <c r="DP113" s="17">
        <f>DO113*VLOOKUP('Données projet'!$B$14,Paramètres!$A$1:$I$89,3,0)*VLOOKUP('Données projet'!$B$14,Paramètres!$A$1:$I$89,5,0)</f>
        <v>181.29852</v>
      </c>
      <c r="DQ113" s="13">
        <f t="shared" si="97"/>
        <v>45.610961972441139</v>
      </c>
      <c r="DR113" s="20">
        <f t="shared" si="70"/>
        <v>395.20068110200162</v>
      </c>
      <c r="DS113" s="59">
        <f t="shared" si="71"/>
        <v>686.26078389099212</v>
      </c>
      <c r="DT113" s="59">
        <f ca="1">AVERAGE(OFFSET($DS$3,0,0,'Données projet'!$E$14+1,1))-AVERAGE(OFFSET($H$3,0,0,'Données projet'!$E$14+1,1))</f>
        <v>343.44193069803498</v>
      </c>
      <c r="DU113" s="59">
        <f t="shared" si="98"/>
        <v>280.67367019483481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67.467890416424552</v>
      </c>
      <c r="EB113" s="21">
        <f>EXP(-LN(2)/25)*EB112+(1-EXP(-LN(2)/25))/(LN(2)/25)*Calculateur!DW113*Calculateur!DY113*VLOOKUP('Données projet'!$B$14,Paramètres!$A$1:$I$89,3,0)*0.475*44/12</f>
        <v>22.207038628858797</v>
      </c>
      <c r="EC113" s="21">
        <f>EXP(-LN(2)/2)*EC112+(1-EXP(-LN(2)/2))/(LN(2)/2)*DW113*DZ113*VLOOKUP('Données projet'!$B$14,Paramètres!$A$1:$I$89,3,0)*0.475*44/12</f>
        <v>7.0170450153982138</v>
      </c>
      <c r="ED113" s="22">
        <f t="shared" si="72"/>
        <v>96.691974060681559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180.76923076923077</v>
      </c>
      <c r="EH113" s="12">
        <f>VLOOKUP(A113,'Données projet'!$A$191:$I$211,9,0)</f>
        <v>2.8205128205128291</v>
      </c>
      <c r="EI113" s="12">
        <f t="array" ref="EI113">INDEX(EH:EH,MIN(IF(ISNUMBER(EH113:EH309),ROW(EH113:EH309),"")))</f>
        <v>2.8205128205128291</v>
      </c>
      <c r="EJ113" s="12">
        <f>IF('Données projet'!$A$192&gt;35,EJ112+EI113-ER112,IF(A113&lt;'Données projet'!$A$192,$EG$205^A113,IF(A113='Données projet'!$A$192,'Données projet'!$B$192,EJ112+EI113-ER112)))</f>
        <v>180.76923076923083</v>
      </c>
      <c r="EK113" s="17">
        <f>EJ113*VLOOKUP('Données projet'!$B$15,Paramètres!$A$1:$I$89,3,0)*VLOOKUP('Données projet'!$B$15,Paramètres!$A$1:$I$89,5,0)</f>
        <v>183.30000000000007</v>
      </c>
      <c r="EL113" s="13">
        <f t="shared" si="99"/>
        <v>46.055597281101576</v>
      </c>
      <c r="EM113" s="20">
        <f t="shared" si="73"/>
        <v>399.46099859791866</v>
      </c>
      <c r="EN113" s="59">
        <f t="shared" si="74"/>
        <v>690.52110138690909</v>
      </c>
      <c r="EO113" s="59">
        <f ca="1">AVERAGE(OFFSET($EN$3,0,0,'Données projet'!$E$15+1,1))-AVERAGE(OFFSET($H$3,0,0,'Données projet'!$E$15+1,1))</f>
        <v>270.0029254736703</v>
      </c>
      <c r="EP113" s="59">
        <f t="shared" si="100"/>
        <v>183.80022202211441</v>
      </c>
      <c r="EQ113" s="15">
        <f>IF(ISNA(VLOOKUP(A113,'Données projet'!$A$191:$I$211,3,0)),0,VLOOKUP(A113,'Données projet'!$A$191:$I$211,3,0))</f>
        <v>19</v>
      </c>
      <c r="ER113" s="15">
        <f>IF(ISNA(VLOOKUP(A113,'Données projet'!$A$191:$I$211,4,0)),0,VLOOKUP(A113,'Données projet'!$A$191:$I$211,4,0))</f>
        <v>10.897435897435898</v>
      </c>
      <c r="ES113" s="16">
        <f>IF(ISNA(VLOOKUP(A113,'Données projet'!$A$191:$I$211,5,0)),0%,VLOOKUP(A113,'Données projet'!$A$191:$I$211,5,0)*VLOOKUP('Données projet'!$B$15,Paramètres!$A$1:$I$89,7,0))</f>
        <v>0.15049999999999999</v>
      </c>
      <c r="ET113" s="16">
        <f>IF(ISNA(VLOOKUP(A113,'Données projet'!$A$191:$I$211,6,0)),0%,VLOOKUP(A113,'Données projet'!$A$191:$I$211,6,0)*VLOOKUP('Données projet'!$B$15,Paramètres!$A$1:$I$89,7,0))</f>
        <v>8.6000000000000007E-2</v>
      </c>
      <c r="EU113" s="16">
        <f>IF(ISNA(VLOOKUP(A113,'Données projet'!$A$191:$I$211,7,0)),0%,VLOOKUP(A113,'Données projet'!$A$191:$I$211,7,0))</f>
        <v>0.1</v>
      </c>
      <c r="EV113" s="21">
        <f>EXP(-LN(2)/35)*EV112+(1-EXP(-LN(2)/35))/(LN(2)/35)*ER113*ES113*VLOOKUP('Données projet'!$B$15,Paramètres!$A$1:$I$89,3,0)*0.475*44/12</f>
        <v>11.84403743986045</v>
      </c>
      <c r="EW113" s="21">
        <f>EXP(-LN(2)/25)*EW112+(1-EXP(-LN(2)/25))/(LN(2)/25)*Calculateur!ER113*Calculateur!ET113*VLOOKUP('Données projet'!$B$15,Paramètres!$A$1:$I$89,3,0)*0.475*44/12</f>
        <v>16.041804556515793</v>
      </c>
      <c r="EX113" s="21">
        <f>EXP(-LN(2)/2)*EX112+(1-EXP(-LN(2)/2))/(LN(2)/2)*ER113*EU113*VLOOKUP('Données projet'!$B$15,Paramètres!$A$1:$I$89,3,0)*0.475*44/12</f>
        <v>1.2692983230569954</v>
      </c>
      <c r="EY113" s="22">
        <f t="shared" si="75"/>
        <v>29.155140319433237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-1.4897523215040567E-13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328.93328163316073</v>
      </c>
      <c r="FK113" s="59">
        <f t="shared" si="102"/>
        <v>320.27831321887072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25.435751657110448</v>
      </c>
      <c r="FR113" s="21">
        <f>EXP(-LN(2)/25)*FR112+(1-EXP(-LN(2)/25))/(LN(2)/25)*Calculateur!FM113*Calculateur!FO113*VLOOKUP('Données projet'!$B$16,Paramètres!$A$1:$I$89,3,0)*0.475*44/12</f>
        <v>20.246924550745078</v>
      </c>
      <c r="FS113" s="21">
        <f>EXP(-LN(2)/2)*FS112+(1-EXP(-LN(2)/2))/(LN(2)/2)*FM113*FP113*VLOOKUP('Données projet'!$B$16,Paramètres!$A$1:$I$89,3,0)*0.475*44/12</f>
        <v>1.7418215643107329E-3</v>
      </c>
      <c r="FT113" s="22">
        <f t="shared" si="78"/>
        <v>45.684418029419831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>
        <f>VLOOKUP(A113,'Données projet'!$A$243:$I$263,2,0)</f>
        <v>180.76923076923077</v>
      </c>
      <c r="FX113" s="12">
        <f>VLOOKUP(A113,'Données projet'!$A$243:$I$263,9,0)</f>
        <v>2.8205128205128291</v>
      </c>
      <c r="FY113" s="12">
        <f t="array" ref="FY113">INDEX(FX:FX,MIN(IF(ISNUMBER(FX113:FX309),ROW(FX113:FX309),"")))</f>
        <v>2.8205128205128291</v>
      </c>
      <c r="FZ113" s="12">
        <f>IF('Données projet'!$A$244&gt;35,FZ112+FY113-GH112,IF(A113&lt;'Données projet'!$A$244,$FW$205^A113,IF(A113='Données projet'!$A$244,'Données projet'!$B$244,FZ112+FY113-GH112)))</f>
        <v>180.76923076923083</v>
      </c>
      <c r="GA113" s="17">
        <f>FZ113*VLOOKUP('Données projet'!$B$17,Paramètres!$A$1:$I$89,3,0)*VLOOKUP('Données projet'!$B$17,Paramètres!$A$1:$I$89,5,0)</f>
        <v>121.26000000000005</v>
      </c>
      <c r="GB113" s="13">
        <f t="shared" si="103"/>
        <v>31.968694713827716</v>
      </c>
      <c r="GC113" s="20">
        <f t="shared" si="79"/>
        <v>266.8733099599167</v>
      </c>
      <c r="GD113" s="59">
        <f t="shared" si="80"/>
        <v>557.93341274890713</v>
      </c>
      <c r="GE113" s="59">
        <f ca="1">AVERAGE(OFFSET($GD$3,0,0,'Données projet'!$E$17+1,1))-AVERAGE(OFFSET($H$3,0,0,'Données projet'!$E$17+1,1))</f>
        <v>192.88444860121191</v>
      </c>
      <c r="GF113" s="59">
        <f t="shared" si="104"/>
        <v>136.13737493732751</v>
      </c>
      <c r="GG113" s="15">
        <f>IF(ISNA(VLOOKUP(A113,'Données projet'!$A$243:$I$263,3,0)),0,VLOOKUP(A113,'Données projet'!$A$243:$I$263,3,0))</f>
        <v>19</v>
      </c>
      <c r="GH113" s="15">
        <f>IF(ISNA(VLOOKUP(A113,'Données projet'!$A$243:$I$263,4,0)),0,VLOOKUP(A113,'Données projet'!$A$243:$I$263,4,0))</f>
        <v>10.897435897435898</v>
      </c>
      <c r="GI113" s="16">
        <f>IF(ISNA(VLOOKUP(A113,'Données projet'!$A$243:$I$263,5,0)),0%,VLOOKUP(A113,'Données projet'!$A$243:$I$263,5,0)*VLOOKUP('Données projet'!$B$17,Paramètres!$A$1:$I$89,7,0))</f>
        <v>0.1855</v>
      </c>
      <c r="GJ113" s="16">
        <f>IF(ISNA(VLOOKUP(A113,'Données projet'!$A$243:$I$263,6,0)),0%,VLOOKUP(A113,'Données projet'!$A$243:$I$263,6,0)*VLOOKUP('Données projet'!$B$17,Paramètres!$A$1:$I$89,7,0))</f>
        <v>0.10600000000000001</v>
      </c>
      <c r="GK113" s="16">
        <f>IF(ISNA(VLOOKUP(A113,'Données projet'!$A$243:$I$263,7,0)),0%,VLOOKUP(A113,'Données projet'!$A$243:$I$263,7,0))</f>
        <v>0.1</v>
      </c>
      <c r="GL113" s="21">
        <f>EXP(-LN(2)/35)*GL112+(1-EXP(-LN(2)/35))/(LN(2)/35)*GH113*GI113*VLOOKUP('Données projet'!$B$17,Paramètres!$A$1:$I$89,3,0)*0.475*44/12</f>
        <v>9.6574459125015952</v>
      </c>
      <c r="GM113" s="21">
        <f>EXP(-LN(2)/25)*GM112+(1-EXP(-LN(2)/25))/(LN(2)/25)*Calculateur!GH113*Calculateur!GJ113*VLOOKUP('Données projet'!$B$17,Paramètres!$A$1:$I$89,3,0)*0.475*44/12</f>
        <v>13.0802406383898</v>
      </c>
      <c r="GN113" s="21">
        <f>EXP(-LN(2)/2)*GN112+(1-EXP(-LN(2)/2))/(LN(2)/2)*GH113*GK113*VLOOKUP('Données projet'!$B$17,Paramètres!$A$1:$I$89,3,0)*0.475*44/12</f>
        <v>0.83968965986847366</v>
      </c>
      <c r="GO113" s="21">
        <f t="shared" si="81"/>
        <v>23.577376210759869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69.380028033361029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0.85000000000000009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3.1166666666666671</v>
      </c>
      <c r="H114" s="67">
        <f t="shared" si="56"/>
        <v>244.19999999999996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1064.0138407860404</v>
      </c>
      <c r="S114" s="59">
        <f ca="1">AVERAGE(OFFSET($R$3,0,0,'Données projet'!$E$9+1,1))-AVERAGE(OFFSET($H$3,0,0,'Données projet'!$E$9+1,1))</f>
        <v>643.492472896403</v>
      </c>
      <c r="T114" s="59">
        <f t="shared" si="88"/>
        <v>285.0259479655341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-2.8421709430404007E-13</v>
      </c>
      <c r="AJ114" s="13">
        <f>AI114*VLOOKUP('Données projet'!$B$10,Paramètres!$A$1:$I$89,3,0)*VLOOKUP('Données projet'!$B$10,Paramètres!$A$1:$I$89,5,0)</f>
        <v>-2.2168933355715128E-13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289.89907502443873</v>
      </c>
      <c r="AO114" s="59">
        <f t="shared" si="90"/>
        <v>267.42183550360301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17.447189046210973</v>
      </c>
      <c r="AV114" s="21">
        <f>EXP(-LN(2)/25)*AV113+(1-EXP(-LN(2)/25))/(LN(2)/25)*Calculateur!AQ114*Calculateur!AS114*VLOOKUP('Données projet'!$B$10,Paramètres!$A$1:$I$89,3,0)*0.475*44/12</f>
        <v>14.44372398152089</v>
      </c>
      <c r="AW114" s="21">
        <f>EXP(-LN(2)/2)*AW113+(1-EXP(-LN(2)/2))/(LN(2)/2)*AQ114*AT114*VLOOKUP('Données projet'!$B$10,Paramètres!$A$1:$I$89,3,0)*0.475*44/12</f>
        <v>2.0391265357388687E-4</v>
      </c>
      <c r="AX114" s="21">
        <f t="shared" si="60"/>
        <v>31.891116940385437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1.9230769230769227</v>
      </c>
      <c r="BD114" s="12">
        <f>IF('Données projet'!$A$88&gt;35,BD113+BC114-BL113,IF(A114&lt;'Données projet'!$A$88,$BA$205^A114,IF(A114='Données projet'!$A$88,'Données projet'!$B$88,BD113+BC114-BL113)))</f>
        <v>111.53846153846146</v>
      </c>
      <c r="BE114" s="13">
        <f>BD114*VLOOKUP('Données projet'!$B$11,Paramètres!$A$1:$I$89,3,0)*VLOOKUP('Données projet'!$B$11,Paramètres!$A$1:$I$89,5,0)</f>
        <v>107.87999999999992</v>
      </c>
      <c r="BF114" s="13">
        <f t="shared" si="91"/>
        <v>28.830931714811175</v>
      </c>
      <c r="BG114" s="20">
        <f t="shared" si="61"/>
        <v>238.10487273662932</v>
      </c>
      <c r="BH114" s="59">
        <f t="shared" si="62"/>
        <v>529.204410993382</v>
      </c>
      <c r="BI114" s="59">
        <f ca="1">AVERAGE(OFFSET($BH$3,0,0,'Données projet'!$E$11+1,1))-AVERAGE(OFFSET($H$3,0,0,'Données projet'!$E$11+1,1))</f>
        <v>177.54241137663234</v>
      </c>
      <c r="BJ114" s="59">
        <f t="shared" si="92"/>
        <v>114.71095021456071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15.351574275221699</v>
      </c>
      <c r="BR114" s="21">
        <f>EXP(-LN(2)/2)*BR113+(1-EXP(-LN(2)/2))/(LN(2)/2)*BL114*BO114*VLOOKUP('Données projet'!$B$11,Paramètres!$A$1:$I$89,3,0)*0.475*44/12</f>
        <v>1.0018074657167377</v>
      </c>
      <c r="BS114" s="22">
        <f t="shared" si="63"/>
        <v>16.353381740938438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1.9230769230769227</v>
      </c>
      <c r="BY114" s="12">
        <f>IF('Données projet'!$A$114&gt;35,BY113+BX114-CG113,IF(A114&lt;'Données projet'!$A$114,$BV$205^A114,IF(A114='Données projet'!$A$114,'Données projet'!$B$114,BY113+BX114-CG113)))</f>
        <v>111.53846153846146</v>
      </c>
      <c r="BZ114" s="13">
        <f>BY114*VLOOKUP('Données projet'!$B$12,Paramètres!$A$1:$I$89,3,0)*VLOOKUP('Données projet'!$B$12,Paramètres!$A$1:$I$89,5,0)</f>
        <v>120.0599999999999</v>
      </c>
      <c r="CA114" s="13">
        <f t="shared" si="93"/>
        <v>31.688992901661088</v>
      </c>
      <c r="CB114" s="20">
        <f t="shared" si="64"/>
        <v>264.29616263705952</v>
      </c>
      <c r="CC114" s="59">
        <f t="shared" si="65"/>
        <v>555.39570089381209</v>
      </c>
      <c r="CD114" s="59">
        <f ca="1">AVERAGE(OFFSET($CC$3,0,0,'Données projet'!$E$12+1,1))-AVERAGE(OFFSET($H$3,0,0,'Données projet'!$E$12+1,1))</f>
        <v>192.88977161349993</v>
      </c>
      <c r="CE114" s="59">
        <f t="shared" si="94"/>
        <v>122.91376861456772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17.08481653210157</v>
      </c>
      <c r="CM114" s="21">
        <f>EXP(-LN(2)/2)*CM113+(1-EXP(-LN(2)/2))/(LN(2)/2)*CG114*CJ114*VLOOKUP('Données projet'!$B$12,Paramètres!$A$1:$I$89,3,0)*0.475*44/12</f>
        <v>1.1149147602331433</v>
      </c>
      <c r="CN114" s="22">
        <f t="shared" si="66"/>
        <v>18.199731292334715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-8.5265128291212022E-14</v>
      </c>
      <c r="CU114" s="17">
        <f>CT114*VLOOKUP('Données projet'!$B$13,Paramètres!$A$1:$I$89,3,0)*VLOOKUP('Données projet'!$B$13,Paramètres!$A$1:$I$89,5,0)</f>
        <v>-6.9167072069831198E-14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163.16040389635825</v>
      </c>
      <c r="CZ114" s="59">
        <f t="shared" si="96"/>
        <v>138.57856782158811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9.0384792259170865</v>
      </c>
      <c r="DH114" s="21">
        <f>EXP(-LN(2)/2)*DH113+(1-EXP(-LN(2)/2))/(LN(2)/2)*DB114*DE114*VLOOKUP('Données projet'!$B$13,Paramètres!$A$1:$I$89,3,0)*0.475*44/12</f>
        <v>1.7294469046029232E-2</v>
      </c>
      <c r="DI114" s="22">
        <f t="shared" si="69"/>
        <v>9.0557736949631149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8.2299999999999986</v>
      </c>
      <c r="DO114" s="12">
        <f>IF('Données projet'!$A$166&gt;35,DO113+DN114-DW113,IF(A114&lt;'Données projet'!$A$166,$DL$205^A114,IF(A114='Données projet'!$A$166,'Données projet'!$B$166,DO113+DN114-DW113)))</f>
        <v>395.62</v>
      </c>
      <c r="DP114" s="17">
        <f>DO114*VLOOKUP('Données projet'!$B$14,Paramètres!$A$1:$I$89,3,0)*VLOOKUP('Données projet'!$B$14,Paramètres!$A$1:$I$89,5,0)</f>
        <v>185.15016000000003</v>
      </c>
      <c r="DQ114" s="13">
        <f t="shared" si="97"/>
        <v>46.466113860658915</v>
      </c>
      <c r="DR114" s="20">
        <f t="shared" si="70"/>
        <v>403.39834364064762</v>
      </c>
      <c r="DS114" s="59">
        <f t="shared" si="71"/>
        <v>694.49788189740025</v>
      </c>
      <c r="DT114" s="59">
        <f ca="1">AVERAGE(OFFSET($DS$3,0,0,'Données projet'!$E$14+1,1))-AVERAGE(OFFSET($H$3,0,0,'Données projet'!$E$14+1,1))</f>
        <v>343.44193069803498</v>
      </c>
      <c r="DU114" s="59">
        <f t="shared" si="98"/>
        <v>280.67367019483481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66.14488623670826</v>
      </c>
      <c r="EB114" s="21">
        <f>EXP(-LN(2)/25)*EB113+(1-EXP(-LN(2)/25))/(LN(2)/25)*Calculateur!DW114*Calculateur!DY114*VLOOKUP('Données projet'!$B$14,Paramètres!$A$1:$I$89,3,0)*0.475*44/12</f>
        <v>21.599785989735246</v>
      </c>
      <c r="EC114" s="21">
        <f>EXP(-LN(2)/2)*EC113+(1-EXP(-LN(2)/2))/(LN(2)/2)*DW114*DZ114*VLOOKUP('Données projet'!$B$14,Paramètres!$A$1:$I$89,3,0)*0.475*44/12</f>
        <v>4.9618001142793391</v>
      </c>
      <c r="ED114" s="22">
        <f t="shared" si="72"/>
        <v>92.70647234072284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2.6923076923076907</v>
      </c>
      <c r="EJ114" s="12">
        <f>IF('Données projet'!$A$192&gt;35,EJ113+EI114-ER113,IF(A114&lt;'Données projet'!$A$192,$EG$205^A114,IF(A114='Données projet'!$A$192,'Données projet'!$B$192,EJ113+EI114-ER113)))</f>
        <v>172.5641025641026</v>
      </c>
      <c r="EK114" s="17">
        <f>EJ114*VLOOKUP('Données projet'!$B$15,Paramètres!$A$1:$I$89,3,0)*VLOOKUP('Données projet'!$B$15,Paramètres!$A$1:$I$89,5,0)</f>
        <v>174.98000000000005</v>
      </c>
      <c r="EL114" s="13">
        <f t="shared" si="99"/>
        <v>44.203496749353363</v>
      </c>
      <c r="EM114" s="20">
        <f t="shared" si="73"/>
        <v>381.74459017179055</v>
      </c>
      <c r="EN114" s="59">
        <f t="shared" si="74"/>
        <v>672.84412842854317</v>
      </c>
      <c r="EO114" s="59">
        <f ca="1">AVERAGE(OFFSET($EN$3,0,0,'Données projet'!$E$15+1,1))-AVERAGE(OFFSET($H$3,0,0,'Données projet'!$E$15+1,1))</f>
        <v>270.0029254736703</v>
      </c>
      <c r="EP114" s="59">
        <f t="shared" si="100"/>
        <v>183.80022202211441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11.611783089814299</v>
      </c>
      <c r="EW114" s="21">
        <f>EXP(-LN(2)/25)*EW113+(1-EXP(-LN(2)/25))/(LN(2)/25)*Calculateur!ER114*Calculateur!ET114*VLOOKUP('Données projet'!$B$15,Paramètres!$A$1:$I$89,3,0)*0.475*44/12</f>
        <v>15.60314056731603</v>
      </c>
      <c r="EX114" s="21">
        <f>EXP(-LN(2)/2)*EX113+(1-EXP(-LN(2)/2))/(LN(2)/2)*ER114*EU114*VLOOKUP('Données projet'!$B$15,Paramètres!$A$1:$I$89,3,0)*0.475*44/12</f>
        <v>0.89752945158231467</v>
      </c>
      <c r="EY114" s="22">
        <f t="shared" si="75"/>
        <v>28.112453108712643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-1.4897523215040567E-13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328.93328163316073</v>
      </c>
      <c r="FK114" s="59">
        <f t="shared" si="102"/>
        <v>320.27831321887072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24.936972081391115</v>
      </c>
      <c r="FR114" s="21">
        <f>EXP(-LN(2)/25)*FR113+(1-EXP(-LN(2)/25))/(LN(2)/25)*Calculateur!FM114*Calculateur!FO114*VLOOKUP('Données projet'!$B$16,Paramètres!$A$1:$I$89,3,0)*0.475*44/12</f>
        <v>19.693271334165466</v>
      </c>
      <c r="FS114" s="21">
        <f>EXP(-LN(2)/2)*FS113+(1-EXP(-LN(2)/2))/(LN(2)/2)*FM114*FP114*VLOOKUP('Données projet'!$B$16,Paramètres!$A$1:$I$89,3,0)*0.475*44/12</f>
        <v>1.2316538397410793E-3</v>
      </c>
      <c r="FT114" s="22">
        <f t="shared" si="78"/>
        <v>44.631475069396316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2.6923076923076907</v>
      </c>
      <c r="FZ114" s="12">
        <f>IF('Données projet'!$A$244&gt;35,FZ113+FY114-GH113,IF(A114&lt;'Données projet'!$A$244,$FW$205^A114,IF(A114='Données projet'!$A$244,'Données projet'!$B$244,FZ113+FY114-GH113)))</f>
        <v>172.5641025641026</v>
      </c>
      <c r="GA114" s="17">
        <f>FZ114*VLOOKUP('Données projet'!$B$17,Paramètres!$A$1:$I$89,3,0)*VLOOKUP('Données projet'!$B$17,Paramètres!$A$1:$I$89,5,0)</f>
        <v>115.75600000000001</v>
      </c>
      <c r="GB114" s="13">
        <f t="shared" si="103"/>
        <v>30.683091226429859</v>
      </c>
      <c r="GC114" s="20">
        <f t="shared" si="79"/>
        <v>255.04808388603203</v>
      </c>
      <c r="GD114" s="59">
        <f t="shared" si="80"/>
        <v>546.14762214278471</v>
      </c>
      <c r="GE114" s="59">
        <f ca="1">AVERAGE(OFFSET($GD$3,0,0,'Données projet'!$E$17+1,1))-AVERAGE(OFFSET($H$3,0,0,'Données projet'!$E$17+1,1))</f>
        <v>192.88444860121191</v>
      </c>
      <c r="GF114" s="59">
        <f t="shared" si="104"/>
        <v>136.13737493732751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9.4680692886178104</v>
      </c>
      <c r="GM114" s="21">
        <f>EXP(-LN(2)/25)*GM113+(1-EXP(-LN(2)/25))/(LN(2)/25)*Calculateur!GH114*Calculateur!GJ114*VLOOKUP('Données projet'!$B$17,Paramètres!$A$1:$I$89,3,0)*0.475*44/12</f>
        <v>12.72256077027307</v>
      </c>
      <c r="GN114" s="21">
        <f>EXP(-LN(2)/2)*GN113+(1-EXP(-LN(2)/2))/(LN(2)/2)*GH114*GK114*VLOOKUP('Données projet'!$B$17,Paramètres!$A$1:$I$89,3,0)*0.475*44/12</f>
        <v>0.5937502525852234</v>
      </c>
      <c r="GO114" s="21">
        <f t="shared" si="81"/>
        <v>22.784380311476106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69.390783160932543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0.85000000000000009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3.1166666666666671</v>
      </c>
      <c r="H115" s="67">
        <f t="shared" si="56"/>
        <v>244.19999999999996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1080.8479637167598</v>
      </c>
      <c r="S115" s="59">
        <f ca="1">AVERAGE(OFFSET($R$3,0,0,'Données projet'!$E$9+1,1))-AVERAGE(OFFSET($H$3,0,0,'Données projet'!$E$9+1,1))</f>
        <v>643.492472896403</v>
      </c>
      <c r="T115" s="59">
        <f t="shared" si="88"/>
        <v>285.0259479655341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-2.8421709430404007E-13</v>
      </c>
      <c r="AJ115" s="13">
        <f>AI115*VLOOKUP('Données projet'!$B$10,Paramètres!$A$1:$I$89,3,0)*VLOOKUP('Données projet'!$B$10,Paramètres!$A$1:$I$89,5,0)</f>
        <v>-2.2168933355715128E-13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289.89907502443873</v>
      </c>
      <c r="AO115" s="59">
        <f t="shared" si="90"/>
        <v>267.42183550360301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17.105060310749309</v>
      </c>
      <c r="AV115" s="21">
        <f>EXP(-LN(2)/25)*AV114+(1-EXP(-LN(2)/25))/(LN(2)/25)*Calculateur!AQ115*Calculateur!AS115*VLOOKUP('Données projet'!$B$10,Paramètres!$A$1:$I$89,3,0)*0.475*44/12</f>
        <v>14.048759589683769</v>
      </c>
      <c r="AW115" s="21">
        <f>EXP(-LN(2)/2)*AW114+(1-EXP(-LN(2)/2))/(LN(2)/2)*AQ115*AT115*VLOOKUP('Données projet'!$B$10,Paramètres!$A$1:$I$89,3,0)*0.475*44/12</f>
        <v>1.4418802011183869E-4</v>
      </c>
      <c r="AX115" s="21">
        <f t="shared" si="60"/>
        <v>31.15396408845319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1.9230769230769227</v>
      </c>
      <c r="BD115" s="12">
        <f>IF('Données projet'!$A$88&gt;35,BD114+BC115-BL114,IF(A115&lt;'Données projet'!$A$88,$BA$205^A115,IF(A115='Données projet'!$A$88,'Données projet'!$B$88,BD114+BC115-BL114)))</f>
        <v>113.46153846153838</v>
      </c>
      <c r="BE115" s="13">
        <f>BD115*VLOOKUP('Données projet'!$B$11,Paramètres!$A$1:$I$89,3,0)*VLOOKUP('Données projet'!$B$11,Paramètres!$A$1:$I$89,5,0)</f>
        <v>109.73999999999992</v>
      </c>
      <c r="BF115" s="13">
        <f t="shared" si="91"/>
        <v>29.269718110335369</v>
      </c>
      <c r="BG115" s="20">
        <f t="shared" si="61"/>
        <v>242.10859237550062</v>
      </c>
      <c r="BH115" s="59">
        <f t="shared" si="62"/>
        <v>533.24688198281433</v>
      </c>
      <c r="BI115" s="59">
        <f ca="1">AVERAGE(OFFSET($BH$3,0,0,'Données projet'!$E$11+1,1))-AVERAGE(OFFSET($H$3,0,0,'Données projet'!$E$11+1,1))</f>
        <v>177.54241137663234</v>
      </c>
      <c r="BJ115" s="59">
        <f t="shared" si="92"/>
        <v>114.71095021456071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14.931784669361557</v>
      </c>
      <c r="BR115" s="21">
        <f>EXP(-LN(2)/2)*BR114+(1-EXP(-LN(2)/2))/(LN(2)/2)*BL115*BO115*VLOOKUP('Données projet'!$B$11,Paramètres!$A$1:$I$89,3,0)*0.475*44/12</f>
        <v>0.70838485245161498</v>
      </c>
      <c r="BS115" s="22">
        <f t="shared" si="63"/>
        <v>15.640169521813172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1.9230769230769227</v>
      </c>
      <c r="BY115" s="12">
        <f>IF('Données projet'!$A$114&gt;35,BY114+BX115-CG114,IF(A115&lt;'Données projet'!$A$114,$BV$205^A115,IF(A115='Données projet'!$A$114,'Données projet'!$B$114,BY114+BX115-CG114)))</f>
        <v>113.46153846153838</v>
      </c>
      <c r="BZ115" s="13">
        <f>BY115*VLOOKUP('Données projet'!$B$12,Paramètres!$A$1:$I$89,3,0)*VLOOKUP('Données projet'!$B$12,Paramètres!$A$1:$I$89,5,0)</f>
        <v>122.12999999999991</v>
      </c>
      <c r="CA115" s="13">
        <f t="shared" si="93"/>
        <v>32.171276967630739</v>
      </c>
      <c r="CB115" s="20">
        <f t="shared" si="64"/>
        <v>268.74139071862339</v>
      </c>
      <c r="CC115" s="59">
        <f t="shared" si="65"/>
        <v>559.8796803259371</v>
      </c>
      <c r="CD115" s="59">
        <f ca="1">AVERAGE(OFFSET($CC$3,0,0,'Données projet'!$E$12+1,1))-AVERAGE(OFFSET($H$3,0,0,'Données projet'!$E$12+1,1))</f>
        <v>192.88977161349993</v>
      </c>
      <c r="CE115" s="59">
        <f t="shared" si="94"/>
        <v>122.91376861456772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16.617631325579801</v>
      </c>
      <c r="CM115" s="21">
        <f>EXP(-LN(2)/2)*CM114+(1-EXP(-LN(2)/2))/(LN(2)/2)*CG115*CJ115*VLOOKUP('Données projet'!$B$12,Paramètres!$A$1:$I$89,3,0)*0.475*44/12</f>
        <v>0.78836378740582935</v>
      </c>
      <c r="CN115" s="22">
        <f t="shared" si="66"/>
        <v>17.405995112985629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-8.5265128291212022E-14</v>
      </c>
      <c r="CU115" s="17">
        <f>CT115*VLOOKUP('Données projet'!$B$13,Paramètres!$A$1:$I$89,3,0)*VLOOKUP('Données projet'!$B$13,Paramètres!$A$1:$I$89,5,0)</f>
        <v>-6.9167072069831198E-14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163.16040389635825</v>
      </c>
      <c r="CZ115" s="59">
        <f t="shared" si="96"/>
        <v>138.57856782158811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8.7913215361714183</v>
      </c>
      <c r="DH115" s="21">
        <f>EXP(-LN(2)/2)*DH114+(1-EXP(-LN(2)/2))/(LN(2)/2)*DB115*DE115*VLOOKUP('Données projet'!$B$13,Paramètres!$A$1:$I$89,3,0)*0.475*44/12</f>
        <v>1.2229036339468112E-2</v>
      </c>
      <c r="DI115" s="22">
        <f t="shared" si="69"/>
        <v>8.8035505725108862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8.2299999999999986</v>
      </c>
      <c r="DO115" s="12">
        <f>IF('Données projet'!$A$166&gt;35,DO114+DN115-DW114,IF(A115&lt;'Données projet'!$A$166,$DL$205^A115,IF(A115='Données projet'!$A$166,'Données projet'!$B$166,DO114+DN115-DW114)))</f>
        <v>403.85</v>
      </c>
      <c r="DP115" s="17">
        <f>DO115*VLOOKUP('Données projet'!$B$14,Paramètres!$A$1:$I$89,3,0)*VLOOKUP('Données projet'!$B$14,Paramètres!$A$1:$I$89,5,0)</f>
        <v>189.0018</v>
      </c>
      <c r="DQ115" s="13">
        <f t="shared" si="97"/>
        <v>47.319197393100204</v>
      </c>
      <c r="DR115" s="20">
        <f t="shared" si="70"/>
        <v>411.59240379298285</v>
      </c>
      <c r="DS115" s="59">
        <f t="shared" si="71"/>
        <v>702.73069340029656</v>
      </c>
      <c r="DT115" s="59">
        <f ca="1">AVERAGE(OFFSET($DS$3,0,0,'Données projet'!$E$14+1,1))-AVERAGE(OFFSET($H$3,0,0,'Données projet'!$E$14+1,1))</f>
        <v>343.44193069803498</v>
      </c>
      <c r="DU115" s="59">
        <f t="shared" si="98"/>
        <v>280.67367019483481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64.847825362003334</v>
      </c>
      <c r="EB115" s="21">
        <f>EXP(-LN(2)/25)*EB114+(1-EXP(-LN(2)/25))/(LN(2)/25)*Calculateur!DW115*Calculateur!DY115*VLOOKUP('Données projet'!$B$14,Paramètres!$A$1:$I$89,3,0)*0.475*44/12</f>
        <v>21.009138705962556</v>
      </c>
      <c r="EC115" s="21">
        <f>EXP(-LN(2)/2)*EC114+(1-EXP(-LN(2)/2))/(LN(2)/2)*DW115*DZ115*VLOOKUP('Données projet'!$B$14,Paramètres!$A$1:$I$89,3,0)*0.475*44/12</f>
        <v>3.5085225076991073</v>
      </c>
      <c r="ED115" s="22">
        <f t="shared" si="72"/>
        <v>89.365486575665003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2.6923076923076907</v>
      </c>
      <c r="EJ115" s="12">
        <f>IF('Données projet'!$A$192&gt;35,EJ114+EI115-ER114,IF(A115&lt;'Données projet'!$A$192,$EG$205^A115,IF(A115='Données projet'!$A$192,'Données projet'!$B$192,EJ114+EI115-ER114)))</f>
        <v>175.25641025641028</v>
      </c>
      <c r="EK115" s="17">
        <f>EJ115*VLOOKUP('Données projet'!$B$15,Paramètres!$A$1:$I$89,3,0)*VLOOKUP('Données projet'!$B$15,Paramètres!$A$1:$I$89,5,0)</f>
        <v>177.71000000000004</v>
      </c>
      <c r="EL115" s="13">
        <f t="shared" si="99"/>
        <v>44.812324321155806</v>
      </c>
      <c r="EM115" s="20">
        <f t="shared" si="73"/>
        <v>387.55971485934646</v>
      </c>
      <c r="EN115" s="59">
        <f t="shared" si="74"/>
        <v>678.69800446666022</v>
      </c>
      <c r="EO115" s="59">
        <f ca="1">AVERAGE(OFFSET($EN$3,0,0,'Données projet'!$E$15+1,1))-AVERAGE(OFFSET($H$3,0,0,'Données projet'!$E$15+1,1))</f>
        <v>270.0029254736703</v>
      </c>
      <c r="EP115" s="59">
        <f t="shared" si="100"/>
        <v>183.80022202211441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11.384083105911389</v>
      </c>
      <c r="EW115" s="21">
        <f>EXP(-LN(2)/25)*EW114+(1-EXP(-LN(2)/25))/(LN(2)/25)*Calculateur!ER115*Calculateur!ET115*VLOOKUP('Données projet'!$B$15,Paramètres!$A$1:$I$89,3,0)*0.475*44/12</f>
        <v>15.176471867969273</v>
      </c>
      <c r="EX115" s="21">
        <f>EXP(-LN(2)/2)*EX114+(1-EXP(-LN(2)/2))/(LN(2)/2)*ER115*EU115*VLOOKUP('Données projet'!$B$15,Paramètres!$A$1:$I$89,3,0)*0.475*44/12</f>
        <v>0.63464916152849782</v>
      </c>
      <c r="EY115" s="22">
        <f t="shared" si="75"/>
        <v>27.19520413540916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-1.4897523215040567E-13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328.93328163316073</v>
      </c>
      <c r="FK115" s="59">
        <f t="shared" si="102"/>
        <v>320.27831321887072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24.447973268926138</v>
      </c>
      <c r="FR115" s="21">
        <f>EXP(-LN(2)/25)*FR114+(1-EXP(-LN(2)/25))/(LN(2)/25)*Calculateur!FM115*Calculateur!FO115*VLOOKUP('Données projet'!$B$16,Paramètres!$A$1:$I$89,3,0)*0.475*44/12</f>
        <v>19.154757793908583</v>
      </c>
      <c r="FS115" s="21">
        <f>EXP(-LN(2)/2)*FS114+(1-EXP(-LN(2)/2))/(LN(2)/2)*FM115*FP115*VLOOKUP('Données projet'!$B$16,Paramètres!$A$1:$I$89,3,0)*0.475*44/12</f>
        <v>8.7091078215536643E-4</v>
      </c>
      <c r="FT115" s="22">
        <f t="shared" si="78"/>
        <v>43.603601973616875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2.6923076923076907</v>
      </c>
      <c r="FZ115" s="12">
        <f>IF('Données projet'!$A$244&gt;35,FZ114+FY115-GH114,IF(A115&lt;'Données projet'!$A$244,$FW$205^A115,IF(A115='Données projet'!$A$244,'Données projet'!$B$244,FZ114+FY115-GH114)))</f>
        <v>175.25641025641028</v>
      </c>
      <c r="GA115" s="17">
        <f>FZ115*VLOOKUP('Données projet'!$B$17,Paramètres!$A$1:$I$89,3,0)*VLOOKUP('Données projet'!$B$17,Paramètres!$A$1:$I$89,5,0)</f>
        <v>117.56200000000001</v>
      </c>
      <c r="GB115" s="13">
        <f t="shared" si="103"/>
        <v>31.10569833447618</v>
      </c>
      <c r="GC115" s="20">
        <f t="shared" si="79"/>
        <v>258.92957459921269</v>
      </c>
      <c r="GD115" s="59">
        <f t="shared" si="80"/>
        <v>550.06786420652634</v>
      </c>
      <c r="GE115" s="59">
        <f ca="1">AVERAGE(OFFSET($GD$3,0,0,'Données projet'!$E$17+1,1))-AVERAGE(OFFSET($H$3,0,0,'Données projet'!$E$17+1,1))</f>
        <v>192.88444860121191</v>
      </c>
      <c r="GF115" s="59">
        <f t="shared" si="104"/>
        <v>136.13737493732751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9.2824062248200523</v>
      </c>
      <c r="GM115" s="21">
        <f>EXP(-LN(2)/25)*GM114+(1-EXP(-LN(2)/25))/(LN(2)/25)*Calculateur!GH115*Calculateur!GJ115*VLOOKUP('Données projet'!$B$17,Paramètres!$A$1:$I$89,3,0)*0.475*44/12</f>
        <v>12.37466167695956</v>
      </c>
      <c r="GN115" s="21">
        <f>EXP(-LN(2)/2)*GN114+(1-EXP(-LN(2)/2))/(LN(2)/2)*GH115*GK115*VLOOKUP('Données projet'!$B$17,Paramètres!$A$1:$I$89,3,0)*0.475*44/12</f>
        <v>0.41984482993423694</v>
      </c>
      <c r="GO115" s="21">
        <f t="shared" si="81"/>
        <v>22.07691273171385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69.401351711085553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0.85000000000000009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3.1166666666666671</v>
      </c>
      <c r="H116" s="67">
        <f t="shared" si="56"/>
        <v>244.19999999999996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1097.6741937622837</v>
      </c>
      <c r="S116" s="59">
        <f ca="1">AVERAGE(OFFSET($R$3,0,0,'Données projet'!$E$9+1,1))-AVERAGE(OFFSET($H$3,0,0,'Données projet'!$E$9+1,1))</f>
        <v>643.492472896403</v>
      </c>
      <c r="T116" s="59">
        <f t="shared" si="88"/>
        <v>285.0259479655341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-2.8421709430404007E-13</v>
      </c>
      <c r="AJ116" s="13">
        <f>AI116*VLOOKUP('Données projet'!$B$10,Paramètres!$A$1:$I$89,3,0)*VLOOKUP('Données projet'!$B$10,Paramètres!$A$1:$I$89,5,0)</f>
        <v>-2.2168933355715128E-13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289.89907502443873</v>
      </c>
      <c r="AO116" s="59">
        <f t="shared" si="90"/>
        <v>267.42183550360301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16.769640511112126</v>
      </c>
      <c r="AV116" s="21">
        <f>EXP(-LN(2)/25)*AV115+(1-EXP(-LN(2)/25))/(LN(2)/25)*Calculateur!AQ116*Calculateur!AS116*VLOOKUP('Données projet'!$B$10,Paramètres!$A$1:$I$89,3,0)*0.475*44/12</f>
        <v>13.664595519911709</v>
      </c>
      <c r="AW116" s="21">
        <f>EXP(-LN(2)/2)*AW115+(1-EXP(-LN(2)/2))/(LN(2)/2)*AQ116*AT116*VLOOKUP('Données projet'!$B$10,Paramètres!$A$1:$I$89,3,0)*0.475*44/12</f>
        <v>1.0195632678694344E-4</v>
      </c>
      <c r="AX116" s="21">
        <f t="shared" si="60"/>
        <v>30.434337987350624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1.9230769230769227</v>
      </c>
      <c r="BD116" s="12">
        <f>IF('Données projet'!$A$88&gt;35,BD115+BC116-BL115,IF(A116&lt;'Données projet'!$A$88,$BA$205^A116,IF(A116='Données projet'!$A$88,'Données projet'!$B$88,BD115+BC116-BL115)))</f>
        <v>115.3846153846153</v>
      </c>
      <c r="BE116" s="13">
        <f>BD116*VLOOKUP('Données projet'!$B$11,Paramètres!$A$1:$I$89,3,0)*VLOOKUP('Données projet'!$B$11,Paramètres!$A$1:$I$89,5,0)</f>
        <v>111.59999999999992</v>
      </c>
      <c r="BF116" s="13">
        <f t="shared" si="91"/>
        <v>29.707639641956273</v>
      </c>
      <c r="BG116" s="20">
        <f t="shared" si="61"/>
        <v>246.11080570974036</v>
      </c>
      <c r="BH116" s="59">
        <f t="shared" si="62"/>
        <v>537.28717441831782</v>
      </c>
      <c r="BI116" s="59">
        <f ca="1">AVERAGE(OFFSET($BH$3,0,0,'Données projet'!$E$11+1,1))-AVERAGE(OFFSET($H$3,0,0,'Données projet'!$E$11+1,1))</f>
        <v>177.54241137663234</v>
      </c>
      <c r="BJ116" s="59">
        <f t="shared" si="92"/>
        <v>114.71095021456071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14.523474232349436</v>
      </c>
      <c r="BR116" s="21">
        <f>EXP(-LN(2)/2)*BR115+(1-EXP(-LN(2)/2))/(LN(2)/2)*BL116*BO116*VLOOKUP('Données projet'!$B$11,Paramètres!$A$1:$I$89,3,0)*0.475*44/12</f>
        <v>0.50090373285836887</v>
      </c>
      <c r="BS116" s="22">
        <f t="shared" si="63"/>
        <v>15.024377965207805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1.9230769230769227</v>
      </c>
      <c r="BY116" s="12">
        <f>IF('Données projet'!$A$114&gt;35,BY115+BX116-CG115,IF(A116&lt;'Données projet'!$A$114,$BV$205^A116,IF(A116='Données projet'!$A$114,'Données projet'!$B$114,BY115+BX116-CG115)))</f>
        <v>115.3846153846153</v>
      </c>
      <c r="BZ116" s="13">
        <f>BY116*VLOOKUP('Données projet'!$B$12,Paramètres!$A$1:$I$89,3,0)*VLOOKUP('Données projet'!$B$12,Paramètres!$A$1:$I$89,5,0)</f>
        <v>124.19999999999992</v>
      </c>
      <c r="CA116" s="13">
        <f t="shared" si="93"/>
        <v>32.652610434210608</v>
      </c>
      <c r="CB116" s="20">
        <f t="shared" si="64"/>
        <v>273.18496317291664</v>
      </c>
      <c r="CC116" s="59">
        <f t="shared" si="65"/>
        <v>564.36133188149415</v>
      </c>
      <c r="CD116" s="59">
        <f ca="1">AVERAGE(OFFSET($CC$3,0,0,'Données projet'!$E$12+1,1))-AVERAGE(OFFSET($H$3,0,0,'Données projet'!$E$12+1,1))</f>
        <v>192.88977161349993</v>
      </c>
      <c r="CE116" s="59">
        <f t="shared" si="94"/>
        <v>122.91376861456772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16.163221323098568</v>
      </c>
      <c r="CM116" s="21">
        <f>EXP(-LN(2)/2)*CM115+(1-EXP(-LN(2)/2))/(LN(2)/2)*CG116*CJ116*VLOOKUP('Données projet'!$B$12,Paramètres!$A$1:$I$89,3,0)*0.475*44/12</f>
        <v>0.55745738011657164</v>
      </c>
      <c r="CN116" s="22">
        <f t="shared" si="66"/>
        <v>16.720678703215139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-8.5265128291212022E-14</v>
      </c>
      <c r="CU116" s="17">
        <f>CT116*VLOOKUP('Données projet'!$B$13,Paramètres!$A$1:$I$89,3,0)*VLOOKUP('Données projet'!$B$13,Paramètres!$A$1:$I$89,5,0)</f>
        <v>-6.9167072069831198E-14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163.16040389635825</v>
      </c>
      <c r="CZ116" s="59">
        <f t="shared" si="96"/>
        <v>138.57856782158811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8.5509223864493045</v>
      </c>
      <c r="DH116" s="21">
        <f>EXP(-LN(2)/2)*DH115+(1-EXP(-LN(2)/2))/(LN(2)/2)*DB116*DE116*VLOOKUP('Données projet'!$B$13,Paramètres!$A$1:$I$89,3,0)*0.475*44/12</f>
        <v>8.6472345230146162E-3</v>
      </c>
      <c r="DI116" s="22">
        <f t="shared" si="69"/>
        <v>8.5595696209723187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8.2299999999999986</v>
      </c>
      <c r="DO116" s="12">
        <f>IF('Données projet'!$A$166&gt;35,DO115+DN116-DW115,IF(A116&lt;'Données projet'!$A$166,$DL$205^A116,IF(A116='Données projet'!$A$166,'Données projet'!$B$166,DO115+DN116-DW115)))</f>
        <v>412.08000000000004</v>
      </c>
      <c r="DP116" s="17">
        <f>DO116*VLOOKUP('Données projet'!$B$14,Paramètres!$A$1:$I$89,3,0)*VLOOKUP('Données projet'!$B$14,Paramètres!$A$1:$I$89,5,0)</f>
        <v>192.85344000000003</v>
      </c>
      <c r="DQ116" s="13">
        <f t="shared" si="97"/>
        <v>48.170259577628116</v>
      </c>
      <c r="DR116" s="20">
        <f t="shared" si="70"/>
        <v>419.78294343103568</v>
      </c>
      <c r="DS116" s="59">
        <f t="shared" si="71"/>
        <v>710.95931213961319</v>
      </c>
      <c r="DT116" s="59">
        <f ca="1">AVERAGE(OFFSET($DS$3,0,0,'Données projet'!$E$14+1,1))-AVERAGE(OFFSET($H$3,0,0,'Données projet'!$E$14+1,1))</f>
        <v>343.44193069803498</v>
      </c>
      <c r="DU116" s="59">
        <f t="shared" si="98"/>
        <v>280.67367019483481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63.576199059922359</v>
      </c>
      <c r="EB116" s="21">
        <f>EXP(-LN(2)/25)*EB115+(1-EXP(-LN(2)/25))/(LN(2)/25)*Calculateur!DW116*Calculateur!DY116*VLOOKUP('Données projet'!$B$14,Paramètres!$A$1:$I$89,3,0)*0.475*44/12</f>
        <v>20.434642703225421</v>
      </c>
      <c r="EC116" s="21">
        <f>EXP(-LN(2)/2)*EC115+(1-EXP(-LN(2)/2))/(LN(2)/2)*DW116*DZ116*VLOOKUP('Données projet'!$B$14,Paramètres!$A$1:$I$89,3,0)*0.475*44/12</f>
        <v>2.48090005713967</v>
      </c>
      <c r="ED116" s="22">
        <f t="shared" si="72"/>
        <v>86.491741820287444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2.6923076923076907</v>
      </c>
      <c r="EJ116" s="12">
        <f>IF('Données projet'!$A$192&gt;35,EJ115+EI116-ER115,IF(A116&lt;'Données projet'!$A$192,$EG$205^A116,IF(A116='Données projet'!$A$192,'Données projet'!$B$192,EJ115+EI116-ER115)))</f>
        <v>177.94871794871796</v>
      </c>
      <c r="EK116" s="17">
        <f>EJ116*VLOOKUP('Données projet'!$B$15,Paramètres!$A$1:$I$89,3,0)*VLOOKUP('Données projet'!$B$15,Paramètres!$A$1:$I$89,5,0)</f>
        <v>180.44000000000003</v>
      </c>
      <c r="EL116" s="13">
        <f t="shared" si="99"/>
        <v>45.420064145943897</v>
      </c>
      <c r="EM116" s="20">
        <f t="shared" si="73"/>
        <v>393.37294505418566</v>
      </c>
      <c r="EN116" s="59">
        <f t="shared" si="74"/>
        <v>684.54931376276318</v>
      </c>
      <c r="EO116" s="59">
        <f ca="1">AVERAGE(OFFSET($EN$3,0,0,'Données projet'!$E$15+1,1))-AVERAGE(OFFSET($H$3,0,0,'Données projet'!$E$15+1,1))</f>
        <v>270.0029254736703</v>
      </c>
      <c r="EP116" s="59">
        <f t="shared" si="100"/>
        <v>183.80022202211441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11.160848179809538</v>
      </c>
      <c r="EW116" s="21">
        <f>EXP(-LN(2)/25)*EW115+(1-EXP(-LN(2)/25))/(LN(2)/25)*Calculateur!ER116*Calculateur!ET116*VLOOKUP('Données projet'!$B$15,Paramètres!$A$1:$I$89,3,0)*0.475*44/12</f>
        <v>14.761470446643683</v>
      </c>
      <c r="EX116" s="21">
        <f>EXP(-LN(2)/2)*EX115+(1-EXP(-LN(2)/2))/(LN(2)/2)*ER116*EU116*VLOOKUP('Données projet'!$B$15,Paramètres!$A$1:$I$89,3,0)*0.475*44/12</f>
        <v>0.44876472579115739</v>
      </c>
      <c r="EY116" s="22">
        <f t="shared" si="75"/>
        <v>26.371083352244376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-1.4897523215040567E-13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328.93328163316073</v>
      </c>
      <c r="FK116" s="59">
        <f t="shared" si="102"/>
        <v>320.27831321887072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23.968563424913771</v>
      </c>
      <c r="FR116" s="21">
        <f>EXP(-LN(2)/25)*FR115+(1-EXP(-LN(2)/25))/(LN(2)/25)*Calculateur!FM116*Calculateur!FO116*VLOOKUP('Données projet'!$B$16,Paramètres!$A$1:$I$89,3,0)*0.475*44/12</f>
        <v>18.630969934729219</v>
      </c>
      <c r="FS116" s="21">
        <f>EXP(-LN(2)/2)*FS115+(1-EXP(-LN(2)/2))/(LN(2)/2)*FM116*FP116*VLOOKUP('Données projet'!$B$16,Paramètres!$A$1:$I$89,3,0)*0.475*44/12</f>
        <v>6.1582691987053964E-4</v>
      </c>
      <c r="FT116" s="22">
        <f t="shared" si="78"/>
        <v>42.600149186562859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2.6923076923076907</v>
      </c>
      <c r="FZ116" s="12">
        <f>IF('Données projet'!$A$244&gt;35,FZ115+FY116-GH115,IF(A116&lt;'Données projet'!$A$244,$FW$205^A116,IF(A116='Données projet'!$A$244,'Données projet'!$B$244,FZ115+FY116-GH115)))</f>
        <v>177.94871794871796</v>
      </c>
      <c r="GA116" s="17">
        <f>FZ116*VLOOKUP('Données projet'!$B$17,Paramètres!$A$1:$I$89,3,0)*VLOOKUP('Données projet'!$B$17,Paramètres!$A$1:$I$89,5,0)</f>
        <v>119.36800000000002</v>
      </c>
      <c r="GB116" s="13">
        <f t="shared" si="103"/>
        <v>31.527550401783053</v>
      </c>
      <c r="GC116" s="20">
        <f t="shared" si="79"/>
        <v>262.80975028310553</v>
      </c>
      <c r="GD116" s="59">
        <f t="shared" si="80"/>
        <v>553.98611899168304</v>
      </c>
      <c r="GE116" s="59">
        <f ca="1">AVERAGE(OFFSET($GD$3,0,0,'Données projet'!$E$17+1,1))-AVERAGE(OFFSET($H$3,0,0,'Données projet'!$E$17+1,1))</f>
        <v>192.88444860121191</v>
      </c>
      <c r="GF116" s="59">
        <f t="shared" si="104"/>
        <v>136.13737493732751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9.1003839004600806</v>
      </c>
      <c r="GM116" s="21">
        <f>EXP(-LN(2)/25)*GM115+(1-EXP(-LN(2)/25))/(LN(2)/25)*Calculateur!GH116*Calculateur!GJ116*VLOOKUP('Données projet'!$B$17,Paramètres!$A$1:$I$89,3,0)*0.475*44/12</f>
        <v>12.036275902647926</v>
      </c>
      <c r="GN116" s="21">
        <f>EXP(-LN(2)/2)*GN115+(1-EXP(-LN(2)/2))/(LN(2)/2)*GH116*GK116*VLOOKUP('Données projet'!$B$17,Paramètres!$A$1:$I$89,3,0)*0.475*44/12</f>
        <v>0.29687512629261176</v>
      </c>
      <c r="GO116" s="21">
        <f t="shared" si="81"/>
        <v>21.433534929400619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69.41173692052115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0.85000000000000009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3.1166666666666671</v>
      </c>
      <c r="H117" s="67">
        <f t="shared" si="56"/>
        <v>244.19999999999996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1114.4927139116776</v>
      </c>
      <c r="S117" s="59">
        <f ca="1">AVERAGE(OFFSET($R$3,0,0,'Données projet'!$E$9+1,1))-AVERAGE(OFFSET($H$3,0,0,'Données projet'!$E$9+1,1))</f>
        <v>643.492472896403</v>
      </c>
      <c r="T117" s="59">
        <f t="shared" si="88"/>
        <v>285.0259479655341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-2.8421709430404007E-13</v>
      </c>
      <c r="AJ117" s="13">
        <f>AI117*VLOOKUP('Données projet'!$B$10,Paramètres!$A$1:$I$89,3,0)*VLOOKUP('Données projet'!$B$10,Paramètres!$A$1:$I$89,5,0)</f>
        <v>-2.2168933355715128E-13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289.89907502443873</v>
      </c>
      <c r="AO117" s="59">
        <f t="shared" si="90"/>
        <v>267.42183550360301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16.440798089159951</v>
      </c>
      <c r="AV117" s="21">
        <f>EXP(-LN(2)/25)*AV116+(1-EXP(-LN(2)/25))/(LN(2)/25)*Calculateur!AQ117*Calculateur!AS117*VLOOKUP('Données projet'!$B$10,Paramètres!$A$1:$I$89,3,0)*0.475*44/12</f>
        <v>13.290936436829876</v>
      </c>
      <c r="AW117" s="21">
        <f>EXP(-LN(2)/2)*AW116+(1-EXP(-LN(2)/2))/(LN(2)/2)*AQ117*AT117*VLOOKUP('Données projet'!$B$10,Paramètres!$A$1:$I$89,3,0)*0.475*44/12</f>
        <v>7.2094010055919345E-5</v>
      </c>
      <c r="AX117" s="21">
        <f t="shared" si="60"/>
        <v>29.731806619999883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1.9230769230769227</v>
      </c>
      <c r="BD117" s="12">
        <f>IF('Données projet'!$A$88&gt;35,BD116+BC117-BL116,IF(A117&lt;'Données projet'!$A$88,$BA$205^A117,IF(A117='Données projet'!$A$88,'Données projet'!$B$88,BD116+BC117-BL116)))</f>
        <v>117.30769230769222</v>
      </c>
      <c r="BE117" s="13">
        <f>BD117*VLOOKUP('Données projet'!$B$11,Paramètres!$A$1:$I$89,3,0)*VLOOKUP('Données projet'!$B$11,Paramètres!$A$1:$I$89,5,0)</f>
        <v>113.45999999999994</v>
      </c>
      <c r="BF117" s="13">
        <f t="shared" si="91"/>
        <v>30.144712387808749</v>
      </c>
      <c r="BG117" s="20">
        <f t="shared" si="61"/>
        <v>250.11154074210015</v>
      </c>
      <c r="BH117" s="59">
        <f t="shared" si="62"/>
        <v>541.32532796466671</v>
      </c>
      <c r="BI117" s="59">
        <f ca="1">AVERAGE(OFFSET($BH$3,0,0,'Données projet'!$E$11+1,1))-AVERAGE(OFFSET($H$3,0,0,'Données projet'!$E$11+1,1))</f>
        <v>177.54241137663234</v>
      </c>
      <c r="BJ117" s="59">
        <f t="shared" si="92"/>
        <v>114.71095021456071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14.126329065709525</v>
      </c>
      <c r="BR117" s="21">
        <f>EXP(-LN(2)/2)*BR116+(1-EXP(-LN(2)/2))/(LN(2)/2)*BL117*BO117*VLOOKUP('Données projet'!$B$11,Paramètres!$A$1:$I$89,3,0)*0.475*44/12</f>
        <v>0.35419242622580749</v>
      </c>
      <c r="BS117" s="22">
        <f t="shared" si="63"/>
        <v>14.480521491935333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1.9230769230769227</v>
      </c>
      <c r="BY117" s="12">
        <f>IF('Données projet'!$A$114&gt;35,BY116+BX117-CG116,IF(A117&lt;'Données projet'!$A$114,$BV$205^A117,IF(A117='Données projet'!$A$114,'Données projet'!$B$114,BY116+BX117-CG116)))</f>
        <v>117.30769230769222</v>
      </c>
      <c r="BZ117" s="13">
        <f>BY117*VLOOKUP('Données projet'!$B$12,Paramètres!$A$1:$I$89,3,0)*VLOOKUP('Données projet'!$B$12,Paramètres!$A$1:$I$89,5,0)</f>
        <v>126.2699999999999</v>
      </c>
      <c r="CA117" s="13">
        <f t="shared" si="93"/>
        <v>33.133010973389659</v>
      </c>
      <c r="CB117" s="20">
        <f t="shared" si="64"/>
        <v>277.62691077865344</v>
      </c>
      <c r="CC117" s="59">
        <f t="shared" si="65"/>
        <v>568.84069800122006</v>
      </c>
      <c r="CD117" s="59">
        <f ca="1">AVERAGE(OFFSET($CC$3,0,0,'Données projet'!$E$12+1,1))-AVERAGE(OFFSET($H$3,0,0,'Données projet'!$E$12+1,1))</f>
        <v>192.88977161349993</v>
      </c>
      <c r="CE117" s="59">
        <f t="shared" si="94"/>
        <v>122.91376861456772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15.721237186031571</v>
      </c>
      <c r="CM117" s="21">
        <f>EXP(-LN(2)/2)*CM116+(1-EXP(-LN(2)/2))/(LN(2)/2)*CG117*CJ117*VLOOKUP('Données projet'!$B$12,Paramètres!$A$1:$I$89,3,0)*0.475*44/12</f>
        <v>0.39418189370291468</v>
      </c>
      <c r="CN117" s="22">
        <f t="shared" si="66"/>
        <v>16.115419079734487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-8.5265128291212022E-14</v>
      </c>
      <c r="CU117" s="17">
        <f>CT117*VLOOKUP('Données projet'!$B$13,Paramètres!$A$1:$I$89,3,0)*VLOOKUP('Données projet'!$B$13,Paramètres!$A$1:$I$89,5,0)</f>
        <v>-6.9167072069831198E-14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163.16040389635825</v>
      </c>
      <c r="CZ117" s="59">
        <f t="shared" si="96"/>
        <v>138.57856782158811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8.3170969641183827</v>
      </c>
      <c r="DH117" s="21">
        <f>EXP(-LN(2)/2)*DH116+(1-EXP(-LN(2)/2))/(LN(2)/2)*DB117*DE117*VLOOKUP('Données projet'!$B$13,Paramètres!$A$1:$I$89,3,0)*0.475*44/12</f>
        <v>6.114518169734056E-3</v>
      </c>
      <c r="DI117" s="22">
        <f t="shared" si="69"/>
        <v>8.3232114822881176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8.2299999999999986</v>
      </c>
      <c r="DO117" s="12">
        <f>IF('Données projet'!$A$166&gt;35,DO116+DN117-DW116,IF(A117&lt;'Données projet'!$A$166,$DL$205^A117,IF(A117='Données projet'!$A$166,'Données projet'!$B$166,DO116+DN117-DW116)))</f>
        <v>420.31000000000006</v>
      </c>
      <c r="DP117" s="17">
        <f>DO117*VLOOKUP('Données projet'!$B$14,Paramètres!$A$1:$I$89,3,0)*VLOOKUP('Données projet'!$B$14,Paramètres!$A$1:$I$89,5,0)</f>
        <v>196.70508000000004</v>
      </c>
      <c r="DQ117" s="13">
        <f t="shared" si="97"/>
        <v>49.019345437069703</v>
      </c>
      <c r="DR117" s="20">
        <f t="shared" si="70"/>
        <v>427.97004096956312</v>
      </c>
      <c r="DS117" s="59">
        <f t="shared" si="71"/>
        <v>719.18382819212968</v>
      </c>
      <c r="DT117" s="59">
        <f ca="1">AVERAGE(OFFSET($DS$3,0,0,'Données projet'!$E$14+1,1))-AVERAGE(OFFSET($H$3,0,0,'Données projet'!$E$14+1,1))</f>
        <v>343.44193069803498</v>
      </c>
      <c r="DU117" s="59">
        <f t="shared" si="98"/>
        <v>280.67367019483481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62.329508574009736</v>
      </c>
      <c r="EB117" s="21">
        <f>EXP(-LN(2)/25)*EB116+(1-EXP(-LN(2)/25))/(LN(2)/25)*Calculateur!DW117*Calculateur!DY117*VLOOKUP('Données projet'!$B$14,Paramètres!$A$1:$I$89,3,0)*0.475*44/12</f>
        <v>19.875856323894567</v>
      </c>
      <c r="EC117" s="21">
        <f>EXP(-LN(2)/2)*EC116+(1-EXP(-LN(2)/2))/(LN(2)/2)*DW117*DZ117*VLOOKUP('Données projet'!$B$14,Paramètres!$A$1:$I$89,3,0)*0.475*44/12</f>
        <v>1.7542612538495539</v>
      </c>
      <c r="ED117" s="22">
        <f t="shared" si="72"/>
        <v>83.959626151753852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2.6923076923076907</v>
      </c>
      <c r="EJ117" s="12">
        <f>IF('Données projet'!$A$192&gt;35,EJ116+EI117-ER116,IF(A117&lt;'Données projet'!$A$192,$EG$205^A117,IF(A117='Données projet'!$A$192,'Données projet'!$B$192,EJ116+EI117-ER116)))</f>
        <v>180.64102564102564</v>
      </c>
      <c r="EK117" s="17">
        <f>EJ117*VLOOKUP('Données projet'!$B$15,Paramètres!$A$1:$I$89,3,0)*VLOOKUP('Données projet'!$B$15,Paramètres!$A$1:$I$89,5,0)</f>
        <v>183.17000000000002</v>
      </c>
      <c r="EL117" s="13">
        <f t="shared" si="99"/>
        <v>46.026734581852786</v>
      </c>
      <c r="EM117" s="20">
        <f t="shared" si="73"/>
        <v>399.1843127300603</v>
      </c>
      <c r="EN117" s="59">
        <f t="shared" si="74"/>
        <v>690.39809995262681</v>
      </c>
      <c r="EO117" s="59">
        <f ca="1">AVERAGE(OFFSET($EN$3,0,0,'Données projet'!$E$15+1,1))-AVERAGE(OFFSET($H$3,0,0,'Données projet'!$E$15+1,1))</f>
        <v>270.0029254736703</v>
      </c>
      <c r="EP117" s="59">
        <f t="shared" si="100"/>
        <v>183.80022202211441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10.941990754448684</v>
      </c>
      <c r="EW117" s="21">
        <f>EXP(-LN(2)/25)*EW116+(1-EXP(-LN(2)/25))/(LN(2)/25)*Calculateur!ER117*Calculateur!ET117*VLOOKUP('Données projet'!$B$15,Paramètres!$A$1:$I$89,3,0)*0.475*44/12</f>
        <v>14.357817261008218</v>
      </c>
      <c r="EX117" s="21">
        <f>EXP(-LN(2)/2)*EX116+(1-EXP(-LN(2)/2))/(LN(2)/2)*ER117*EU117*VLOOKUP('Données projet'!$B$15,Paramètres!$A$1:$I$89,3,0)*0.475*44/12</f>
        <v>0.31732458076424896</v>
      </c>
      <c r="EY117" s="22">
        <f t="shared" si="75"/>
        <v>25.617132596221154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-1.4897523215040567E-13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328.93328163316073</v>
      </c>
      <c r="FK117" s="59">
        <f t="shared" si="102"/>
        <v>320.27831321887072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23.498554515531357</v>
      </c>
      <c r="FR117" s="21">
        <f>EXP(-LN(2)/25)*FR116+(1-EXP(-LN(2)/25))/(LN(2)/25)*Calculateur!FM117*Calculateur!FO117*VLOOKUP('Données projet'!$B$16,Paramètres!$A$1:$I$89,3,0)*0.475*44/12</f>
        <v>18.121505082103923</v>
      </c>
      <c r="FS117" s="21">
        <f>EXP(-LN(2)/2)*FS116+(1-EXP(-LN(2)/2))/(LN(2)/2)*FM117*FP117*VLOOKUP('Données projet'!$B$16,Paramètres!$A$1:$I$89,3,0)*0.475*44/12</f>
        <v>4.3545539107768321E-4</v>
      </c>
      <c r="FT117" s="22">
        <f t="shared" si="78"/>
        <v>41.620495053026353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2.6923076923076907</v>
      </c>
      <c r="FZ117" s="12">
        <f>IF('Données projet'!$A$244&gt;35,FZ116+FY117-GH116,IF(A117&lt;'Données projet'!$A$244,$FW$205^A117,IF(A117='Données projet'!$A$244,'Données projet'!$B$244,FZ116+FY117-GH116)))</f>
        <v>180.64102564102564</v>
      </c>
      <c r="GA117" s="17">
        <f>FZ117*VLOOKUP('Données projet'!$B$17,Paramètres!$A$1:$I$89,3,0)*VLOOKUP('Données projet'!$B$17,Paramètres!$A$1:$I$89,5,0)</f>
        <v>121.17400000000001</v>
      </c>
      <c r="GB117" s="13">
        <f t="shared" si="103"/>
        <v>31.948660171331834</v>
      </c>
      <c r="GC117" s="20">
        <f t="shared" si="79"/>
        <v>266.68863313173625</v>
      </c>
      <c r="GD117" s="59">
        <f t="shared" si="80"/>
        <v>557.90242035430288</v>
      </c>
      <c r="GE117" s="59">
        <f ca="1">AVERAGE(OFFSET($GD$3,0,0,'Données projet'!$E$17+1,1))-AVERAGE(OFFSET($H$3,0,0,'Données projet'!$E$17+1,1))</f>
        <v>192.88444860121191</v>
      </c>
      <c r="GF117" s="59">
        <f t="shared" si="104"/>
        <v>136.13737493732751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8.9219309228581523</v>
      </c>
      <c r="GM117" s="21">
        <f>EXP(-LN(2)/25)*GM116+(1-EXP(-LN(2)/25))/(LN(2)/25)*Calculateur!GH117*Calculateur!GJ117*VLOOKUP('Données projet'!$B$17,Paramètres!$A$1:$I$89,3,0)*0.475*44/12</f>
        <v>11.707143305129778</v>
      </c>
      <c r="GN117" s="21">
        <f>EXP(-LN(2)/2)*GN116+(1-EXP(-LN(2)/2))/(LN(2)/2)*GH117*GK117*VLOOKUP('Données projet'!$B$17,Paramètres!$A$1:$I$89,3,0)*0.475*44/12</f>
        <v>0.2099224149671185</v>
      </c>
      <c r="GO117" s="21">
        <f t="shared" si="81"/>
        <v>20.838996642955046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69.421941969790879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0.85000000000000009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3.1166666666666671</v>
      </c>
      <c r="H118" s="67">
        <f t="shared" si="56"/>
        <v>244.19999999999996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1013.9732185182861</v>
      </c>
      <c r="S118" s="59">
        <f ca="1">AVERAGE(OFFSET($R$3,0,0,'Données projet'!$E$9+1,1))-AVERAGE(OFFSET($H$3,0,0,'Données projet'!$E$9+1,1))</f>
        <v>643.492472896403</v>
      </c>
      <c r="T118" s="59">
        <f t="shared" si="88"/>
        <v>285.0259479655341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-2.8421709430404007E-13</v>
      </c>
      <c r="AJ118" s="13">
        <f>AI118*VLOOKUP('Données projet'!$B$10,Paramètres!$A$1:$I$89,3,0)*VLOOKUP('Données projet'!$B$10,Paramètres!$A$1:$I$89,5,0)</f>
        <v>-2.2168933355715128E-13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289.89907502443873</v>
      </c>
      <c r="AO118" s="59">
        <f t="shared" si="90"/>
        <v>267.42183550360301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16.118404066528186</v>
      </c>
      <c r="AV118" s="21">
        <f>EXP(-LN(2)/25)*AV117+(1-EXP(-LN(2)/25))/(LN(2)/25)*Calculateur!AQ118*Calculateur!AS118*VLOOKUP('Données projet'!$B$10,Paramètres!$A$1:$I$89,3,0)*0.475*44/12</f>
        <v>12.927495081024793</v>
      </c>
      <c r="AW118" s="21">
        <f>EXP(-LN(2)/2)*AW117+(1-EXP(-LN(2)/2))/(LN(2)/2)*AQ118*AT118*VLOOKUP('Données projet'!$B$10,Paramètres!$A$1:$I$89,3,0)*0.475*44/12</f>
        <v>5.0978163393471718E-5</v>
      </c>
      <c r="AX118" s="21">
        <f t="shared" si="60"/>
        <v>29.045950125716374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119.23076923076923</v>
      </c>
      <c r="BB118" s="12">
        <f>VLOOKUP(A118,'Données projet'!$A$87:$I$107,9,0)</f>
        <v>1.9230769230769227</v>
      </c>
      <c r="BC118" s="12">
        <f t="array" ref="BC118">INDEX(BB:BB,MIN(IF(ISNUMBER(BB118:BB314),ROW(BB118:BB314),"")))</f>
        <v>1.9230769230769227</v>
      </c>
      <c r="BD118" s="12">
        <f>IF('Données projet'!$A$88&gt;35,BD117+BC118-BL117,IF(A118&lt;'Données projet'!$A$88,$BA$205^A118,IF(A118='Données projet'!$A$88,'Données projet'!$B$88,BD117+BC118-BL117)))</f>
        <v>119.23076923076914</v>
      </c>
      <c r="BE118" s="13">
        <f>BD118*VLOOKUP('Données projet'!$B$11,Paramètres!$A$1:$I$89,3,0)*VLOOKUP('Données projet'!$B$11,Paramètres!$A$1:$I$89,5,0)</f>
        <v>115.31999999999991</v>
      </c>
      <c r="BF118" s="13">
        <f t="shared" si="91"/>
        <v>30.580951868652893</v>
      </c>
      <c r="BG118" s="20">
        <f t="shared" si="61"/>
        <v>254.11082450457027</v>
      </c>
      <c r="BH118" s="59">
        <f t="shared" si="62"/>
        <v>545.36138111356343</v>
      </c>
      <c r="BI118" s="59">
        <f ca="1">AVERAGE(OFFSET($BH$3,0,0,'Données projet'!$E$11+1,1))-AVERAGE(OFFSET($H$3,0,0,'Données projet'!$E$11+1,1))</f>
        <v>177.54241137663234</v>
      </c>
      <c r="BJ118" s="59">
        <f t="shared" si="92"/>
        <v>114.71095021456071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6.4102564102564097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0.34400000000000003</v>
      </c>
      <c r="BO118" s="16">
        <f>IF(ISNA(VLOOKUP(A118,'Données projet'!$A$87:$I$107,7,0)),0%,VLOOKUP(A118,'Données projet'!$A$87:$I$107,7,0))</f>
        <v>0.2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16.088507730805425</v>
      </c>
      <c r="BR118" s="21">
        <f>EXP(-LN(2)/2)*BR117+(1-EXP(-LN(2)/2))/(LN(2)/2)*BL118*BO118*VLOOKUP('Données projet'!$B$11,Paramètres!$A$1:$I$89,3,0)*0.475*44/12</f>
        <v>1.4204252405398659</v>
      </c>
      <c r="BS118" s="22">
        <f t="shared" si="63"/>
        <v>17.508932971345292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119.23076923076923</v>
      </c>
      <c r="BW118" s="12">
        <f>VLOOKUP(A118,'Données projet'!$A$113:$I$133,9,0)</f>
        <v>1.9230769230769227</v>
      </c>
      <c r="BX118" s="12">
        <f t="array" ref="BX118">INDEX(BW:BW,MIN(IF(ISNUMBER(BW118:BW314),ROW(BW118:BW314),"")))</f>
        <v>1.9230769230769227</v>
      </c>
      <c r="BY118" s="12">
        <f>IF('Données projet'!$A$114&gt;35,BY117+BX118-CG117,IF(A118&lt;'Données projet'!$A$114,$BV$205^A118,IF(A118='Données projet'!$A$114,'Données projet'!$B$114,BY117+BX118-CG117)))</f>
        <v>119.23076923076914</v>
      </c>
      <c r="BZ118" s="13">
        <f>BY118*VLOOKUP('Données projet'!$B$12,Paramètres!$A$1:$I$89,3,0)*VLOOKUP('Données projet'!$B$12,Paramètres!$A$1:$I$89,5,0)</f>
        <v>128.33999999999989</v>
      </c>
      <c r="CA118" s="13">
        <f t="shared" si="93"/>
        <v>33.612495644528238</v>
      </c>
      <c r="CB118" s="20">
        <f t="shared" si="64"/>
        <v>282.06726324755317</v>
      </c>
      <c r="CC118" s="59">
        <f t="shared" si="65"/>
        <v>573.31781985654629</v>
      </c>
      <c r="CD118" s="59">
        <f ca="1">AVERAGE(OFFSET($CC$3,0,0,'Données projet'!$E$12+1,1))-AVERAGE(OFFSET($H$3,0,0,'Données projet'!$E$12+1,1))</f>
        <v>192.88977161349993</v>
      </c>
      <c r="CE118" s="59">
        <f t="shared" si="94"/>
        <v>122.91376861456772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6.4102564102564097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0.34400000000000003</v>
      </c>
      <c r="CJ118" s="16">
        <f>IF(ISNA(VLOOKUP(A118,'Données projet'!$A$113:$I$133,7,0)),0%,VLOOKUP(A118,'Données projet'!$A$113:$I$133,7,0))</f>
        <v>0.2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17.904952152025395</v>
      </c>
      <c r="CM118" s="21">
        <f>EXP(-LN(2)/2)*CM117+(1-EXP(-LN(2)/2))/(LN(2)/2)*CG118*CJ118*VLOOKUP('Données projet'!$B$12,Paramètres!$A$1:$I$89,3,0)*0.475*44/12</f>
        <v>1.5807958322137212</v>
      </c>
      <c r="CN118" s="22">
        <f t="shared" si="66"/>
        <v>19.485747984239115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-8.5265128291212022E-14</v>
      </c>
      <c r="CU118" s="17">
        <f>CT118*VLOOKUP('Données projet'!$B$13,Paramètres!$A$1:$I$89,3,0)*VLOOKUP('Données projet'!$B$13,Paramètres!$A$1:$I$89,5,0)</f>
        <v>-6.9167072069831198E-14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163.16040389635825</v>
      </c>
      <c r="CZ118" s="59">
        <f t="shared" si="96"/>
        <v>138.57856782158811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8.0896655102574453</v>
      </c>
      <c r="DH118" s="21">
        <f>EXP(-LN(2)/2)*DH117+(1-EXP(-LN(2)/2))/(LN(2)/2)*DB118*DE118*VLOOKUP('Données projet'!$B$13,Paramètres!$A$1:$I$89,3,0)*0.475*44/12</f>
        <v>4.3236172615073081E-3</v>
      </c>
      <c r="DI118" s="22">
        <f t="shared" si="69"/>
        <v>8.0939891275189524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8.2299999999999986</v>
      </c>
      <c r="DO118" s="12">
        <f>IF('Données projet'!$A$166&gt;35,DO117+DN118-DW117,IF(A118&lt;'Données projet'!$A$166,$DL$205^A118,IF(A118='Données projet'!$A$166,'Données projet'!$B$166,DO117+DN118-DW117)))</f>
        <v>428.54000000000008</v>
      </c>
      <c r="DP118" s="17">
        <f>DO118*VLOOKUP('Données projet'!$B$14,Paramètres!$A$1:$I$89,3,0)*VLOOKUP('Données projet'!$B$14,Paramètres!$A$1:$I$89,5,0)</f>
        <v>200.55672000000001</v>
      </c>
      <c r="DQ118" s="13">
        <f t="shared" si="97"/>
        <v>49.866498130238412</v>
      </c>
      <c r="DR118" s="20">
        <f t="shared" si="70"/>
        <v>436.15377157683184</v>
      </c>
      <c r="DS118" s="59">
        <f t="shared" si="71"/>
        <v>727.40432818582508</v>
      </c>
      <c r="DT118" s="59">
        <f ca="1">AVERAGE(OFFSET($DS$3,0,0,'Données projet'!$E$14+1,1))-AVERAGE(OFFSET($H$3,0,0,'Données projet'!$E$14+1,1))</f>
        <v>343.44193069803498</v>
      </c>
      <c r="DU118" s="59">
        <f t="shared" si="98"/>
        <v>280.67367019483481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61.107264928119747</v>
      </c>
      <c r="EB118" s="21">
        <f>EXP(-LN(2)/25)*EB117+(1-EXP(-LN(2)/25))/(LN(2)/25)*Calculateur!DW118*Calculateur!DY118*VLOOKUP('Données projet'!$B$14,Paramètres!$A$1:$I$89,3,0)*0.475*44/12</f>
        <v>19.332349987491813</v>
      </c>
      <c r="EC118" s="21">
        <f>EXP(-LN(2)/2)*EC117+(1-EXP(-LN(2)/2))/(LN(2)/2)*DW118*DZ118*VLOOKUP('Données projet'!$B$14,Paramètres!$A$1:$I$89,3,0)*0.475*44/12</f>
        <v>1.240450028569835</v>
      </c>
      <c r="ED118" s="22">
        <f t="shared" si="72"/>
        <v>81.680064944181396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183.33333333333331</v>
      </c>
      <c r="EH118" s="12">
        <f>VLOOKUP(A118,'Données projet'!$A$191:$I$211,9,0)</f>
        <v>2.6923076923076907</v>
      </c>
      <c r="EI118" s="12">
        <f t="array" ref="EI118">INDEX(EH:EH,MIN(IF(ISNUMBER(EH118:EH314),ROW(EH118:EH314),"")))</f>
        <v>2.6923076923076907</v>
      </c>
      <c r="EJ118" s="12">
        <f>IF('Données projet'!$A$192&gt;35,EJ117+EI118-ER117,IF(A118&lt;'Données projet'!$A$192,$EG$205^A118,IF(A118='Données projet'!$A$192,'Données projet'!$B$192,EJ117+EI118-ER117)))</f>
        <v>183.33333333333331</v>
      </c>
      <c r="EK118" s="17">
        <f>EJ118*VLOOKUP('Données projet'!$B$15,Paramètres!$A$1:$I$89,3,0)*VLOOKUP('Données projet'!$B$15,Paramètres!$A$1:$I$89,5,0)</f>
        <v>185.9</v>
      </c>
      <c r="EL118" s="13">
        <f t="shared" si="99"/>
        <v>46.632353408380837</v>
      </c>
      <c r="EM118" s="20">
        <f t="shared" si="73"/>
        <v>404.99384885292994</v>
      </c>
      <c r="EN118" s="59">
        <f t="shared" si="74"/>
        <v>696.24440546192318</v>
      </c>
      <c r="EO118" s="59">
        <f ca="1">AVERAGE(OFFSET($EN$3,0,0,'Données projet'!$E$15+1,1))-AVERAGE(OFFSET($H$3,0,0,'Données projet'!$E$15+1,1))</f>
        <v>270.0029254736703</v>
      </c>
      <c r="EP118" s="59">
        <f t="shared" si="100"/>
        <v>183.80022202211441</v>
      </c>
      <c r="EQ118" s="15">
        <f>IF(ISNA(VLOOKUP(A118,'Données projet'!$A$191:$I$211,3,0)),0,VLOOKUP(A118,'Données projet'!$A$191:$I$211,3,0))</f>
        <v>20</v>
      </c>
      <c r="ER118" s="15">
        <f>IF(ISNA(VLOOKUP(A118,'Données projet'!$A$191:$I$211,4,0)),0,VLOOKUP(A118,'Données projet'!$A$191:$I$211,4,0))</f>
        <v>10.256410256410255</v>
      </c>
      <c r="ES118" s="16">
        <f>IF(ISNA(VLOOKUP(A118,'Données projet'!$A$191:$I$211,5,0)),0%,VLOOKUP(A118,'Données projet'!$A$191:$I$211,5,0)*VLOOKUP('Données projet'!$B$15,Paramètres!$A$1:$I$89,7,0))</f>
        <v>0.15049999999999999</v>
      </c>
      <c r="ET118" s="16">
        <f>IF(ISNA(VLOOKUP(A118,'Données projet'!$A$191:$I$211,6,0)),0%,VLOOKUP(A118,'Données projet'!$A$191:$I$211,6,0)*VLOOKUP('Données projet'!$B$15,Paramètres!$A$1:$I$89,7,0))</f>
        <v>8.6000000000000007E-2</v>
      </c>
      <c r="EU118" s="16">
        <f>IF(ISNA(VLOOKUP(A118,'Données projet'!$A$191:$I$211,7,0)),0%,VLOOKUP(A118,'Données projet'!$A$191:$I$211,7,0))</f>
        <v>0.1</v>
      </c>
      <c r="EV118" s="21">
        <f>EXP(-LN(2)/35)*EV117+(1-EXP(-LN(2)/35))/(LN(2)/35)*ER118*ES118*VLOOKUP('Données projet'!$B$15,Paramètres!$A$1:$I$89,3,0)*0.475*44/12</f>
        <v>12.45770722775428</v>
      </c>
      <c r="EW118" s="21">
        <f>EXP(-LN(2)/25)*EW117+(1-EXP(-LN(2)/25))/(LN(2)/25)*Calculateur!ER118*Calculateur!ET118*VLOOKUP('Données projet'!$B$15,Paramètres!$A$1:$I$89,3,0)*0.475*44/12</f>
        <v>14.950041683009481</v>
      </c>
      <c r="EX118" s="21">
        <f>EXP(-LN(2)/2)*EX117+(1-EXP(-LN(2)/2))/(LN(2)/2)*ER118*EU118*VLOOKUP('Données projet'!$B$15,Paramètres!$A$1:$I$89,3,0)*0.475*44/12</f>
        <v>1.2056503540851824</v>
      </c>
      <c r="EY118" s="22">
        <f t="shared" si="75"/>
        <v>28.613399264848944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-1.4897523215040567E-13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328.93328163316073</v>
      </c>
      <c r="FK118" s="59">
        <f t="shared" si="102"/>
        <v>320.27831321887072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23.037762194184804</v>
      </c>
      <c r="FR118" s="21">
        <f>EXP(-LN(2)/25)*FR117+(1-EXP(-LN(2)/25))/(LN(2)/25)*Calculateur!FM118*Calculateur!FO118*VLOOKUP('Données projet'!$B$16,Paramètres!$A$1:$I$89,3,0)*0.475*44/12</f>
        <v>17.625971572665257</v>
      </c>
      <c r="FS118" s="21">
        <f>EXP(-LN(2)/2)*FS117+(1-EXP(-LN(2)/2))/(LN(2)/2)*FM118*FP118*VLOOKUP('Données projet'!$B$16,Paramètres!$A$1:$I$89,3,0)*0.475*44/12</f>
        <v>3.0791345993526982E-4</v>
      </c>
      <c r="FT118" s="22">
        <f t="shared" si="78"/>
        <v>40.664041680309992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>
        <f>VLOOKUP(A118,'Données projet'!$A$243:$I$263,2,0)</f>
        <v>183.33333333333331</v>
      </c>
      <c r="FX118" s="12">
        <f>VLOOKUP(A118,'Données projet'!$A$243:$I$263,9,0)</f>
        <v>2.6923076923076907</v>
      </c>
      <c r="FY118" s="12">
        <f t="array" ref="FY118">INDEX(FX:FX,MIN(IF(ISNUMBER(FX118:FX314),ROW(FX118:FX314),"")))</f>
        <v>2.6923076923076907</v>
      </c>
      <c r="FZ118" s="12">
        <f>IF('Données projet'!$A$244&gt;35,FZ117+FY118-GH117,IF(A118&lt;'Données projet'!$A$244,$FW$205^A118,IF(A118='Données projet'!$A$244,'Données projet'!$B$244,FZ117+FY118-GH117)))</f>
        <v>183.33333333333331</v>
      </c>
      <c r="GA118" s="17">
        <f>FZ118*VLOOKUP('Données projet'!$B$17,Paramètres!$A$1:$I$89,3,0)*VLOOKUP('Données projet'!$B$17,Paramètres!$A$1:$I$89,5,0)</f>
        <v>122.97999999999999</v>
      </c>
      <c r="GB118" s="13">
        <f t="shared" si="103"/>
        <v>32.369039984453188</v>
      </c>
      <c r="GC118" s="20">
        <f t="shared" si="79"/>
        <v>270.56624463958929</v>
      </c>
      <c r="GD118" s="59">
        <f t="shared" si="80"/>
        <v>561.81680124858246</v>
      </c>
      <c r="GE118" s="59">
        <f ca="1">AVERAGE(OFFSET($GD$3,0,0,'Données projet'!$E$17+1,1))-AVERAGE(OFFSET($H$3,0,0,'Données projet'!$E$17+1,1))</f>
        <v>192.88444860121191</v>
      </c>
      <c r="GF118" s="59">
        <f t="shared" si="104"/>
        <v>136.13737493732751</v>
      </c>
      <c r="GG118" s="15">
        <f>IF(ISNA(VLOOKUP(A118,'Données projet'!$A$243:$I$263,3,0)),0,VLOOKUP(A118,'Données projet'!$A$243:$I$263,3,0))</f>
        <v>20</v>
      </c>
      <c r="GH118" s="15">
        <f>IF(ISNA(VLOOKUP(A118,'Données projet'!$A$243:$I$263,4,0)),0,VLOOKUP(A118,'Données projet'!$A$243:$I$263,4,0))</f>
        <v>10.256410256410255</v>
      </c>
      <c r="GI118" s="16">
        <f>IF(ISNA(VLOOKUP(A118,'Données projet'!$A$243:$I$263,5,0)),0%,VLOOKUP(A118,'Données projet'!$A$243:$I$263,5,0)*VLOOKUP('Données projet'!$B$17,Paramètres!$A$1:$I$89,7,0))</f>
        <v>0.1855</v>
      </c>
      <c r="GJ118" s="16">
        <f>IF(ISNA(VLOOKUP(A118,'Données projet'!$A$243:$I$263,6,0)),0%,VLOOKUP(A118,'Données projet'!$A$243:$I$263,6,0)*VLOOKUP('Données projet'!$B$17,Paramètres!$A$1:$I$89,7,0))</f>
        <v>0.10600000000000001</v>
      </c>
      <c r="GK118" s="16">
        <f>IF(ISNA(VLOOKUP(A118,'Données projet'!$A$243:$I$263,7,0)),0%,VLOOKUP(A118,'Données projet'!$A$243:$I$263,7,0))</f>
        <v>0.1</v>
      </c>
      <c r="GL118" s="21">
        <f>EXP(-LN(2)/35)*GL117+(1-EXP(-LN(2)/35))/(LN(2)/35)*GH118*GI118*VLOOKUP('Données projet'!$B$17,Paramètres!$A$1:$I$89,3,0)*0.475*44/12</f>
        <v>10.15782281647656</v>
      </c>
      <c r="GM118" s="21">
        <f>EXP(-LN(2)/25)*GM117+(1-EXP(-LN(2)/25))/(LN(2)/25)*Calculateur!GH118*Calculateur!GJ118*VLOOKUP('Données projet'!$B$17,Paramètres!$A$1:$I$89,3,0)*0.475*44/12</f>
        <v>12.190033987684652</v>
      </c>
      <c r="GN118" s="21">
        <f>EXP(-LN(2)/2)*GN117+(1-EXP(-LN(2)/2))/(LN(2)/2)*GH118*GK118*VLOOKUP('Données projet'!$B$17,Paramètres!$A$1:$I$89,3,0)*0.475*44/12</f>
        <v>0.79758408039481288</v>
      </c>
      <c r="GO118" s="21">
        <f t="shared" si="81"/>
        <v>23.145440884556024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69.431969984270864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0.85000000000000009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3.1166666666666671</v>
      </c>
      <c r="H119" s="67">
        <f t="shared" si="56"/>
        <v>244.19999999999996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1030.9623516153599</v>
      </c>
      <c r="S119" s="59">
        <f ca="1">AVERAGE(OFFSET($R$3,0,0,'Données projet'!$E$9+1,1))-AVERAGE(OFFSET($H$3,0,0,'Données projet'!$E$9+1,1))</f>
        <v>643.492472896403</v>
      </c>
      <c r="T119" s="59">
        <f t="shared" si="88"/>
        <v>285.0259479655341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-2.8421709430404007E-13</v>
      </c>
      <c r="AJ119" s="13">
        <f>AI119*VLOOKUP('Données projet'!$B$10,Paramètres!$A$1:$I$89,3,0)*VLOOKUP('Données projet'!$B$10,Paramètres!$A$1:$I$89,5,0)</f>
        <v>-2.2168933355715128E-13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289.89907502443873</v>
      </c>
      <c r="AO119" s="59">
        <f t="shared" si="90"/>
        <v>267.42183550360301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15.802331994039292</v>
      </c>
      <c r="AV119" s="21">
        <f>EXP(-LN(2)/25)*AV118+(1-EXP(-LN(2)/25))/(LN(2)/25)*Calculateur!AQ119*Calculateur!AS119*VLOOKUP('Données projet'!$B$10,Paramètres!$A$1:$I$89,3,0)*0.475*44/12</f>
        <v>12.573992048206749</v>
      </c>
      <c r="AW119" s="21">
        <f>EXP(-LN(2)/2)*AW118+(1-EXP(-LN(2)/2))/(LN(2)/2)*AQ119*AT119*VLOOKUP('Données projet'!$B$10,Paramètres!$A$1:$I$89,3,0)*0.475*44/12</f>
        <v>3.6047005027959673E-5</v>
      </c>
      <c r="AX119" s="21">
        <f t="shared" si="60"/>
        <v>28.376360089251069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1.9230769230769227</v>
      </c>
      <c r="BD119" s="12">
        <f>IF('Données projet'!$A$88&gt;35,BD118+BC119-BL118,IF(A119&lt;'Données projet'!$A$88,$BA$205^A119,IF(A119='Données projet'!$A$88,'Données projet'!$B$88,BD118+BC119-BL118)))</f>
        <v>114.74358974358965</v>
      </c>
      <c r="BE119" s="13">
        <f>BD119*VLOOKUP('Données projet'!$B$11,Paramètres!$A$1:$I$89,3,0)*VLOOKUP('Données projet'!$B$11,Paramètres!$A$1:$I$89,5,0)</f>
        <v>110.9799999999999</v>
      </c>
      <c r="BF119" s="13">
        <f t="shared" si="91"/>
        <v>29.561760889846717</v>
      </c>
      <c r="BG119" s="20">
        <f t="shared" si="61"/>
        <v>244.77690021648286</v>
      </c>
      <c r="BH119" s="59">
        <f t="shared" si="62"/>
        <v>536.06358834525213</v>
      </c>
      <c r="BI119" s="59">
        <f ca="1">AVERAGE(OFFSET($BH$3,0,0,'Données projet'!$E$11+1,1))-AVERAGE(OFFSET($H$3,0,0,'Données projet'!$E$11+1,1))</f>
        <v>177.54241137663234</v>
      </c>
      <c r="BJ119" s="59">
        <f t="shared" si="92"/>
        <v>114.71095021456071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15.648566640848699</v>
      </c>
      <c r="BR119" s="21">
        <f>EXP(-LN(2)/2)*BR118+(1-EXP(-LN(2)/2))/(LN(2)/2)*BL119*BO119*VLOOKUP('Données projet'!$B$11,Paramètres!$A$1:$I$89,3,0)*0.475*44/12</f>
        <v>1.0043923197542721</v>
      </c>
      <c r="BS119" s="22">
        <f t="shared" si="63"/>
        <v>16.652958960602973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1.9230769230769227</v>
      </c>
      <c r="BY119" s="12">
        <f>IF('Données projet'!$A$114&gt;35,BY118+BX119-CG118,IF(A119&lt;'Données projet'!$A$114,$BV$205^A119,IF(A119='Données projet'!$A$114,'Données projet'!$B$114,BY118+BX119-CG118)))</f>
        <v>114.74358974358965</v>
      </c>
      <c r="BZ119" s="13">
        <f>BY119*VLOOKUP('Données projet'!$B$12,Paramètres!$A$1:$I$89,3,0)*VLOOKUP('Données projet'!$B$12,Paramètres!$A$1:$I$89,5,0)</f>
        <v>123.50999999999989</v>
      </c>
      <c r="CA119" s="13">
        <f t="shared" si="93"/>
        <v>32.492270463729284</v>
      </c>
      <c r="CB119" s="20">
        <f t="shared" si="64"/>
        <v>271.70395439099497</v>
      </c>
      <c r="CC119" s="59">
        <f t="shared" si="65"/>
        <v>562.99064251976426</v>
      </c>
      <c r="CD119" s="59">
        <f ca="1">AVERAGE(OFFSET($CC$3,0,0,'Données projet'!$E$12+1,1))-AVERAGE(OFFSET($H$3,0,0,'Données projet'!$E$12+1,1))</f>
        <v>192.88977161349993</v>
      </c>
      <c r="CE119" s="59">
        <f t="shared" si="94"/>
        <v>122.91376861456772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17.415340293847748</v>
      </c>
      <c r="CM119" s="21">
        <f>EXP(-LN(2)/2)*CM118+(1-EXP(-LN(2)/2))/(LN(2)/2)*CG119*CJ119*VLOOKUP('Données projet'!$B$12,Paramètres!$A$1:$I$89,3,0)*0.475*44/12</f>
        <v>1.1177914526297541</v>
      </c>
      <c r="CN119" s="22">
        <f t="shared" si="66"/>
        <v>18.533131746477501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-8.5265128291212022E-14</v>
      </c>
      <c r="CU119" s="17">
        <f>CT119*VLOOKUP('Données projet'!$B$13,Paramètres!$A$1:$I$89,3,0)*VLOOKUP('Données projet'!$B$13,Paramètres!$A$1:$I$89,5,0)</f>
        <v>-6.9167072069831198E-14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163.16040389635825</v>
      </c>
      <c r="CZ119" s="59">
        <f t="shared" si="96"/>
        <v>138.57856782158811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7.8684531814624359</v>
      </c>
      <c r="DH119" s="21">
        <f>EXP(-LN(2)/2)*DH118+(1-EXP(-LN(2)/2))/(LN(2)/2)*DB119*DE119*VLOOKUP('Données projet'!$B$13,Paramètres!$A$1:$I$89,3,0)*0.475*44/12</f>
        <v>3.057259084867028E-3</v>
      </c>
      <c r="DI119" s="22">
        <f t="shared" si="69"/>
        <v>7.8715104405473033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8.2299999999999986</v>
      </c>
      <c r="DO119" s="12">
        <f>IF('Données projet'!$A$166&gt;35,DO118+DN119-DW118,IF(A119&lt;'Données projet'!$A$166,$DL$205^A119,IF(A119='Données projet'!$A$166,'Données projet'!$B$166,DO118+DN119-DW118)))</f>
        <v>436.7700000000001</v>
      </c>
      <c r="DP119" s="17">
        <f>DO119*VLOOKUP('Données projet'!$B$14,Paramètres!$A$1:$I$89,3,0)*VLOOKUP('Données projet'!$B$14,Paramètres!$A$1:$I$89,5,0)</f>
        <v>204.40836000000004</v>
      </c>
      <c r="DQ119" s="13">
        <f t="shared" si="97"/>
        <v>50.71175906339802</v>
      </c>
      <c r="DR119" s="20">
        <f t="shared" si="70"/>
        <v>444.33420736875161</v>
      </c>
      <c r="DS119" s="59">
        <f t="shared" si="71"/>
        <v>735.62089549752091</v>
      </c>
      <c r="DT119" s="59">
        <f ca="1">AVERAGE(OFFSET($DS$3,0,0,'Données projet'!$E$14+1,1))-AVERAGE(OFFSET($H$3,0,0,'Données projet'!$E$14+1,1))</f>
        <v>343.44193069803498</v>
      </c>
      <c r="DU119" s="59">
        <f t="shared" si="98"/>
        <v>280.67367019483481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59.908988734630647</v>
      </c>
      <c r="EB119" s="21">
        <f>EXP(-LN(2)/25)*EB118+(1-EXP(-LN(2)/25))/(LN(2)/25)*Calculateur!DW119*Calculateur!DY119*VLOOKUP('Données projet'!$B$14,Paramètres!$A$1:$I$89,3,0)*0.475*44/12</f>
        <v>18.803705860439749</v>
      </c>
      <c r="EC119" s="21">
        <f>EXP(-LN(2)/2)*EC118+(1-EXP(-LN(2)/2))/(LN(2)/2)*DW119*DZ119*VLOOKUP('Données projet'!$B$14,Paramètres!$A$1:$I$89,3,0)*0.475*44/12</f>
        <v>0.87713062692477695</v>
      </c>
      <c r="ED119" s="22">
        <f t="shared" si="72"/>
        <v>79.58982522199517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173.07692307692307</v>
      </c>
      <c r="EK119" s="17">
        <f>EJ119*VLOOKUP('Données projet'!$B$15,Paramètres!$A$1:$I$89,3,0)*VLOOKUP('Données projet'!$B$15,Paramètres!$A$1:$I$89,5,0)</f>
        <v>175.5</v>
      </c>
      <c r="EL119" s="13">
        <f t="shared" si="99"/>
        <v>44.319548641773906</v>
      </c>
      <c r="EM119" s="20">
        <f t="shared" si="73"/>
        <v>382.85238055108954</v>
      </c>
      <c r="EN119" s="59">
        <f t="shared" si="74"/>
        <v>674.13906867985884</v>
      </c>
      <c r="EO119" s="59">
        <f ca="1">AVERAGE(OFFSET($EN$3,0,0,'Données projet'!$E$15+1,1))-AVERAGE(OFFSET($H$3,0,0,'Données projet'!$E$15+1,1))</f>
        <v>270.0029254736703</v>
      </c>
      <c r="EP119" s="59">
        <f t="shared" si="100"/>
        <v>183.80022202211441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12.213419187469142</v>
      </c>
      <c r="EW119" s="21">
        <f>EXP(-LN(2)/25)*EW118+(1-EXP(-LN(2)/25))/(LN(2)/25)*Calculateur!ER119*Calculateur!ET119*VLOOKUP('Données projet'!$B$15,Paramètres!$A$1:$I$89,3,0)*0.475*44/12</f>
        <v>14.541232006999063</v>
      </c>
      <c r="EX119" s="21">
        <f>EXP(-LN(2)/2)*EX118+(1-EXP(-LN(2)/2))/(LN(2)/2)*ER119*EU119*VLOOKUP('Données projet'!$B$15,Paramètres!$A$1:$I$89,3,0)*0.475*44/12</f>
        <v>0.85252354111359463</v>
      </c>
      <c r="EY119" s="22">
        <f t="shared" si="75"/>
        <v>27.6071747355818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-1.4897523215040567E-13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328.93328163316073</v>
      </c>
      <c r="FK119" s="59">
        <f t="shared" si="102"/>
        <v>320.27831321887072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22.586005729204295</v>
      </c>
      <c r="FR119" s="21">
        <f>EXP(-LN(2)/25)*FR118+(1-EXP(-LN(2)/25))/(LN(2)/25)*Calculateur!FM119*Calculateur!FO119*VLOOKUP('Données projet'!$B$16,Paramètres!$A$1:$I$89,3,0)*0.475*44/12</f>
        <v>17.143988453101166</v>
      </c>
      <c r="FS119" s="21">
        <f>EXP(-LN(2)/2)*FS118+(1-EXP(-LN(2)/2))/(LN(2)/2)*FM119*FP119*VLOOKUP('Données projet'!$B$16,Paramètres!$A$1:$I$89,3,0)*0.475*44/12</f>
        <v>2.1772769553884161E-4</v>
      </c>
      <c r="FT119" s="22">
        <f t="shared" si="78"/>
        <v>39.730211910001003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173.07692307692307</v>
      </c>
      <c r="GA119" s="17">
        <f>FZ119*VLOOKUP('Données projet'!$B$17,Paramètres!$A$1:$I$89,3,0)*VLOOKUP('Données projet'!$B$17,Paramètres!$A$1:$I$89,5,0)</f>
        <v>116.1</v>
      </c>
      <c r="GB119" s="13">
        <f t="shared" si="103"/>
        <v>30.763646636385982</v>
      </c>
      <c r="GC119" s="20">
        <f t="shared" si="79"/>
        <v>255.78751789170556</v>
      </c>
      <c r="GD119" s="59">
        <f t="shared" si="80"/>
        <v>547.07420602047489</v>
      </c>
      <c r="GE119" s="59">
        <f ca="1">AVERAGE(OFFSET($GD$3,0,0,'Données projet'!$E$17+1,1))-AVERAGE(OFFSET($H$3,0,0,'Données projet'!$E$17+1,1))</f>
        <v>192.88444860121191</v>
      </c>
      <c r="GF119" s="59">
        <f t="shared" si="104"/>
        <v>136.13737493732751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9.9586341067056026</v>
      </c>
      <c r="GM119" s="21">
        <f>EXP(-LN(2)/25)*GM118+(1-EXP(-LN(2)/25))/(LN(2)/25)*Calculateur!GH119*Calculateur!GJ119*VLOOKUP('Données projet'!$B$17,Paramètres!$A$1:$I$89,3,0)*0.475*44/12</f>
        <v>11.856696867245388</v>
      </c>
      <c r="GN119" s="21">
        <f>EXP(-LN(2)/2)*GN118+(1-EXP(-LN(2)/2))/(LN(2)/2)*GH119*GK119*VLOOKUP('Données projet'!$B$17,Paramètres!$A$1:$I$89,3,0)*0.475*44/12</f>
        <v>0.56397711181360877</v>
      </c>
      <c r="GO119" s="21">
        <f t="shared" si="81"/>
        <v>22.379308085764603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69.441824035118898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0.85000000000000009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3.1166666666666671</v>
      </c>
      <c r="H120" s="67">
        <f t="shared" si="56"/>
        <v>244.19999999999996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1047.9429515980949</v>
      </c>
      <c r="S120" s="59">
        <f ca="1">AVERAGE(OFFSET($R$3,0,0,'Données projet'!$E$9+1,1))-AVERAGE(OFFSET($H$3,0,0,'Données projet'!$E$9+1,1))</f>
        <v>643.492472896403</v>
      </c>
      <c r="T120" s="59">
        <f t="shared" si="88"/>
        <v>285.0259479655341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-2.8421709430404007E-13</v>
      </c>
      <c r="AJ120" s="13">
        <f>AI120*VLOOKUP('Données projet'!$B$10,Paramètres!$A$1:$I$89,3,0)*VLOOKUP('Données projet'!$B$10,Paramètres!$A$1:$I$89,5,0)</f>
        <v>-2.2168933355715128E-13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289.89907502443873</v>
      </c>
      <c r="AO120" s="59">
        <f t="shared" si="90"/>
        <v>267.42183550360301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15.492457902106977</v>
      </c>
      <c r="AV120" s="21">
        <f>EXP(-LN(2)/25)*AV119+(1-EXP(-LN(2)/25))/(LN(2)/25)*Calculateur!AQ120*Calculateur!AS120*VLOOKUP('Données projet'!$B$10,Paramètres!$A$1:$I$89,3,0)*0.475*44/12</f>
        <v>12.230155574411032</v>
      </c>
      <c r="AW120" s="21">
        <f>EXP(-LN(2)/2)*AW119+(1-EXP(-LN(2)/2))/(LN(2)/2)*AQ120*AT120*VLOOKUP('Données projet'!$B$10,Paramètres!$A$1:$I$89,3,0)*0.475*44/12</f>
        <v>2.5489081696735859E-5</v>
      </c>
      <c r="AX120" s="21">
        <f t="shared" si="60"/>
        <v>27.722638965599707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1.9230769230769227</v>
      </c>
      <c r="BD120" s="12">
        <f>IF('Données projet'!$A$88&gt;35,BD119+BC120-BL119,IF(A120&lt;'Données projet'!$A$88,$BA$205^A120,IF(A120='Données projet'!$A$88,'Données projet'!$B$88,BD119+BC120-BL119)))</f>
        <v>116.66666666666657</v>
      </c>
      <c r="BE120" s="13">
        <f>BD120*VLOOKUP('Données projet'!$B$11,Paramètres!$A$1:$I$89,3,0)*VLOOKUP('Données projet'!$B$11,Paramètres!$A$1:$I$89,5,0)</f>
        <v>112.8399999999999</v>
      </c>
      <c r="BF120" s="13">
        <f t="shared" si="91"/>
        <v>29.999114812829497</v>
      </c>
      <c r="BG120" s="20">
        <f t="shared" si="61"/>
        <v>248.77812496567788</v>
      </c>
      <c r="BH120" s="59">
        <f t="shared" si="62"/>
        <v>540.10031781313319</v>
      </c>
      <c r="BI120" s="59">
        <f ca="1">AVERAGE(OFFSET($BH$3,0,0,'Données projet'!$E$11+1,1))-AVERAGE(OFFSET($H$3,0,0,'Données projet'!$E$11+1,1))</f>
        <v>177.54241137663234</v>
      </c>
      <c r="BJ120" s="59">
        <f t="shared" si="92"/>
        <v>114.71095021456071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15.220655763132337</v>
      </c>
      <c r="BR120" s="21">
        <f>EXP(-LN(2)/2)*BR119+(1-EXP(-LN(2)/2))/(LN(2)/2)*BL120*BO120*VLOOKUP('Données projet'!$B$11,Paramètres!$A$1:$I$89,3,0)*0.475*44/12</f>
        <v>0.71021262026993304</v>
      </c>
      <c r="BS120" s="22">
        <f t="shared" si="63"/>
        <v>15.93086838340227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1.9230769230769227</v>
      </c>
      <c r="BY120" s="12">
        <f>IF('Données projet'!$A$114&gt;35,BY119+BX120-CG119,IF(A120&lt;'Données projet'!$A$114,$BV$205^A120,IF(A120='Données projet'!$A$114,'Données projet'!$B$114,BY119+BX120-CG119)))</f>
        <v>116.66666666666657</v>
      </c>
      <c r="BZ120" s="13">
        <f>BY120*VLOOKUP('Données projet'!$B$12,Paramètres!$A$1:$I$89,3,0)*VLOOKUP('Données projet'!$B$12,Paramètres!$A$1:$I$89,5,0)</f>
        <v>125.5799999999999</v>
      </c>
      <c r="CA120" s="13">
        <f t="shared" si="93"/>
        <v>32.972980053624184</v>
      </c>
      <c r="CB120" s="20">
        <f t="shared" si="64"/>
        <v>276.14644026006192</v>
      </c>
      <c r="CC120" s="59">
        <f t="shared" si="65"/>
        <v>567.46863310751723</v>
      </c>
      <c r="CD120" s="59">
        <f ca="1">AVERAGE(OFFSET($CC$3,0,0,'Données projet'!$E$12+1,1))-AVERAGE(OFFSET($H$3,0,0,'Données projet'!$E$12+1,1))</f>
        <v>192.88977161349993</v>
      </c>
      <c r="CE120" s="59">
        <f t="shared" si="94"/>
        <v>122.91376861456772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16.93911689767954</v>
      </c>
      <c r="CM120" s="21">
        <f>EXP(-LN(2)/2)*CM119+(1-EXP(-LN(2)/2))/(LN(2)/2)*CG120*CJ120*VLOOKUP('Données projet'!$B$12,Paramètres!$A$1:$I$89,3,0)*0.475*44/12</f>
        <v>0.79039791610686072</v>
      </c>
      <c r="CN120" s="22">
        <f t="shared" si="66"/>
        <v>17.729514813786402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-8.5265128291212022E-14</v>
      </c>
      <c r="CU120" s="17">
        <f>CT120*VLOOKUP('Données projet'!$B$13,Paramètres!$A$1:$I$89,3,0)*VLOOKUP('Données projet'!$B$13,Paramètres!$A$1:$I$89,5,0)</f>
        <v>-6.9167072069831198E-14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163.16040389635825</v>
      </c>
      <c r="CZ120" s="59">
        <f t="shared" si="96"/>
        <v>138.57856782158811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7.653289915431376</v>
      </c>
      <c r="DH120" s="21">
        <f>EXP(-LN(2)/2)*DH119+(1-EXP(-LN(2)/2))/(LN(2)/2)*DB120*DE120*VLOOKUP('Données projet'!$B$13,Paramètres!$A$1:$I$89,3,0)*0.475*44/12</f>
        <v>2.161808630753654E-3</v>
      </c>
      <c r="DI120" s="22">
        <f t="shared" si="69"/>
        <v>7.6554517240621296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8.2299999999999986</v>
      </c>
      <c r="DO120" s="12">
        <f>IF('Données projet'!$A$166&gt;35,DO119+DN120-DW119,IF(A120&lt;'Données projet'!$A$166,$DL$205^A120,IF(A120='Données projet'!$A$166,'Données projet'!$B$166,DO119+DN120-DW119)))</f>
        <v>445.00000000000011</v>
      </c>
      <c r="DP120" s="17">
        <f>DO120*VLOOKUP('Données projet'!$B$14,Paramètres!$A$1:$I$89,3,0)*VLOOKUP('Données projet'!$B$14,Paramètres!$A$1:$I$89,5,0)</f>
        <v>208.26000000000008</v>
      </c>
      <c r="DQ120" s="13">
        <f t="shared" si="97"/>
        <v>51.555167993086684</v>
      </c>
      <c r="DR120" s="20">
        <f t="shared" si="70"/>
        <v>452.51141758795944</v>
      </c>
      <c r="DS120" s="59">
        <f t="shared" si="71"/>
        <v>743.83361043541481</v>
      </c>
      <c r="DT120" s="59">
        <f ca="1">AVERAGE(OFFSET($DS$3,0,0,'Données projet'!$E$14+1,1))-AVERAGE(OFFSET($H$3,0,0,'Données projet'!$E$14+1,1))</f>
        <v>343.44193069803498</v>
      </c>
      <c r="DU120" s="59">
        <f t="shared" si="98"/>
        <v>280.67367019483481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58.734210006419559</v>
      </c>
      <c r="EB120" s="21">
        <f>EXP(-LN(2)/25)*EB119+(1-EXP(-LN(2)/25))/(LN(2)/25)*Calculateur!DW120*Calculateur!DY120*VLOOKUP('Données projet'!$B$14,Paramètres!$A$1:$I$89,3,0)*0.475*44/12</f>
        <v>18.289517534842108</v>
      </c>
      <c r="EC120" s="21">
        <f>EXP(-LN(2)/2)*EC119+(1-EXP(-LN(2)/2))/(LN(2)/2)*DW120*DZ120*VLOOKUP('Données projet'!$B$14,Paramètres!$A$1:$I$89,3,0)*0.475*44/12</f>
        <v>0.6202250142849175</v>
      </c>
      <c r="ED120" s="22">
        <f t="shared" si="72"/>
        <v>77.643952555546576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173.07692307692307</v>
      </c>
      <c r="EK120" s="17">
        <f>EJ120*VLOOKUP('Données projet'!$B$15,Paramètres!$A$1:$I$89,3,0)*VLOOKUP('Données projet'!$B$15,Paramètres!$A$1:$I$89,5,0)</f>
        <v>175.5</v>
      </c>
      <c r="EL120" s="13">
        <f t="shared" si="99"/>
        <v>44.319548641773906</v>
      </c>
      <c r="EM120" s="20">
        <f t="shared" si="73"/>
        <v>382.85238055108954</v>
      </c>
      <c r="EN120" s="59">
        <f t="shared" si="74"/>
        <v>674.17457339854491</v>
      </c>
      <c r="EO120" s="59">
        <f ca="1">AVERAGE(OFFSET($EN$3,0,0,'Données projet'!$E$15+1,1))-AVERAGE(OFFSET($H$3,0,0,'Données projet'!$E$15+1,1))</f>
        <v>270.0029254736703</v>
      </c>
      <c r="EP120" s="59">
        <f t="shared" si="100"/>
        <v>183.80022202211441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11.973921486653005</v>
      </c>
      <c r="EW120" s="21">
        <f>EXP(-LN(2)/25)*EW119+(1-EXP(-LN(2)/25))/(LN(2)/25)*Calculateur!ER120*Calculateur!ET120*VLOOKUP('Données projet'!$B$15,Paramètres!$A$1:$I$89,3,0)*0.475*44/12</f>
        <v>14.143601253077517</v>
      </c>
      <c r="EX120" s="21">
        <f>EXP(-LN(2)/2)*EX119+(1-EXP(-LN(2)/2))/(LN(2)/2)*ER120*EU120*VLOOKUP('Données projet'!$B$15,Paramètres!$A$1:$I$89,3,0)*0.475*44/12</f>
        <v>0.6028251770425912</v>
      </c>
      <c r="EY120" s="22">
        <f t="shared" si="75"/>
        <v>26.720347916773111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-1.4897523215040567E-13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328.93328163316073</v>
      </c>
      <c r="FK120" s="59">
        <f t="shared" si="102"/>
        <v>320.27831321887072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22.143107932957818</v>
      </c>
      <c r="FR120" s="21">
        <f>EXP(-LN(2)/25)*FR119+(1-EXP(-LN(2)/25))/(LN(2)/25)*Calculateur!FM120*Calculateur!FO120*VLOOKUP('Données projet'!$B$16,Paramètres!$A$1:$I$89,3,0)*0.475*44/12</f>
        <v>16.675185187287944</v>
      </c>
      <c r="FS120" s="21">
        <f>EXP(-LN(2)/2)*FS119+(1-EXP(-LN(2)/2))/(LN(2)/2)*FM120*FP120*VLOOKUP('Données projet'!$B$16,Paramètres!$A$1:$I$89,3,0)*0.475*44/12</f>
        <v>1.5395672996763491E-4</v>
      </c>
      <c r="FT120" s="22">
        <f t="shared" si="78"/>
        <v>38.81844707697573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173.07692307692307</v>
      </c>
      <c r="GA120" s="17">
        <f>FZ120*VLOOKUP('Données projet'!$B$17,Paramètres!$A$1:$I$89,3,0)*VLOOKUP('Données projet'!$B$17,Paramètres!$A$1:$I$89,5,0)</f>
        <v>116.1</v>
      </c>
      <c r="GB120" s="13">
        <f t="shared" si="103"/>
        <v>30.763646636385982</v>
      </c>
      <c r="GC120" s="20">
        <f t="shared" si="79"/>
        <v>255.78751789170556</v>
      </c>
      <c r="GD120" s="59">
        <f t="shared" si="80"/>
        <v>547.10971073916085</v>
      </c>
      <c r="GE120" s="59">
        <f ca="1">AVERAGE(OFFSET($GD$3,0,0,'Données projet'!$E$17+1,1))-AVERAGE(OFFSET($H$3,0,0,'Données projet'!$E$17+1,1))</f>
        <v>192.88444860121191</v>
      </c>
      <c r="GF120" s="59">
        <f t="shared" si="104"/>
        <v>136.13737493732751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9.763351366040137</v>
      </c>
      <c r="GM120" s="21">
        <f>EXP(-LN(2)/25)*GM119+(1-EXP(-LN(2)/25))/(LN(2)/25)*Calculateur!GH120*Calculateur!GJ120*VLOOKUP('Données projet'!$B$17,Paramètres!$A$1:$I$89,3,0)*0.475*44/12</f>
        <v>11.532474867893974</v>
      </c>
      <c r="GN120" s="21">
        <f>EXP(-LN(2)/2)*GN119+(1-EXP(-LN(2)/2))/(LN(2)/2)*GH120*GK120*VLOOKUP('Données projet'!$B$17,Paramètres!$A$1:$I$89,3,0)*0.475*44/12</f>
        <v>0.39879204019740655</v>
      </c>
      <c r="GO120" s="21">
        <f t="shared" si="81"/>
        <v>21.694618274131518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69.451507140215085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0.85000000000000009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3.1166666666666671</v>
      </c>
      <c r="H121" s="67">
        <f t="shared" si="56"/>
        <v>244.19999999999996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1064.9152311825665</v>
      </c>
      <c r="S121" s="59">
        <f ca="1">AVERAGE(OFFSET($R$3,0,0,'Données projet'!$E$9+1,1))-AVERAGE(OFFSET($H$3,0,0,'Données projet'!$E$9+1,1))</f>
        <v>643.492472896403</v>
      </c>
      <c r="T121" s="59">
        <f t="shared" si="88"/>
        <v>285.0259479655341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-2.8421709430404007E-13</v>
      </c>
      <c r="AJ121" s="13">
        <f>AI121*VLOOKUP('Données projet'!$B$10,Paramètres!$A$1:$I$89,3,0)*VLOOKUP('Données projet'!$B$10,Paramètres!$A$1:$I$89,5,0)</f>
        <v>-2.2168933355715128E-13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289.89907502443873</v>
      </c>
      <c r="AO121" s="59">
        <f t="shared" si="90"/>
        <v>267.42183550360301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15.188660252112923</v>
      </c>
      <c r="AV121" s="21">
        <f>EXP(-LN(2)/25)*AV120+(1-EXP(-LN(2)/25))/(LN(2)/25)*Calculateur!AQ121*Calculateur!AS121*VLOOKUP('Données projet'!$B$10,Paramètres!$A$1:$I$89,3,0)*0.475*44/12</f>
        <v>11.895721327072833</v>
      </c>
      <c r="AW121" s="21">
        <f>EXP(-LN(2)/2)*AW120+(1-EXP(-LN(2)/2))/(LN(2)/2)*AQ121*AT121*VLOOKUP('Données projet'!$B$10,Paramètres!$A$1:$I$89,3,0)*0.475*44/12</f>
        <v>1.8023502513979836E-5</v>
      </c>
      <c r="AX121" s="21">
        <f t="shared" si="60"/>
        <v>27.084399602688269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1.9230769230769227</v>
      </c>
      <c r="BD121" s="12">
        <f>IF('Données projet'!$A$88&gt;35,BD120+BC121-BL120,IF(A121&lt;'Données projet'!$A$88,$BA$205^A121,IF(A121='Données projet'!$A$88,'Données projet'!$B$88,BD120+BC121-BL120)))</f>
        <v>118.58974358974349</v>
      </c>
      <c r="BE121" s="13">
        <f>BD121*VLOOKUP('Données projet'!$B$11,Paramètres!$A$1:$I$89,3,0)*VLOOKUP('Données projet'!$B$11,Paramètres!$A$1:$I$89,5,0)</f>
        <v>114.6999999999999</v>
      </c>
      <c r="BF121" s="13">
        <f t="shared" si="91"/>
        <v>30.435630357380635</v>
      </c>
      <c r="BG121" s="20">
        <f t="shared" si="61"/>
        <v>252.77788953910442</v>
      </c>
      <c r="BH121" s="59">
        <f t="shared" si="62"/>
        <v>544.13497117775319</v>
      </c>
      <c r="BI121" s="59">
        <f ca="1">AVERAGE(OFFSET($BH$3,0,0,'Données projet'!$E$11+1,1))-AVERAGE(OFFSET($H$3,0,0,'Données projet'!$E$11+1,1))</f>
        <v>177.54241137663234</v>
      </c>
      <c r="BJ121" s="59">
        <f t="shared" si="92"/>
        <v>114.71095021456071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14.804446130869984</v>
      </c>
      <c r="BR121" s="21">
        <f>EXP(-LN(2)/2)*BR120+(1-EXP(-LN(2)/2))/(LN(2)/2)*BL121*BO121*VLOOKUP('Données projet'!$B$11,Paramètres!$A$1:$I$89,3,0)*0.475*44/12</f>
        <v>0.50219615987713617</v>
      </c>
      <c r="BS121" s="22">
        <f t="shared" si="63"/>
        <v>15.306642290747121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1.9230769230769227</v>
      </c>
      <c r="BY121" s="12">
        <f>IF('Données projet'!$A$114&gt;35,BY120+BX121-CG120,IF(A121&lt;'Données projet'!$A$114,$BV$205^A121,IF(A121='Données projet'!$A$114,'Données projet'!$B$114,BY120+BX121-CG120)))</f>
        <v>118.58974358974349</v>
      </c>
      <c r="BZ121" s="13">
        <f>BY121*VLOOKUP('Données projet'!$B$12,Paramètres!$A$1:$I$89,3,0)*VLOOKUP('Données projet'!$B$12,Paramètres!$A$1:$I$89,5,0)</f>
        <v>127.64999999999989</v>
      </c>
      <c r="CA121" s="13">
        <f t="shared" si="93"/>
        <v>33.452768155152675</v>
      </c>
      <c r="CB121" s="20">
        <f t="shared" si="64"/>
        <v>280.58732120355739</v>
      </c>
      <c r="CC121" s="59">
        <f t="shared" si="65"/>
        <v>571.94440284220605</v>
      </c>
      <c r="CD121" s="59">
        <f ca="1">AVERAGE(OFFSET($CC$3,0,0,'Données projet'!$E$12+1,1))-AVERAGE(OFFSET($H$3,0,0,'Données projet'!$E$12+1,1))</f>
        <v>192.88977161349993</v>
      </c>
      <c r="CE121" s="59">
        <f t="shared" si="94"/>
        <v>122.91376861456772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16.475915855323048</v>
      </c>
      <c r="CM121" s="21">
        <f>EXP(-LN(2)/2)*CM120+(1-EXP(-LN(2)/2))/(LN(2)/2)*CG121*CJ121*VLOOKUP('Données projet'!$B$12,Paramètres!$A$1:$I$89,3,0)*0.475*44/12</f>
        <v>0.55889572631487716</v>
      </c>
      <c r="CN121" s="22">
        <f t="shared" si="66"/>
        <v>17.034811581637925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-8.5265128291212022E-14</v>
      </c>
      <c r="CU121" s="17">
        <f>CT121*VLOOKUP('Données projet'!$B$13,Paramètres!$A$1:$I$89,3,0)*VLOOKUP('Données projet'!$B$13,Paramètres!$A$1:$I$89,5,0)</f>
        <v>-6.9167072069831198E-14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163.16040389635825</v>
      </c>
      <c r="CZ121" s="59">
        <f t="shared" si="96"/>
        <v>138.57856782158811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7.4440103002248801</v>
      </c>
      <c r="DH121" s="21">
        <f>EXP(-LN(2)/2)*DH120+(1-EXP(-LN(2)/2))/(LN(2)/2)*DB121*DE121*VLOOKUP('Données projet'!$B$13,Paramètres!$A$1:$I$89,3,0)*0.475*44/12</f>
        <v>1.528629542433514E-3</v>
      </c>
      <c r="DI121" s="22">
        <f t="shared" si="69"/>
        <v>7.4455389297673138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8.2299999999999986</v>
      </c>
      <c r="DO121" s="12">
        <f>IF('Données projet'!$A$166&gt;35,DO120+DN121-DW120,IF(A121&lt;'Données projet'!$A$166,$DL$205^A121,IF(A121='Données projet'!$A$166,'Données projet'!$B$166,DO120+DN121-DW120)))</f>
        <v>453.23000000000013</v>
      </c>
      <c r="DP121" s="17">
        <f>DO121*VLOOKUP('Données projet'!$B$14,Paramètres!$A$1:$I$89,3,0)*VLOOKUP('Données projet'!$B$14,Paramètres!$A$1:$I$89,5,0)</f>
        <v>212.11164000000005</v>
      </c>
      <c r="DQ121" s="13">
        <f t="shared" si="97"/>
        <v>52.396763121120088</v>
      </c>
      <c r="DR121" s="20">
        <f t="shared" si="70"/>
        <v>460.68546876928417</v>
      </c>
      <c r="DS121" s="59">
        <f t="shared" si="71"/>
        <v>752.04255040793282</v>
      </c>
      <c r="DT121" s="59">
        <f ca="1">AVERAGE(OFFSET($DS$3,0,0,'Données projet'!$E$14+1,1))-AVERAGE(OFFSET($H$3,0,0,'Données projet'!$E$14+1,1))</f>
        <v>343.44193069803498</v>
      </c>
      <c r="DU121" s="59">
        <f t="shared" si="98"/>
        <v>280.67367019483481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57.58246797252442</v>
      </c>
      <c r="EB121" s="21">
        <f>EXP(-LN(2)/25)*EB120+(1-EXP(-LN(2)/25))/(LN(2)/25)*Calculateur!DW121*Calculateur!DY121*VLOOKUP('Données projet'!$B$14,Paramètres!$A$1:$I$89,3,0)*0.475*44/12</f>
        <v>17.789389716047925</v>
      </c>
      <c r="EC121" s="21">
        <f>EXP(-LN(2)/2)*EC120+(1-EXP(-LN(2)/2))/(LN(2)/2)*DW121*DZ121*VLOOKUP('Données projet'!$B$14,Paramètres!$A$1:$I$89,3,0)*0.475*44/12</f>
        <v>0.43856531346238847</v>
      </c>
      <c r="ED121" s="22">
        <f t="shared" si="72"/>
        <v>75.810423002034739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173.07692307692307</v>
      </c>
      <c r="EK121" s="17">
        <f>EJ121*VLOOKUP('Données projet'!$B$15,Paramètres!$A$1:$I$89,3,0)*VLOOKUP('Données projet'!$B$15,Paramètres!$A$1:$I$89,5,0)</f>
        <v>175.5</v>
      </c>
      <c r="EL121" s="13">
        <f t="shared" si="99"/>
        <v>44.319548641773906</v>
      </c>
      <c r="EM121" s="20">
        <f t="shared" si="73"/>
        <v>382.85238055108954</v>
      </c>
      <c r="EN121" s="59">
        <f t="shared" si="74"/>
        <v>674.20946218973825</v>
      </c>
      <c r="EO121" s="59">
        <f ca="1">AVERAGE(OFFSET($EN$3,0,0,'Données projet'!$E$15+1,1))-AVERAGE(OFFSET($H$3,0,0,'Données projet'!$E$15+1,1))</f>
        <v>270.0029254736703</v>
      </c>
      <c r="EP121" s="59">
        <f t="shared" si="100"/>
        <v>183.80022202211441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11.739120189670698</v>
      </c>
      <c r="EW121" s="21">
        <f>EXP(-LN(2)/25)*EW120+(1-EXP(-LN(2)/25))/(LN(2)/25)*Calculateur!ER121*Calculateur!ET121*VLOOKUP('Données projet'!$B$15,Paramètres!$A$1:$I$89,3,0)*0.475*44/12</f>
        <v>13.756843733032447</v>
      </c>
      <c r="EX121" s="21">
        <f>EXP(-LN(2)/2)*EX120+(1-EXP(-LN(2)/2))/(LN(2)/2)*ER121*EU121*VLOOKUP('Données projet'!$B$15,Paramètres!$A$1:$I$89,3,0)*0.475*44/12</f>
        <v>0.42626177055679731</v>
      </c>
      <c r="EY121" s="22">
        <f t="shared" si="75"/>
        <v>25.922225693259946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-1.4897523215040567E-13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328.93328163316073</v>
      </c>
      <c r="FK121" s="59">
        <f t="shared" si="102"/>
        <v>320.27831321887072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21.708895092354751</v>
      </c>
      <c r="FR121" s="21">
        <f>EXP(-LN(2)/25)*FR120+(1-EXP(-LN(2)/25))/(LN(2)/25)*Calculateur!FM121*Calculateur!FO121*VLOOKUP('Données projet'!$B$16,Paramètres!$A$1:$I$89,3,0)*0.475*44/12</f>
        <v>16.219201371431677</v>
      </c>
      <c r="FS121" s="21">
        <f>EXP(-LN(2)/2)*FS120+(1-EXP(-LN(2)/2))/(LN(2)/2)*FM121*FP121*VLOOKUP('Données projet'!$B$16,Paramètres!$A$1:$I$89,3,0)*0.475*44/12</f>
        <v>1.088638477694208E-4</v>
      </c>
      <c r="FT121" s="22">
        <f t="shared" si="78"/>
        <v>37.928205327634203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173.07692307692307</v>
      </c>
      <c r="GA121" s="17">
        <f>FZ121*VLOOKUP('Données projet'!$B$17,Paramètres!$A$1:$I$89,3,0)*VLOOKUP('Données projet'!$B$17,Paramètres!$A$1:$I$89,5,0)</f>
        <v>116.1</v>
      </c>
      <c r="GB121" s="13">
        <f t="shared" si="103"/>
        <v>30.763646636385982</v>
      </c>
      <c r="GC121" s="20">
        <f t="shared" si="79"/>
        <v>255.78751789170556</v>
      </c>
      <c r="GD121" s="59">
        <f t="shared" si="80"/>
        <v>547.1445995303543</v>
      </c>
      <c r="GE121" s="59">
        <f ca="1">AVERAGE(OFFSET($GD$3,0,0,'Données projet'!$E$17+1,1))-AVERAGE(OFFSET($H$3,0,0,'Données projet'!$E$17+1,1))</f>
        <v>192.88444860121191</v>
      </c>
      <c r="GF121" s="59">
        <f t="shared" si="104"/>
        <v>136.13737493732751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9.5718980008084102</v>
      </c>
      <c r="GM121" s="21">
        <f>EXP(-LN(2)/25)*GM120+(1-EXP(-LN(2)/25))/(LN(2)/25)*Calculateur!GH121*Calculateur!GJ121*VLOOKUP('Données projet'!$B$17,Paramètres!$A$1:$I$89,3,0)*0.475*44/12</f>
        <v>11.217118736164919</v>
      </c>
      <c r="GN121" s="21">
        <f>EXP(-LN(2)/2)*GN120+(1-EXP(-LN(2)/2))/(LN(2)/2)*GH121*GK121*VLOOKUP('Données projet'!$B$17,Paramètres!$A$1:$I$89,3,0)*0.475*44/12</f>
        <v>0.28198855590680444</v>
      </c>
      <c r="GO121" s="21">
        <f t="shared" si="81"/>
        <v>21.071005292880134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69.461022265086015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0.85000000000000009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3.1166666666666671</v>
      </c>
      <c r="H122" s="67">
        <f t="shared" si="56"/>
        <v>244.19999999999996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1081.8793933453296</v>
      </c>
      <c r="S122" s="59">
        <f ca="1">AVERAGE(OFFSET($R$3,0,0,'Données projet'!$E$9+1,1))-AVERAGE(OFFSET($H$3,0,0,'Données projet'!$E$9+1,1))</f>
        <v>643.492472896403</v>
      </c>
      <c r="T122" s="59">
        <f t="shared" si="88"/>
        <v>285.0259479655341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-2.8421709430404007E-13</v>
      </c>
      <c r="AJ122" s="13">
        <f>AI122*VLOOKUP('Données projet'!$B$10,Paramètres!$A$1:$I$89,3,0)*VLOOKUP('Données projet'!$B$10,Paramètres!$A$1:$I$89,5,0)</f>
        <v>-2.2168933355715128E-13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289.89907502443873</v>
      </c>
      <c r="AO122" s="59">
        <f t="shared" si="90"/>
        <v>267.42183550360301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14.890819888736981</v>
      </c>
      <c r="AV122" s="21">
        <f>EXP(-LN(2)/25)*AV121+(1-EXP(-LN(2)/25))/(LN(2)/25)*Calculateur!AQ122*Calculateur!AS122*VLOOKUP('Données projet'!$B$10,Paramètres!$A$1:$I$89,3,0)*0.475*44/12</f>
        <v>11.57043220181523</v>
      </c>
      <c r="AW122" s="21">
        <f>EXP(-LN(2)/2)*AW121+(1-EXP(-LN(2)/2))/(LN(2)/2)*AQ122*AT122*VLOOKUP('Données projet'!$B$10,Paramètres!$A$1:$I$89,3,0)*0.475*44/12</f>
        <v>1.274454084836793E-5</v>
      </c>
      <c r="AX122" s="21">
        <f t="shared" si="60"/>
        <v>26.461264835093058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1.9230769230769227</v>
      </c>
      <c r="BD122" s="12">
        <f>IF('Données projet'!$A$88&gt;35,BD121+BC122-BL121,IF(A122&lt;'Données projet'!$A$88,$BA$205^A122,IF(A122='Données projet'!$A$88,'Données projet'!$B$88,BD121+BC122-BL121)))</f>
        <v>120.51282051282041</v>
      </c>
      <c r="BE122" s="13">
        <f>BD122*VLOOKUP('Données projet'!$B$11,Paramètres!$A$1:$I$89,3,0)*VLOOKUP('Données projet'!$B$11,Paramètres!$A$1:$I$89,5,0)</f>
        <v>116.55999999999992</v>
      </c>
      <c r="BF122" s="13">
        <f t="shared" si="91"/>
        <v>30.871322688345497</v>
      </c>
      <c r="BG122" s="20">
        <f t="shared" si="61"/>
        <v>256.77622034886826</v>
      </c>
      <c r="BH122" s="59">
        <f t="shared" si="62"/>
        <v>548.16758553618297</v>
      </c>
      <c r="BI122" s="59">
        <f ca="1">AVERAGE(OFFSET($BH$3,0,0,'Données projet'!$E$11+1,1))-AVERAGE(OFFSET($H$3,0,0,'Données projet'!$E$11+1,1))</f>
        <v>177.54241137663234</v>
      </c>
      <c r="BJ122" s="59">
        <f t="shared" si="92"/>
        <v>114.71095021456071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14.399617772889359</v>
      </c>
      <c r="BR122" s="21">
        <f>EXP(-LN(2)/2)*BR121+(1-EXP(-LN(2)/2))/(LN(2)/2)*BL122*BO122*VLOOKUP('Données projet'!$B$11,Paramètres!$A$1:$I$89,3,0)*0.475*44/12</f>
        <v>0.35510631013496657</v>
      </c>
      <c r="BS122" s="22">
        <f t="shared" si="63"/>
        <v>14.754724083024325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1.9230769230769227</v>
      </c>
      <c r="BY122" s="12">
        <f>IF('Données projet'!$A$114&gt;35,BY121+BX122-CG121,IF(A122&lt;'Données projet'!$A$114,$BV$205^A122,IF(A122='Données projet'!$A$114,'Données projet'!$B$114,BY121+BX122-CG121)))</f>
        <v>120.51282051282041</v>
      </c>
      <c r="BZ122" s="13">
        <f>BY122*VLOOKUP('Données projet'!$B$12,Paramètres!$A$1:$I$89,3,0)*VLOOKUP('Données projet'!$B$12,Paramètres!$A$1:$I$89,5,0)</f>
        <v>129.71999999999989</v>
      </c>
      <c r="CA122" s="13">
        <f t="shared" si="93"/>
        <v>33.931651436477885</v>
      </c>
      <c r="CB122" s="20">
        <f t="shared" si="64"/>
        <v>285.02662625186548</v>
      </c>
      <c r="CC122" s="59">
        <f t="shared" si="65"/>
        <v>576.41799143918013</v>
      </c>
      <c r="CD122" s="59">
        <f ca="1">AVERAGE(OFFSET($CC$3,0,0,'Données projet'!$E$12+1,1))-AVERAGE(OFFSET($H$3,0,0,'Données projet'!$E$12+1,1))</f>
        <v>192.88977161349993</v>
      </c>
      <c r="CE122" s="59">
        <f t="shared" si="94"/>
        <v>122.91376861456772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16.02538106982848</v>
      </c>
      <c r="CM122" s="21">
        <f>EXP(-LN(2)/2)*CM121+(1-EXP(-LN(2)/2))/(LN(2)/2)*CG122*CJ122*VLOOKUP('Données projet'!$B$12,Paramètres!$A$1:$I$89,3,0)*0.475*44/12</f>
        <v>0.39519895805343042</v>
      </c>
      <c r="CN122" s="22">
        <f t="shared" si="66"/>
        <v>16.420580027881911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-8.5265128291212022E-14</v>
      </c>
      <c r="CU122" s="17">
        <f>CT122*VLOOKUP('Données projet'!$B$13,Paramètres!$A$1:$I$89,3,0)*VLOOKUP('Données projet'!$B$13,Paramètres!$A$1:$I$89,5,0)</f>
        <v>-6.9167072069831198E-14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163.16040389635825</v>
      </c>
      <c r="CZ122" s="59">
        <f t="shared" si="96"/>
        <v>138.57856782158811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7.2404534471017428</v>
      </c>
      <c r="DH122" s="21">
        <f>EXP(-LN(2)/2)*DH121+(1-EXP(-LN(2)/2))/(LN(2)/2)*DB122*DE122*VLOOKUP('Données projet'!$B$13,Paramètres!$A$1:$I$89,3,0)*0.475*44/12</f>
        <v>1.080904315376827E-3</v>
      </c>
      <c r="DI122" s="22">
        <f t="shared" si="69"/>
        <v>7.24153435141712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8.2299999999999986</v>
      </c>
      <c r="DO122" s="12">
        <f>IF('Données projet'!$A$166&gt;35,DO121+DN122-DW121,IF(A122&lt;'Données projet'!$A$166,$DL$205^A122,IF(A122='Données projet'!$A$166,'Données projet'!$B$166,DO121+DN122-DW121)))</f>
        <v>461.46000000000015</v>
      </c>
      <c r="DP122" s="17">
        <f>DO122*VLOOKUP('Données projet'!$B$14,Paramètres!$A$1:$I$89,3,0)*VLOOKUP('Données projet'!$B$14,Paramètres!$A$1:$I$89,5,0)</f>
        <v>215.96328000000008</v>
      </c>
      <c r="DQ122" s="13">
        <f t="shared" si="97"/>
        <v>53.236581182498291</v>
      </c>
      <c r="DR122" s="20">
        <f t="shared" si="70"/>
        <v>468.85642489285124</v>
      </c>
      <c r="DS122" s="59">
        <f t="shared" si="71"/>
        <v>760.24779008016594</v>
      </c>
      <c r="DT122" s="59">
        <f ca="1">AVERAGE(OFFSET($DS$3,0,0,'Données projet'!$E$14+1,1))-AVERAGE(OFFSET($H$3,0,0,'Données projet'!$E$14+1,1))</f>
        <v>343.44193069803498</v>
      </c>
      <c r="DU122" s="59">
        <f t="shared" si="98"/>
        <v>280.67367019483481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56.453310897420685</v>
      </c>
      <c r="EB122" s="21">
        <f>EXP(-LN(2)/25)*EB121+(1-EXP(-LN(2)/25))/(LN(2)/25)*Calculateur!DW122*Calculateur!DY122*VLOOKUP('Données projet'!$B$14,Paramètres!$A$1:$I$89,3,0)*0.475*44/12</f>
        <v>17.302937918759248</v>
      </c>
      <c r="EC122" s="21">
        <f>EXP(-LN(2)/2)*EC121+(1-EXP(-LN(2)/2))/(LN(2)/2)*DW122*DZ122*VLOOKUP('Données projet'!$B$14,Paramètres!$A$1:$I$89,3,0)*0.475*44/12</f>
        <v>0.31011250714245875</v>
      </c>
      <c r="ED122" s="22">
        <f t="shared" si="72"/>
        <v>74.066361323322397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173.07692307692307</v>
      </c>
      <c r="EK122" s="17">
        <f>EJ122*VLOOKUP('Données projet'!$B$15,Paramètres!$A$1:$I$89,3,0)*VLOOKUP('Données projet'!$B$15,Paramètres!$A$1:$I$89,5,0)</f>
        <v>175.5</v>
      </c>
      <c r="EL122" s="13">
        <f t="shared" si="99"/>
        <v>44.319548641773906</v>
      </c>
      <c r="EM122" s="20">
        <f t="shared" si="73"/>
        <v>382.85238055108954</v>
      </c>
      <c r="EN122" s="59">
        <f t="shared" si="74"/>
        <v>674.24374573840419</v>
      </c>
      <c r="EO122" s="59">
        <f ca="1">AVERAGE(OFFSET($EN$3,0,0,'Données projet'!$E$15+1,1))-AVERAGE(OFFSET($H$3,0,0,'Données projet'!$E$15+1,1))</f>
        <v>270.0029254736703</v>
      </c>
      <c r="EP122" s="59">
        <f t="shared" si="100"/>
        <v>183.80022202211441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11.508923202907566</v>
      </c>
      <c r="EW122" s="21">
        <f>EXP(-LN(2)/25)*EW121+(1-EXP(-LN(2)/25))/(LN(2)/25)*Calculateur!ER122*Calculateur!ET122*VLOOKUP('Données projet'!$B$15,Paramètres!$A$1:$I$89,3,0)*0.475*44/12</f>
        <v>13.380662117711704</v>
      </c>
      <c r="EX122" s="21">
        <f>EXP(-LN(2)/2)*EX121+(1-EXP(-LN(2)/2))/(LN(2)/2)*ER122*EU122*VLOOKUP('Données projet'!$B$15,Paramètres!$A$1:$I$89,3,0)*0.475*44/12</f>
        <v>0.3014125885212956</v>
      </c>
      <c r="EY122" s="22">
        <f t="shared" si="75"/>
        <v>25.190997909140563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-1.4897523215040567E-13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328.93328163316073</v>
      </c>
      <c r="FK122" s="59">
        <f t="shared" si="102"/>
        <v>320.27831321887072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21.28319690071223</v>
      </c>
      <c r="FR122" s="21">
        <f>EXP(-LN(2)/25)*FR121+(1-EXP(-LN(2)/25))/(LN(2)/25)*Calculateur!FM122*Calculateur!FO122*VLOOKUP('Données projet'!$B$16,Paramètres!$A$1:$I$89,3,0)*0.475*44/12</f>
        <v>15.775686456999146</v>
      </c>
      <c r="FS122" s="21">
        <f>EXP(-LN(2)/2)*FS121+(1-EXP(-LN(2)/2))/(LN(2)/2)*FM122*FP122*VLOOKUP('Données projet'!$B$16,Paramètres!$A$1:$I$89,3,0)*0.475*44/12</f>
        <v>7.6978364983817455E-5</v>
      </c>
      <c r="FT122" s="22">
        <f t="shared" si="78"/>
        <v>37.058960336076368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173.07692307692307</v>
      </c>
      <c r="GA122" s="17">
        <f>FZ122*VLOOKUP('Données projet'!$B$17,Paramètres!$A$1:$I$89,3,0)*VLOOKUP('Données projet'!$B$17,Paramètres!$A$1:$I$89,5,0)</f>
        <v>116.1</v>
      </c>
      <c r="GB122" s="13">
        <f t="shared" si="103"/>
        <v>30.763646636385982</v>
      </c>
      <c r="GC122" s="20">
        <f t="shared" si="79"/>
        <v>255.78751789170556</v>
      </c>
      <c r="GD122" s="59">
        <f t="shared" si="80"/>
        <v>547.17888307902024</v>
      </c>
      <c r="GE122" s="59">
        <f ca="1">AVERAGE(OFFSET($GD$3,0,0,'Données projet'!$E$17+1,1))-AVERAGE(OFFSET($H$3,0,0,'Données projet'!$E$17+1,1))</f>
        <v>192.88444860121191</v>
      </c>
      <c r="GF122" s="59">
        <f t="shared" si="104"/>
        <v>136.13737493732751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9.3841989192938549</v>
      </c>
      <c r="GM122" s="21">
        <f>EXP(-LN(2)/25)*GM121+(1-EXP(-LN(2)/25))/(LN(2)/25)*Calculateur!GH122*Calculateur!GJ122*VLOOKUP('Données projet'!$B$17,Paramètres!$A$1:$I$89,3,0)*0.475*44/12</f>
        <v>10.910386034441851</v>
      </c>
      <c r="GN122" s="21">
        <f>EXP(-LN(2)/2)*GN121+(1-EXP(-LN(2)/2))/(LN(2)/2)*GH122*GK122*VLOOKUP('Données projet'!$B$17,Paramètres!$A$1:$I$89,3,0)*0.475*44/12</f>
        <v>0.1993960200987033</v>
      </c>
      <c r="GO122" s="21">
        <f t="shared" si="81"/>
        <v>20.493980973834411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69.470372323813081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0.85000000000000009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3.1166666666666671</v>
      </c>
      <c r="H123" s="67">
        <f t="shared" si="56"/>
        <v>244.19999999999996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1098.8356319776603</v>
      </c>
      <c r="S123" s="59">
        <f ca="1">AVERAGE(OFFSET($R$3,0,0,'Données projet'!$E$9+1,1))-AVERAGE(OFFSET($H$3,0,0,'Données projet'!$E$9+1,1))</f>
        <v>643.492472896403</v>
      </c>
      <c r="T123" s="59">
        <f t="shared" si="88"/>
        <v>285.0259479655341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-2.8421709430404007E-13</v>
      </c>
      <c r="AJ123" s="13">
        <f>AI123*VLOOKUP('Données projet'!$B$10,Paramètres!$A$1:$I$89,3,0)*VLOOKUP('Données projet'!$B$10,Paramètres!$A$1:$I$89,5,0)</f>
        <v>-2.2168933355715128E-13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289.89907502443873</v>
      </c>
      <c r="AO123" s="59">
        <f t="shared" si="90"/>
        <v>267.42183550360301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14.598819993222159</v>
      </c>
      <c r="AV123" s="21">
        <f>EXP(-LN(2)/25)*AV122+(1-EXP(-LN(2)/25))/(LN(2)/25)*Calculateur!AQ123*Calculateur!AS123*VLOOKUP('Données projet'!$B$10,Paramètres!$A$1:$I$89,3,0)*0.475*44/12</f>
        <v>11.254038124794008</v>
      </c>
      <c r="AW123" s="21">
        <f>EXP(-LN(2)/2)*AW122+(1-EXP(-LN(2)/2))/(LN(2)/2)*AQ123*AT123*VLOOKUP('Données projet'!$B$10,Paramètres!$A$1:$I$89,3,0)*0.475*44/12</f>
        <v>9.0117512569899181E-6</v>
      </c>
      <c r="AX123" s="21">
        <f t="shared" si="60"/>
        <v>25.852867129767422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122.43589743589743</v>
      </c>
      <c r="BB123" s="12">
        <f>VLOOKUP(A123,'Données projet'!$A$87:$I$107,9,0)</f>
        <v>1.9230769230769227</v>
      </c>
      <c r="BC123" s="12">
        <f t="array" ref="BC123">INDEX(BB:BB,MIN(IF(ISNUMBER(BB123:BB319),ROW(BB123:BB319),"")))</f>
        <v>1.9230769230769227</v>
      </c>
      <c r="BD123" s="12">
        <f>IF('Données projet'!$A$88&gt;35,BD122+BC123-BL122,IF(A123&lt;'Données projet'!$A$88,$BA$205^A123,IF(A123='Données projet'!$A$88,'Données projet'!$B$88,BD122+BC123-BL122)))</f>
        <v>122.43589743589733</v>
      </c>
      <c r="BE123" s="13">
        <f>BD123*VLOOKUP('Données projet'!$B$11,Paramètres!$A$1:$I$89,3,0)*VLOOKUP('Données projet'!$B$11,Paramètres!$A$1:$I$89,5,0)</f>
        <v>118.41999999999992</v>
      </c>
      <c r="BF123" s="13">
        <f t="shared" si="91"/>
        <v>31.306206458827482</v>
      </c>
      <c r="BG123" s="20">
        <f t="shared" si="61"/>
        <v>260.77314291579108</v>
      </c>
      <c r="BH123" s="59">
        <f t="shared" si="62"/>
        <v>552.19819690884879</v>
      </c>
      <c r="BI123" s="59">
        <f ca="1">AVERAGE(OFFSET($BH$3,0,0,'Données projet'!$E$11+1,1))-AVERAGE(OFFSET($H$3,0,0,'Données projet'!$E$11+1,1))</f>
        <v>177.54241137663234</v>
      </c>
      <c r="BJ123" s="59">
        <f t="shared" si="92"/>
        <v>114.71095021456071</v>
      </c>
      <c r="BK123" s="15">
        <f>IF(ISNA(VLOOKUP(A123,'Données projet'!$A$87:$I$107,3,0)),0,VLOOKUP(A123,'Données projet'!$A$87:$I$107,3,0))</f>
        <v>20</v>
      </c>
      <c r="BL123" s="15">
        <f>IF(ISNA(VLOOKUP(A123,'Données projet'!$A$87:$I$107,4,0)),0,VLOOKUP(A123,'Données projet'!$A$87:$I$107,4,0))</f>
        <v>122.43589743589743</v>
      </c>
      <c r="BM123" s="16">
        <f>IF(ISNA(VLOOKUP(A123,'Données projet'!$A$87:$I$107,5,0)),0%,VLOOKUP(A123,'Données projet'!$A$87:$I$107,5,0)*VLOOKUP('Données projet'!$B$11,Paramètres!$A$1:$I$89,7,0))</f>
        <v>0.15049999999999999</v>
      </c>
      <c r="BN123" s="16">
        <f>IF(ISNA(VLOOKUP(A123,'Données projet'!$A$87:$I$107,6,0)),0%,VLOOKUP(A123,'Données projet'!$A$87:$I$107,6,0)*VLOOKUP('Données projet'!$B$11,Paramètres!$A$1:$I$89,7,0))</f>
        <v>8.6000000000000007E-2</v>
      </c>
      <c r="BO123" s="16">
        <f>IF(ISNA(VLOOKUP(A123,'Données projet'!$A$87:$I$107,7,0)),0%,VLOOKUP(A123,'Données projet'!$A$87:$I$107,7,0))</f>
        <v>0.1</v>
      </c>
      <c r="BP123" s="21">
        <f>EXP(-LN(2)/35)*BP122+(1-EXP(-LN(2)/35))/(LN(2)/35)*BL123*BM123*VLOOKUP('Données projet'!$B$11,Paramètres!$A$1:$I$89,3,0)*0.475*44/12</f>
        <v>19.701925252815936</v>
      </c>
      <c r="BQ123" s="21">
        <f>EXP(-LN(2)/25)*BQ122+(1-EXP(-LN(2)/25))/(LN(2)/25)*Calculateur!BL123*Calculateur!BN123*VLOOKUP('Données projet'!$B$11,Paramètres!$A$1:$I$89,3,0)*0.475*44/12</f>
        <v>25.219774476831592</v>
      </c>
      <c r="BR123" s="21">
        <f>EXP(-LN(2)/2)*BR122+(1-EXP(-LN(2)/2))/(LN(2)/2)*BL123*BO123*VLOOKUP('Données projet'!$B$11,Paramètres!$A$1:$I$89,3,0)*0.475*44/12</f>
        <v>11.424343802695578</v>
      </c>
      <c r="BS123" s="22">
        <f t="shared" si="63"/>
        <v>56.346043532343103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122.43589743589743</v>
      </c>
      <c r="BW123" s="12">
        <f>VLOOKUP(A123,'Données projet'!$A$113:$I$133,9,0)</f>
        <v>1.9230769230769227</v>
      </c>
      <c r="BX123" s="12">
        <f t="array" ref="BX123">INDEX(BW:BW,MIN(IF(ISNUMBER(BW123:BW319),ROW(BW123:BW319),"")))</f>
        <v>1.9230769230769227</v>
      </c>
      <c r="BY123" s="12">
        <f>IF('Données projet'!$A$114&gt;35,BY122+BX123-CG122,IF(A123&lt;'Données projet'!$A$114,$BV$205^A123,IF(A123='Données projet'!$A$114,'Données projet'!$B$114,BY122+BX123-CG122)))</f>
        <v>122.43589743589733</v>
      </c>
      <c r="BZ123" s="13">
        <f>BY123*VLOOKUP('Données projet'!$B$12,Paramètres!$A$1:$I$89,3,0)*VLOOKUP('Données projet'!$B$12,Paramètres!$A$1:$I$89,5,0)</f>
        <v>131.78999999999988</v>
      </c>
      <c r="CA123" s="13">
        <f t="shared" si="93"/>
        <v>34.409646003291435</v>
      </c>
      <c r="CB123" s="20">
        <f t="shared" si="64"/>
        <v>289.46438345573239</v>
      </c>
      <c r="CC123" s="59">
        <f t="shared" si="65"/>
        <v>580.88943744878998</v>
      </c>
      <c r="CD123" s="59">
        <f ca="1">AVERAGE(OFFSET($CC$3,0,0,'Données projet'!$E$12+1,1))-AVERAGE(OFFSET($H$3,0,0,'Données projet'!$E$12+1,1))</f>
        <v>192.88977161349993</v>
      </c>
      <c r="CE123" s="59">
        <f t="shared" si="94"/>
        <v>122.91376861456772</v>
      </c>
      <c r="CF123" s="15">
        <f>IF(ISNA(VLOOKUP(A123,'Données projet'!$A$113:$I$133,3,0)),0,VLOOKUP(A123,'Données projet'!$A$113:$I$133,3,0))</f>
        <v>20</v>
      </c>
      <c r="CG123" s="15">
        <f>IF(ISNA(VLOOKUP(A123,'Données projet'!$A$113:$I$133,4,0)),0,VLOOKUP(A123,'Données projet'!$A$113:$I$133,4,0))</f>
        <v>122.43589743589743</v>
      </c>
      <c r="CH123" s="16">
        <f>IF(ISNA(VLOOKUP(A123,'Données projet'!$A$113:$I$133,5,0)),0%,VLOOKUP(A123,'Données projet'!$A$113:$I$133,5,0)*VLOOKUP('Données projet'!$B$12,Paramètres!$A$1:$I$89,7,0))</f>
        <v>0.15049999999999999</v>
      </c>
      <c r="CI123" s="16">
        <f>IF(ISNA(VLOOKUP(A123,'Données projet'!$A$113:$I$133,6,0)),0%,VLOOKUP(A123,'Données projet'!$A$113:$I$133,6,0)*VLOOKUP('Données projet'!$B$12,Paramètres!$A$1:$I$89,7,0))</f>
        <v>8.6000000000000007E-2</v>
      </c>
      <c r="CJ123" s="16">
        <f>IF(ISNA(VLOOKUP(A123,'Données projet'!$A$113:$I$133,7,0)),0%,VLOOKUP(A123,'Données projet'!$A$113:$I$133,7,0))</f>
        <v>0.1</v>
      </c>
      <c r="CK123" s="21">
        <f>EXP(-LN(2)/35)*CK122+(1-EXP(-LN(2)/35))/(LN(2)/35)*CG123*CH123*VLOOKUP('Données projet'!$B$12,Paramètres!$A$1:$I$89,3,0)*0.475*44/12</f>
        <v>21.926336168456448</v>
      </c>
      <c r="CL123" s="21">
        <f>EXP(-LN(2)/25)*CL122+(1-EXP(-LN(2)/25))/(LN(2)/25)*Calculateur!CG123*Calculateur!CI123*VLOOKUP('Données projet'!$B$12,Paramètres!$A$1:$I$89,3,0)*0.475*44/12</f>
        <v>28.067168369377093</v>
      </c>
      <c r="CM123" s="21">
        <f>EXP(-LN(2)/2)*CM122+(1-EXP(-LN(2)/2))/(LN(2)/2)*CG123*CJ123*VLOOKUP('Données projet'!$B$12,Paramètres!$A$1:$I$89,3,0)*0.475*44/12</f>
        <v>12.714189070741849</v>
      </c>
      <c r="CN123" s="22">
        <f t="shared" si="66"/>
        <v>62.707693608575397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-8.5265128291212022E-14</v>
      </c>
      <c r="CU123" s="17">
        <f>CT123*VLOOKUP('Données projet'!$B$13,Paramètres!$A$1:$I$89,3,0)*VLOOKUP('Données projet'!$B$13,Paramètres!$A$1:$I$89,5,0)</f>
        <v>-6.9167072069831198E-14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163.16040389635825</v>
      </c>
      <c r="CZ123" s="59">
        <f t="shared" si="96"/>
        <v>138.57856782158811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7.0424628668318467</v>
      </c>
      <c r="DH123" s="21">
        <f>EXP(-LN(2)/2)*DH122+(1-EXP(-LN(2)/2))/(LN(2)/2)*DB123*DE123*VLOOKUP('Données projet'!$B$13,Paramètres!$A$1:$I$89,3,0)*0.475*44/12</f>
        <v>7.64314771216757E-4</v>
      </c>
      <c r="DI123" s="22">
        <f t="shared" si="69"/>
        <v>7.0432271816030632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8.2299999999999986</v>
      </c>
      <c r="DO123" s="12">
        <f>IF('Données projet'!$A$166&gt;35,DO122+DN123-DW122,IF(A123&lt;'Données projet'!$A$166,$DL$205^A123,IF(A123='Données projet'!$A$166,'Données projet'!$B$166,DO122+DN123-DW122)))</f>
        <v>469.69000000000017</v>
      </c>
      <c r="DP123" s="17">
        <f>DO123*VLOOKUP('Données projet'!$B$14,Paramètres!$A$1:$I$89,3,0)*VLOOKUP('Données projet'!$B$14,Paramètres!$A$1:$I$89,5,0)</f>
        <v>219.81492000000009</v>
      </c>
      <c r="DQ123" s="13">
        <f t="shared" si="97"/>
        <v>54.074657526864193</v>
      </c>
      <c r="DR123" s="20">
        <f t="shared" si="70"/>
        <v>477.02434752595531</v>
      </c>
      <c r="DS123" s="59">
        <f t="shared" si="71"/>
        <v>768.44940151901301</v>
      </c>
      <c r="DT123" s="59">
        <f ca="1">AVERAGE(OFFSET($DS$3,0,0,'Données projet'!$E$14+1,1))-AVERAGE(OFFSET($H$3,0,0,'Données projet'!$E$14+1,1))</f>
        <v>343.44193069803498</v>
      </c>
      <c r="DU123" s="59">
        <f t="shared" si="98"/>
        <v>280.67367019483481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55.346295903841927</v>
      </c>
      <c r="EB123" s="21">
        <f>EXP(-LN(2)/25)*EB122+(1-EXP(-LN(2)/25))/(LN(2)/25)*Calculateur!DW123*Calculateur!DY123*VLOOKUP('Données projet'!$B$14,Paramètres!$A$1:$I$89,3,0)*0.475*44/12</f>
        <v>16.829788171448818</v>
      </c>
      <c r="EC123" s="21">
        <f>EXP(-LN(2)/2)*EC122+(1-EXP(-LN(2)/2))/(LN(2)/2)*DW123*DZ123*VLOOKUP('Données projet'!$B$14,Paramètres!$A$1:$I$89,3,0)*0.475*44/12</f>
        <v>0.21928265673119424</v>
      </c>
      <c r="ED123" s="22">
        <f t="shared" si="72"/>
        <v>72.395366732021941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173.07692307692307</v>
      </c>
      <c r="EK123" s="17">
        <f>EJ123*VLOOKUP('Données projet'!$B$15,Paramètres!$A$1:$I$89,3,0)*VLOOKUP('Données projet'!$B$15,Paramètres!$A$1:$I$89,5,0)</f>
        <v>175.5</v>
      </c>
      <c r="EL123" s="13">
        <f t="shared" si="99"/>
        <v>44.319548641773906</v>
      </c>
      <c r="EM123" s="20">
        <f t="shared" si="73"/>
        <v>382.85238055108954</v>
      </c>
      <c r="EN123" s="59">
        <f t="shared" si="74"/>
        <v>674.27743454414713</v>
      </c>
      <c r="EO123" s="59">
        <f ca="1">AVERAGE(OFFSET($EN$3,0,0,'Données projet'!$E$15+1,1))-AVERAGE(OFFSET($H$3,0,0,'Données projet'!$E$15+1,1))</f>
        <v>270.0029254736703</v>
      </c>
      <c r="EP123" s="59">
        <f t="shared" si="100"/>
        <v>183.80022202211441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11.28324023864856</v>
      </c>
      <c r="EW123" s="21">
        <f>EXP(-LN(2)/25)*EW122+(1-EXP(-LN(2)/25))/(LN(2)/25)*Calculateur!ER123*Calculateur!ET123*VLOOKUP('Données projet'!$B$15,Paramètres!$A$1:$I$89,3,0)*0.475*44/12</f>
        <v>13.014767208444439</v>
      </c>
      <c r="EX123" s="21">
        <f>EXP(-LN(2)/2)*EX122+(1-EXP(-LN(2)/2))/(LN(2)/2)*ER123*EU123*VLOOKUP('Données projet'!$B$15,Paramètres!$A$1:$I$89,3,0)*0.475*44/12</f>
        <v>0.21313088527839866</v>
      </c>
      <c r="EY123" s="22">
        <f t="shared" si="75"/>
        <v>24.511138332371399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-1.4897523215040567E-13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328.93328163316073</v>
      </c>
      <c r="FK123" s="59">
        <f t="shared" si="102"/>
        <v>320.27831321887072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20.865846390957561</v>
      </c>
      <c r="FR123" s="21">
        <f>EXP(-LN(2)/25)*FR122+(1-EXP(-LN(2)/25))/(LN(2)/25)*Calculateur!FM123*Calculateur!FO123*VLOOKUP('Données projet'!$B$16,Paramètres!$A$1:$I$89,3,0)*0.475*44/12</f>
        <v>15.34429948122521</v>
      </c>
      <c r="FS123" s="21">
        <f>EXP(-LN(2)/2)*FS122+(1-EXP(-LN(2)/2))/(LN(2)/2)*FM123*FP123*VLOOKUP('Données projet'!$B$16,Paramètres!$A$1:$I$89,3,0)*0.475*44/12</f>
        <v>5.4431923884710402E-5</v>
      </c>
      <c r="FT123" s="22">
        <f t="shared" si="78"/>
        <v>36.210200304106657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173.07692307692307</v>
      </c>
      <c r="GA123" s="17">
        <f>FZ123*VLOOKUP('Données projet'!$B$17,Paramètres!$A$1:$I$89,3,0)*VLOOKUP('Données projet'!$B$17,Paramètres!$A$1:$I$89,5,0)</f>
        <v>116.1</v>
      </c>
      <c r="GB123" s="13">
        <f t="shared" si="103"/>
        <v>30.763646636385982</v>
      </c>
      <c r="GC123" s="20">
        <f t="shared" si="79"/>
        <v>255.78751789170556</v>
      </c>
      <c r="GD123" s="59">
        <f t="shared" si="80"/>
        <v>547.21257188476318</v>
      </c>
      <c r="GE123" s="59">
        <f ca="1">AVERAGE(OFFSET($GD$3,0,0,'Données projet'!$E$17+1,1))-AVERAGE(OFFSET($H$3,0,0,'Données projet'!$E$17+1,1))</f>
        <v>192.88444860121191</v>
      </c>
      <c r="GF123" s="59">
        <f t="shared" si="104"/>
        <v>136.13737493732751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9.2001805022826648</v>
      </c>
      <c r="GM123" s="21">
        <f>EXP(-LN(2)/25)*GM122+(1-EXP(-LN(2)/25))/(LN(2)/25)*Calculateur!GH123*Calculateur!GJ123*VLOOKUP('Données projet'!$B$17,Paramètres!$A$1:$I$89,3,0)*0.475*44/12</f>
        <v>10.612040954577774</v>
      </c>
      <c r="GN123" s="21">
        <f>EXP(-LN(2)/2)*GN122+(1-EXP(-LN(2)/2))/(LN(2)/2)*GH123*GK123*VLOOKUP('Données projet'!$B$17,Paramètres!$A$1:$I$89,3,0)*0.475*44/12</f>
        <v>0.14099427795340225</v>
      </c>
      <c r="GO123" s="21">
        <f t="shared" si="81"/>
        <v>19.953215734813842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69.479560179924817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0.85000000000000009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3.1166666666666671</v>
      </c>
      <c r="H124" s="67">
        <f t="shared" si="56"/>
        <v>244.19999999999996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1115.7841324823826</v>
      </c>
      <c r="S124" s="59">
        <f ca="1">AVERAGE(OFFSET($R$3,0,0,'Données projet'!$E$9+1,1))-AVERAGE(OFFSET($H$3,0,0,'Données projet'!$E$9+1,1))</f>
        <v>643.492472896403</v>
      </c>
      <c r="T124" s="59">
        <f t="shared" si="88"/>
        <v>285.0259479655341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-2.8421709430404007E-13</v>
      </c>
      <c r="AJ124" s="13">
        <f>AI124*VLOOKUP('Données projet'!$B$10,Paramètres!$A$1:$I$89,3,0)*VLOOKUP('Données projet'!$B$10,Paramètres!$A$1:$I$89,5,0)</f>
        <v>-2.2168933355715128E-13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289.89907502443873</v>
      </c>
      <c r="AO124" s="59">
        <f t="shared" si="90"/>
        <v>267.42183550360301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14.312546037556032</v>
      </c>
      <c r="AV124" s="21">
        <f>EXP(-LN(2)/25)*AV123+(1-EXP(-LN(2)/25))/(LN(2)/25)*Calculateur!AQ124*Calculateur!AS124*VLOOKUP('Données projet'!$B$10,Paramètres!$A$1:$I$89,3,0)*0.475*44/12</f>
        <v>10.946295860447371</v>
      </c>
      <c r="AW124" s="21">
        <f>EXP(-LN(2)/2)*AW123+(1-EXP(-LN(2)/2))/(LN(2)/2)*AQ124*AT124*VLOOKUP('Données projet'!$B$10,Paramètres!$A$1:$I$89,3,0)*0.475*44/12</f>
        <v>6.3722704241839648E-6</v>
      </c>
      <c r="AX124" s="21">
        <f t="shared" si="60"/>
        <v>25.258848270273827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-9.9475983006414026E-14</v>
      </c>
      <c r="BE124" s="13">
        <f>BD124*VLOOKUP('Données projet'!$B$11,Paramètres!$A$1:$I$89,3,0)*VLOOKUP('Données projet'!$B$11,Paramètres!$A$1:$I$89,5,0)</f>
        <v>-9.6213170763803652E-14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177.54241137663234</v>
      </c>
      <c r="BJ124" s="59">
        <f t="shared" si="92"/>
        <v>114.71095021456071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19.315582515596041</v>
      </c>
      <c r="BQ124" s="21">
        <f>EXP(-LN(2)/25)*BQ123+(1-EXP(-LN(2)/25))/(LN(2)/25)*Calculateur!BL124*Calculateur!BN124*VLOOKUP('Données projet'!$B$11,Paramètres!$A$1:$I$89,3,0)*0.475*44/12</f>
        <v>24.530138417512333</v>
      </c>
      <c r="BR124" s="21">
        <f>EXP(-LN(2)/2)*BR123+(1-EXP(-LN(2)/2))/(LN(2)/2)*BL124*BO124*VLOOKUP('Données projet'!$B$11,Paramètres!$A$1:$I$89,3,0)*0.475*44/12</f>
        <v>8.0782309734925537</v>
      </c>
      <c r="BS124" s="22">
        <f t="shared" si="63"/>
        <v>51.923951906600927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-9.9475983006414026E-14</v>
      </c>
      <c r="BZ124" s="13">
        <f>BY124*VLOOKUP('Données projet'!$B$12,Paramètres!$A$1:$I$89,3,0)*VLOOKUP('Données projet'!$B$12,Paramètres!$A$1:$I$89,5,0)</f>
        <v>-1.0707594810810407E-13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192.88977161349993</v>
      </c>
      <c r="CE124" s="59">
        <f t="shared" si="94"/>
        <v>122.91376861456772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21.496374089937532</v>
      </c>
      <c r="CL124" s="21">
        <f>EXP(-LN(2)/25)*CL123+(1-EXP(-LN(2)/25))/(LN(2)/25)*Calculateur!CG124*Calculateur!CI124*VLOOKUP('Données projet'!$B$12,Paramètres!$A$1:$I$89,3,0)*0.475*44/12</f>
        <v>27.299670174328242</v>
      </c>
      <c r="CM124" s="21">
        <f>EXP(-LN(2)/2)*CM123+(1-EXP(-LN(2)/2))/(LN(2)/2)*CG124*CJ124*VLOOKUP('Données projet'!$B$12,Paramètres!$A$1:$I$89,3,0)*0.475*44/12</f>
        <v>8.9902893092094516</v>
      </c>
      <c r="CN124" s="22">
        <f t="shared" si="66"/>
        <v>57.786333573475225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-8.5265128291212022E-14</v>
      </c>
      <c r="CU124" s="17">
        <f>CT124*VLOOKUP('Données projet'!$B$13,Paramètres!$A$1:$I$89,3,0)*VLOOKUP('Données projet'!$B$13,Paramètres!$A$1:$I$89,5,0)</f>
        <v>-6.9167072069831198E-14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163.16040389635825</v>
      </c>
      <c r="CZ124" s="59">
        <f t="shared" si="96"/>
        <v>138.57856782158811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6.8498863493913031</v>
      </c>
      <c r="DH124" s="21">
        <f>EXP(-LN(2)/2)*DH123+(1-EXP(-LN(2)/2))/(LN(2)/2)*DB124*DE124*VLOOKUP('Données projet'!$B$13,Paramètres!$A$1:$I$89,3,0)*0.475*44/12</f>
        <v>5.4045215768841351E-4</v>
      </c>
      <c r="DI124" s="22">
        <f t="shared" si="69"/>
        <v>6.8504268015489913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>
        <f>VLOOKUP(A124,'Données projet'!$A$165:$I$185,2,0)</f>
        <v>477.92</v>
      </c>
      <c r="DM124" s="12">
        <f>VLOOKUP(A124,'Données projet'!$A$165:$I$185,9,0)</f>
        <v>8.2299999999999986</v>
      </c>
      <c r="DN124" s="12">
        <f t="array" ref="DN124">INDEX(DM:DM,MIN(IF(ISNUMBER(DM124:DM320),ROW(DM124:DM320),"")))</f>
        <v>8.2299999999999986</v>
      </c>
      <c r="DO124" s="12">
        <f>IF('Données projet'!$A$166&gt;35,DO123+DN124-DW123,IF(A124&lt;'Données projet'!$A$166,$DL$205^A124,IF(A124='Données projet'!$A$166,'Données projet'!$B$166,DO123+DN124-DW123)))</f>
        <v>477.92000000000019</v>
      </c>
      <c r="DP124" s="17">
        <f>DO124*VLOOKUP('Données projet'!$B$14,Paramètres!$A$1:$I$89,3,0)*VLOOKUP('Données projet'!$B$14,Paramètres!$A$1:$I$89,5,0)</f>
        <v>223.66656000000006</v>
      </c>
      <c r="DQ124" s="13">
        <f t="shared" si="97"/>
        <v>54.911026194090759</v>
      </c>
      <c r="DR124" s="20">
        <f t="shared" si="70"/>
        <v>485.18929595470814</v>
      </c>
      <c r="DS124" s="59">
        <f t="shared" si="71"/>
        <v>776.64745432804614</v>
      </c>
      <c r="DT124" s="59">
        <f ca="1">AVERAGE(OFFSET($DS$3,0,0,'Données projet'!$E$14+1,1))-AVERAGE(OFFSET($H$3,0,0,'Données projet'!$E$14+1,1))</f>
        <v>343.44193069803498</v>
      </c>
      <c r="DU124" s="59">
        <f t="shared" si="98"/>
        <v>280.67367019483481</v>
      </c>
      <c r="DV124" s="15">
        <f>IF(ISNA(VLOOKUP(A124,'Données projet'!$A$165:$I$185,3,0)),0,VLOOKUP(A124,'Données projet'!$A$165:$I$185,3,0))</f>
        <v>7</v>
      </c>
      <c r="DW124" s="15">
        <f>IF(ISNA(VLOOKUP(A124,'Données projet'!$A$165:$I$185,4,0)),0,VLOOKUP(A124,'Données projet'!$A$165:$I$185,4,0))</f>
        <v>236.89000000000001</v>
      </c>
      <c r="DX124" s="16">
        <f>IF(ISNA(VLOOKUP(A124,'Données projet'!$A$165:$I$185,5,0)),0%,VLOOKUP(A124,'Données projet'!$A$165:$I$185,5,0)*VLOOKUP('Données projet'!$B$14,Paramètres!$A$1:$I$89,7,0))</f>
        <v>0.33</v>
      </c>
      <c r="DY124" s="16">
        <f>IF(ISNA(VLOOKUP(A124,'Données projet'!$A$165:$I$185,6,0)),0%,VLOOKUP(A124,'Données projet'!$A$165:$I$185,6,0)*VLOOKUP('Données projet'!$B$14,Paramètres!$A$1:$I$89,7,0))</f>
        <v>0.11000000000000001</v>
      </c>
      <c r="DZ124" s="16">
        <f>IF(ISNA(VLOOKUP(A124,'Données projet'!$A$165:$I$185,7,0)),0%,VLOOKUP(A124,'Données projet'!$A$165:$I$185,7,0))</f>
        <v>0.2</v>
      </c>
      <c r="EA124" s="21">
        <f>EXP(-LN(2)/35)*EA123+(1-EXP(-LN(2)/35))/(LN(2)/35)*DW124*DX124*VLOOKUP('Données projet'!$B$14,Paramètres!$A$1:$I$89,3,0)*0.475*44/12</f>
        <v>102.79373622752556</v>
      </c>
      <c r="EB124" s="21">
        <f>EXP(-LN(2)/25)*EB123+(1-EXP(-LN(2)/25))/(LN(2)/25)*Calculateur!DW124*Calculateur!DY124*VLOOKUP('Données projet'!$B$14,Paramètres!$A$1:$I$89,3,0)*0.475*44/12</f>
        <v>32.483461898659932</v>
      </c>
      <c r="EC124" s="21">
        <f>EXP(-LN(2)/2)*EC123+(1-EXP(-LN(2)/2))/(LN(2)/2)*DW124*DZ124*VLOOKUP('Données projet'!$B$14,Paramètres!$A$1:$I$89,3,0)*0.475*44/12</f>
        <v>25.259934292324992</v>
      </c>
      <c r="ED124" s="22">
        <f t="shared" si="72"/>
        <v>160.53713241851048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173.07692307692307</v>
      </c>
      <c r="EK124" s="17">
        <f>EJ124*VLOOKUP('Données projet'!$B$15,Paramètres!$A$1:$I$89,3,0)*VLOOKUP('Données projet'!$B$15,Paramètres!$A$1:$I$89,5,0)</f>
        <v>175.5</v>
      </c>
      <c r="EL124" s="13">
        <f t="shared" si="99"/>
        <v>44.319548641773906</v>
      </c>
      <c r="EM124" s="20">
        <f t="shared" si="73"/>
        <v>382.85238055108954</v>
      </c>
      <c r="EN124" s="59">
        <f t="shared" si="74"/>
        <v>674.31053892442753</v>
      </c>
      <c r="EO124" s="59">
        <f ca="1">AVERAGE(OFFSET($EN$3,0,0,'Données projet'!$E$15+1,1))-AVERAGE(OFFSET($H$3,0,0,'Données projet'!$E$15+1,1))</f>
        <v>270.0029254736703</v>
      </c>
      <c r="EP124" s="59">
        <f t="shared" si="100"/>
        <v>183.80022202211441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11.061982779665657</v>
      </c>
      <c r="EW124" s="21">
        <f>EXP(-LN(2)/25)*EW123+(1-EXP(-LN(2)/25))/(LN(2)/25)*Calculateur!ER124*Calculateur!ET124*VLOOKUP('Données projet'!$B$15,Paramètres!$A$1:$I$89,3,0)*0.475*44/12</f>
        <v>12.658877714712665</v>
      </c>
      <c r="EX124" s="21">
        <f>EXP(-LN(2)/2)*EX123+(1-EXP(-LN(2)/2))/(LN(2)/2)*ER124*EU124*VLOOKUP('Données projet'!$B$15,Paramètres!$A$1:$I$89,3,0)*0.475*44/12</f>
        <v>0.1507062942606478</v>
      </c>
      <c r="EY124" s="22">
        <f t="shared" si="75"/>
        <v>23.871566788638969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-1.4897523215040567E-13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328.93328163316073</v>
      </c>
      <c r="FK124" s="59">
        <f t="shared" si="102"/>
        <v>320.27831321887072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20.456679870140505</v>
      </c>
      <c r="FR124" s="21">
        <f>EXP(-LN(2)/25)*FR123+(1-EXP(-LN(2)/25))/(LN(2)/25)*Calculateur!FM124*Calculateur!FO124*VLOOKUP('Données projet'!$B$16,Paramètres!$A$1:$I$89,3,0)*0.475*44/12</f>
        <v>14.924708804989468</v>
      </c>
      <c r="FS124" s="21">
        <f>EXP(-LN(2)/2)*FS123+(1-EXP(-LN(2)/2))/(LN(2)/2)*FM124*FP124*VLOOKUP('Données projet'!$B$16,Paramètres!$A$1:$I$89,3,0)*0.475*44/12</f>
        <v>3.8489182491908727E-5</v>
      </c>
      <c r="FT124" s="22">
        <f t="shared" si="78"/>
        <v>35.381427164312463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173.07692307692307</v>
      </c>
      <c r="GA124" s="17">
        <f>FZ124*VLOOKUP('Données projet'!$B$17,Paramètres!$A$1:$I$89,3,0)*VLOOKUP('Données projet'!$B$17,Paramètres!$A$1:$I$89,5,0)</f>
        <v>116.1</v>
      </c>
      <c r="GB124" s="13">
        <f t="shared" si="103"/>
        <v>30.763646636385982</v>
      </c>
      <c r="GC124" s="20">
        <f t="shared" si="79"/>
        <v>255.78751789170556</v>
      </c>
      <c r="GD124" s="59">
        <f t="shared" si="80"/>
        <v>547.24567626504358</v>
      </c>
      <c r="GE124" s="59">
        <f ca="1">AVERAGE(OFFSET($GD$3,0,0,'Données projet'!$E$17+1,1))-AVERAGE(OFFSET($H$3,0,0,'Données projet'!$E$17+1,1))</f>
        <v>192.88444860121191</v>
      </c>
      <c r="GF124" s="59">
        <f t="shared" si="104"/>
        <v>136.13737493732751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9.0197705741889127</v>
      </c>
      <c r="GM124" s="21">
        <f>EXP(-LN(2)/25)*GM123+(1-EXP(-LN(2)/25))/(LN(2)/25)*Calculateur!GH124*Calculateur!GJ124*VLOOKUP('Données projet'!$B$17,Paramètres!$A$1:$I$89,3,0)*0.475*44/12</f>
        <v>10.321854136611865</v>
      </c>
      <c r="GN124" s="21">
        <f>EXP(-LN(2)/2)*GN123+(1-EXP(-LN(2)/2))/(LN(2)/2)*GH124*GK124*VLOOKUP('Données projet'!$B$17,Paramètres!$A$1:$I$89,3,0)*0.475*44/12</f>
        <v>9.9698010049351665E-2</v>
      </c>
      <c r="GO124" s="21">
        <f t="shared" si="81"/>
        <v>19.441322720850131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69.488588647274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0.85000000000000009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3.1166666666666671</v>
      </c>
      <c r="H125" s="67">
        <f t="shared" si="56"/>
        <v>244.19999999999996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1132.7250723194375</v>
      </c>
      <c r="S125" s="59">
        <f ca="1">AVERAGE(OFFSET($R$3,0,0,'Données projet'!$E$9+1,1))-AVERAGE(OFFSET($H$3,0,0,'Données projet'!$E$9+1,1))</f>
        <v>643.492472896403</v>
      </c>
      <c r="T125" s="59">
        <f t="shared" si="88"/>
        <v>285.0259479655341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-2.8421709430404007E-13</v>
      </c>
      <c r="AJ125" s="13">
        <f>AI125*VLOOKUP('Données projet'!$B$10,Paramètres!$A$1:$I$89,3,0)*VLOOKUP('Données projet'!$B$10,Paramètres!$A$1:$I$89,5,0)</f>
        <v>-2.2168933355715128E-13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289.89907502443873</v>
      </c>
      <c r="AO125" s="59">
        <f t="shared" si="90"/>
        <v>267.42183550360301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14.031885739550646</v>
      </c>
      <c r="AV125" s="21">
        <f>EXP(-LN(2)/25)*AV124+(1-EXP(-LN(2)/25))/(LN(2)/25)*Calculateur!AQ125*Calculateur!AS125*VLOOKUP('Données projet'!$B$10,Paramètres!$A$1:$I$89,3,0)*0.475*44/12</f>
        <v>10.646968824502757</v>
      </c>
      <c r="AW125" s="21">
        <f>EXP(-LN(2)/2)*AW124+(1-EXP(-LN(2)/2))/(LN(2)/2)*AQ125*AT125*VLOOKUP('Données projet'!$B$10,Paramètres!$A$1:$I$89,3,0)*0.475*44/12</f>
        <v>4.5058756284949591E-6</v>
      </c>
      <c r="AX125" s="21">
        <f t="shared" si="60"/>
        <v>24.678859069929032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-9.9475983006414026E-14</v>
      </c>
      <c r="BE125" s="13">
        <f>BD125*VLOOKUP('Données projet'!$B$11,Paramètres!$A$1:$I$89,3,0)*VLOOKUP('Données projet'!$B$11,Paramètres!$A$1:$I$89,5,0)</f>
        <v>-9.6213170763803652E-14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177.54241137663234</v>
      </c>
      <c r="BJ125" s="59">
        <f t="shared" si="92"/>
        <v>114.71095021456071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18.936815723807225</v>
      </c>
      <c r="BQ125" s="21">
        <f>EXP(-LN(2)/25)*BQ124+(1-EXP(-LN(2)/25))/(LN(2)/25)*Calculateur!BL125*Calculateur!BN125*VLOOKUP('Données projet'!$B$11,Paramètres!$A$1:$I$89,3,0)*0.475*44/12</f>
        <v>23.859360492501544</v>
      </c>
      <c r="BR125" s="21">
        <f>EXP(-LN(2)/2)*BR124+(1-EXP(-LN(2)/2))/(LN(2)/2)*BL125*BO125*VLOOKUP('Données projet'!$B$11,Paramètres!$A$1:$I$89,3,0)*0.475*44/12</f>
        <v>5.7121719013477907</v>
      </c>
      <c r="BS125" s="22">
        <f t="shared" si="63"/>
        <v>48.508348117656553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-9.9475983006414026E-14</v>
      </c>
      <c r="BZ125" s="13">
        <f>BY125*VLOOKUP('Données projet'!$B$12,Paramètres!$A$1:$I$89,3,0)*VLOOKUP('Données projet'!$B$12,Paramètres!$A$1:$I$89,5,0)</f>
        <v>-1.0707594810810407E-13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192.88977161349993</v>
      </c>
      <c r="CE125" s="59">
        <f t="shared" si="94"/>
        <v>122.91376861456772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21.074843305527398</v>
      </c>
      <c r="CL125" s="21">
        <f>EXP(-LN(2)/25)*CL124+(1-EXP(-LN(2)/25))/(LN(2)/25)*Calculateur!CG125*Calculateur!CI125*VLOOKUP('Données projet'!$B$12,Paramètres!$A$1:$I$89,3,0)*0.475*44/12</f>
        <v>26.553159257783975</v>
      </c>
      <c r="CM125" s="21">
        <f>EXP(-LN(2)/2)*CM124+(1-EXP(-LN(2)/2))/(LN(2)/2)*CG125*CJ125*VLOOKUP('Données projet'!$B$12,Paramètres!$A$1:$I$89,3,0)*0.475*44/12</f>
        <v>6.3570945353709254</v>
      </c>
      <c r="CN125" s="22">
        <f t="shared" si="66"/>
        <v>53.985097098682296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-8.5265128291212022E-14</v>
      </c>
      <c r="CU125" s="17">
        <f>CT125*VLOOKUP('Données projet'!$B$13,Paramètres!$A$1:$I$89,3,0)*VLOOKUP('Données projet'!$B$13,Paramètres!$A$1:$I$89,5,0)</f>
        <v>-6.9167072069831198E-14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163.16040389635825</v>
      </c>
      <c r="CZ125" s="59">
        <f t="shared" si="96"/>
        <v>138.57856782158811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6.6625758469473304</v>
      </c>
      <c r="DH125" s="21">
        <f>EXP(-LN(2)/2)*DH124+(1-EXP(-LN(2)/2))/(LN(2)/2)*DB125*DE125*VLOOKUP('Données projet'!$B$13,Paramètres!$A$1:$I$89,3,0)*0.475*44/12</f>
        <v>3.821573856083785E-4</v>
      </c>
      <c r="DI125" s="22">
        <f t="shared" si="69"/>
        <v>6.6629580043329391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5.7330000000000014</v>
      </c>
      <c r="DO125" s="12">
        <f>IF('Données projet'!$A$166&gt;35,DO124+DN125-DW124,IF(A125&lt;'Données projet'!$A$166,$DL$205^A125,IF(A125='Données projet'!$A$166,'Données projet'!$B$166,DO124+DN125-DW124)))</f>
        <v>246.76300000000018</v>
      </c>
      <c r="DP125" s="17">
        <f>DO125*VLOOKUP('Données projet'!$B$14,Paramètres!$A$1:$I$89,3,0)*VLOOKUP('Données projet'!$B$14,Paramètres!$A$1:$I$89,5,0)</f>
        <v>115.48508400000009</v>
      </c>
      <c r="DQ125" s="13">
        <f t="shared" si="97"/>
        <v>30.619630481516761</v>
      </c>
      <c r="DR125" s="20">
        <f t="shared" si="70"/>
        <v>254.46571105530847</v>
      </c>
      <c r="DS125" s="59">
        <f t="shared" si="71"/>
        <v>545.95639952193915</v>
      </c>
      <c r="DT125" s="59">
        <f ca="1">AVERAGE(OFFSET($DS$3,0,0,'Données projet'!$E$14+1,1))-AVERAGE(OFFSET($H$3,0,0,'Données projet'!$E$14+1,1))</f>
        <v>343.44193069803498</v>
      </c>
      <c r="DU125" s="59">
        <f t="shared" si="98"/>
        <v>280.67367019483481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100.77801375809197</v>
      </c>
      <c r="EB125" s="21">
        <f>EXP(-LN(2)/25)*EB124+(1-EXP(-LN(2)/25))/(LN(2)/25)*Calculateur!DW125*Calculateur!DY125*VLOOKUP('Données projet'!$B$14,Paramètres!$A$1:$I$89,3,0)*0.475*44/12</f>
        <v>31.595199924810057</v>
      </c>
      <c r="EC125" s="21">
        <f>EXP(-LN(2)/2)*EC124+(1-EXP(-LN(2)/2))/(LN(2)/2)*DW125*DZ125*VLOOKUP('Données projet'!$B$14,Paramètres!$A$1:$I$89,3,0)*0.475*44/12</f>
        <v>17.861470830429617</v>
      </c>
      <c r="ED125" s="22">
        <f t="shared" si="72"/>
        <v>150.23468451333164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173.07692307692307</v>
      </c>
      <c r="EK125" s="17">
        <f>EJ125*VLOOKUP('Données projet'!$B$15,Paramètres!$A$1:$I$89,3,0)*VLOOKUP('Données projet'!$B$15,Paramètres!$A$1:$I$89,5,0)</f>
        <v>175.5</v>
      </c>
      <c r="EL125" s="13">
        <f t="shared" si="99"/>
        <v>44.319548641773906</v>
      </c>
      <c r="EM125" s="20">
        <f t="shared" si="73"/>
        <v>382.85238055108954</v>
      </c>
      <c r="EN125" s="59">
        <f t="shared" si="74"/>
        <v>674.34306901772027</v>
      </c>
      <c r="EO125" s="59">
        <f ca="1">AVERAGE(OFFSET($EN$3,0,0,'Données projet'!$E$15+1,1))-AVERAGE(OFFSET($H$3,0,0,'Données projet'!$E$15+1,1))</f>
        <v>270.0029254736703</v>
      </c>
      <c r="EP125" s="59">
        <f t="shared" si="100"/>
        <v>183.80022202211441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10.845064044499685</v>
      </c>
      <c r="EW125" s="21">
        <f>EXP(-LN(2)/25)*EW124+(1-EXP(-LN(2)/25))/(LN(2)/25)*Calculateur!ER125*Calculateur!ET125*VLOOKUP('Données projet'!$B$15,Paramètres!$A$1:$I$89,3,0)*0.475*44/12</f>
        <v>12.3127200379024</v>
      </c>
      <c r="EX125" s="21">
        <f>EXP(-LN(2)/2)*EX124+(1-EXP(-LN(2)/2))/(LN(2)/2)*ER125*EU125*VLOOKUP('Données projet'!$B$15,Paramètres!$A$1:$I$89,3,0)*0.475*44/12</f>
        <v>0.10656544263919933</v>
      </c>
      <c r="EY125" s="22">
        <f t="shared" si="75"/>
        <v>23.264349525041283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-1.4897523215040567E-13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328.93328163316073</v>
      </c>
      <c r="FK125" s="59">
        <f t="shared" si="102"/>
        <v>320.27831321887072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20.055536855229736</v>
      </c>
      <c r="FR125" s="21">
        <f>EXP(-LN(2)/25)*FR124+(1-EXP(-LN(2)/25))/(LN(2)/25)*Calculateur!FM125*Calculateur!FO125*VLOOKUP('Données projet'!$B$16,Paramètres!$A$1:$I$89,3,0)*0.475*44/12</f>
        <v>14.516591857860705</v>
      </c>
      <c r="FS125" s="21">
        <f>EXP(-LN(2)/2)*FS124+(1-EXP(-LN(2)/2))/(LN(2)/2)*FM125*FP125*VLOOKUP('Données projet'!$B$16,Paramètres!$A$1:$I$89,3,0)*0.475*44/12</f>
        <v>2.7215961942355201E-5</v>
      </c>
      <c r="FT125" s="22">
        <f t="shared" si="78"/>
        <v>34.572155929052386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173.07692307692307</v>
      </c>
      <c r="GA125" s="17">
        <f>FZ125*VLOOKUP('Données projet'!$B$17,Paramètres!$A$1:$I$89,3,0)*VLOOKUP('Données projet'!$B$17,Paramètres!$A$1:$I$89,5,0)</f>
        <v>116.1</v>
      </c>
      <c r="GB125" s="13">
        <f t="shared" si="103"/>
        <v>30.763646636385982</v>
      </c>
      <c r="GC125" s="20">
        <f t="shared" si="79"/>
        <v>255.78751789170556</v>
      </c>
      <c r="GD125" s="59">
        <f t="shared" si="80"/>
        <v>547.27820635833632</v>
      </c>
      <c r="GE125" s="59">
        <f ca="1">AVERAGE(OFFSET($GD$3,0,0,'Données projet'!$E$17+1,1))-AVERAGE(OFFSET($H$3,0,0,'Données projet'!$E$17+1,1))</f>
        <v>192.88444860121191</v>
      </c>
      <c r="GF125" s="59">
        <f t="shared" si="104"/>
        <v>136.13737493732751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8.8428983747458894</v>
      </c>
      <c r="GM125" s="21">
        <f>EXP(-LN(2)/25)*GM124+(1-EXP(-LN(2)/25))/(LN(2)/25)*Calculateur!GH125*Calculateur!GJ125*VLOOKUP('Données projet'!$B$17,Paramètres!$A$1:$I$89,3,0)*0.475*44/12</f>
        <v>10.039602492443496</v>
      </c>
      <c r="GN125" s="21">
        <f>EXP(-LN(2)/2)*GN124+(1-EXP(-LN(2)/2))/(LN(2)/2)*GH125*GK125*VLOOKUP('Données projet'!$B$17,Paramètres!$A$1:$I$89,3,0)*0.475*44/12</f>
        <v>7.0497138976701124E-2</v>
      </c>
      <c r="GO125" s="21">
        <f t="shared" si="81"/>
        <v>18.952998006166087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69.4974604908993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0.85000000000000009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3.1166666666666671</v>
      </c>
      <c r="H126" s="67">
        <f t="shared" si="56"/>
        <v>244.19999999999996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1149.6586215055654</v>
      </c>
      <c r="S126" s="59">
        <f ca="1">AVERAGE(OFFSET($R$3,0,0,'Données projet'!$E$9+1,1))-AVERAGE(OFFSET($H$3,0,0,'Données projet'!$E$9+1,1))</f>
        <v>643.492472896403</v>
      </c>
      <c r="T126" s="59">
        <f t="shared" si="88"/>
        <v>285.0259479655341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-2.8421709430404007E-13</v>
      </c>
      <c r="AJ126" s="13">
        <f>AI126*VLOOKUP('Données projet'!$B$10,Paramètres!$A$1:$I$89,3,0)*VLOOKUP('Données projet'!$B$10,Paramètres!$A$1:$I$89,5,0)</f>
        <v>-2.2168933355715128E-13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289.89907502443873</v>
      </c>
      <c r="AO126" s="59">
        <f t="shared" si="90"/>
        <v>267.42183550360301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13.756729018803266</v>
      </c>
      <c r="AV126" s="21">
        <f>EXP(-LN(2)/25)*AV125+(1-EXP(-LN(2)/25))/(LN(2)/25)*Calculateur!AQ126*Calculateur!AS126*VLOOKUP('Données projet'!$B$10,Paramètres!$A$1:$I$89,3,0)*0.475*44/12</f>
        <v>10.355826902096972</v>
      </c>
      <c r="AW126" s="21">
        <f>EXP(-LN(2)/2)*AW125+(1-EXP(-LN(2)/2))/(LN(2)/2)*AQ126*AT126*VLOOKUP('Données projet'!$B$10,Paramètres!$A$1:$I$89,3,0)*0.475*44/12</f>
        <v>3.1861352120919824E-6</v>
      </c>
      <c r="AX126" s="21">
        <f t="shared" si="60"/>
        <v>24.112559107035452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-9.9475983006414026E-14</v>
      </c>
      <c r="BE126" s="13">
        <f>BD126*VLOOKUP('Données projet'!$B$11,Paramètres!$A$1:$I$89,3,0)*VLOOKUP('Données projet'!$B$11,Paramètres!$A$1:$I$89,5,0)</f>
        <v>-9.6213170763803652E-14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177.54241137663234</v>
      </c>
      <c r="BJ126" s="59">
        <f t="shared" si="92"/>
        <v>114.71095021456071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18.565476317780458</v>
      </c>
      <c r="BQ126" s="21">
        <f>EXP(-LN(2)/25)*BQ125+(1-EXP(-LN(2)/25))/(LN(2)/25)*Calculateur!BL126*Calculateur!BN126*VLOOKUP('Données projet'!$B$11,Paramètres!$A$1:$I$89,3,0)*0.475*44/12</f>
        <v>23.206925025124853</v>
      </c>
      <c r="BR126" s="21">
        <f>EXP(-LN(2)/2)*BR125+(1-EXP(-LN(2)/2))/(LN(2)/2)*BL126*BO126*VLOOKUP('Données projet'!$B$11,Paramètres!$A$1:$I$89,3,0)*0.475*44/12</f>
        <v>4.0391154867462777</v>
      </c>
      <c r="BS126" s="22">
        <f t="shared" si="63"/>
        <v>45.811516829651588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-9.9475983006414026E-14</v>
      </c>
      <c r="BZ126" s="13">
        <f>BY126*VLOOKUP('Données projet'!$B$12,Paramètres!$A$1:$I$89,3,0)*VLOOKUP('Données projet'!$B$12,Paramètres!$A$1:$I$89,5,0)</f>
        <v>-1.0707594810810407E-13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192.88977161349993</v>
      </c>
      <c r="CE126" s="59">
        <f t="shared" si="94"/>
        <v>122.91376861456772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20.661578482691159</v>
      </c>
      <c r="CL126" s="21">
        <f>EXP(-LN(2)/25)*CL125+(1-EXP(-LN(2)/25))/(LN(2)/25)*Calculateur!CG126*Calculateur!CI126*VLOOKUP('Données projet'!$B$12,Paramètres!$A$1:$I$89,3,0)*0.475*44/12</f>
        <v>25.827061721509914</v>
      </c>
      <c r="CM126" s="21">
        <f>EXP(-LN(2)/2)*CM125+(1-EXP(-LN(2)/2))/(LN(2)/2)*CG126*CJ126*VLOOKUP('Données projet'!$B$12,Paramètres!$A$1:$I$89,3,0)*0.475*44/12</f>
        <v>4.4951446546047267</v>
      </c>
      <c r="CN126" s="22">
        <f t="shared" si="66"/>
        <v>50.983784858805805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-8.5265128291212022E-14</v>
      </c>
      <c r="CU126" s="17">
        <f>CT126*VLOOKUP('Données projet'!$B$13,Paramètres!$A$1:$I$89,3,0)*VLOOKUP('Données projet'!$B$13,Paramètres!$A$1:$I$89,5,0)</f>
        <v>-6.9167072069831198E-14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163.16040389635825</v>
      </c>
      <c r="CZ126" s="59">
        <f t="shared" si="96"/>
        <v>138.57856782158811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6.4803873600429194</v>
      </c>
      <c r="DH126" s="21">
        <f>EXP(-LN(2)/2)*DH125+(1-EXP(-LN(2)/2))/(LN(2)/2)*DB126*DE126*VLOOKUP('Données projet'!$B$13,Paramètres!$A$1:$I$89,3,0)*0.475*44/12</f>
        <v>2.7022607884420676E-4</v>
      </c>
      <c r="DI126" s="22">
        <f t="shared" si="69"/>
        <v>6.4806575861217635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5.7330000000000014</v>
      </c>
      <c r="DO126" s="12">
        <f>IF('Données projet'!$A$166&gt;35,DO125+DN126-DW125,IF(A126&lt;'Données projet'!$A$166,$DL$205^A126,IF(A126='Données projet'!$A$166,'Données projet'!$B$166,DO125+DN126-DW125)))</f>
        <v>252.49600000000018</v>
      </c>
      <c r="DP126" s="17">
        <f>DO126*VLOOKUP('Données projet'!$B$14,Paramètres!$A$1:$I$89,3,0)*VLOOKUP('Données projet'!$B$14,Paramètres!$A$1:$I$89,5,0)</f>
        <v>118.16812800000008</v>
      </c>
      <c r="DQ126" s="13">
        <f t="shared" si="97"/>
        <v>31.247363461606096</v>
      </c>
      <c r="DR126" s="20">
        <f t="shared" si="70"/>
        <v>260.23198096229737</v>
      </c>
      <c r="DS126" s="59">
        <f t="shared" si="71"/>
        <v>551.75463519782863</v>
      </c>
      <c r="DT126" s="59">
        <f ca="1">AVERAGE(OFFSET($DS$3,0,0,'Données projet'!$E$14+1,1))-AVERAGE(OFFSET($H$3,0,0,'Données projet'!$E$14+1,1))</f>
        <v>343.44193069803498</v>
      </c>
      <c r="DU126" s="59">
        <f t="shared" si="98"/>
        <v>280.67367019483481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98.801818376814666</v>
      </c>
      <c r="EB126" s="21">
        <f>EXP(-LN(2)/25)*EB125+(1-EXP(-LN(2)/25))/(LN(2)/25)*Calculateur!DW126*Calculateur!DY126*VLOOKUP('Données projet'!$B$14,Paramètres!$A$1:$I$89,3,0)*0.475*44/12</f>
        <v>30.731227521346774</v>
      </c>
      <c r="EC126" s="21">
        <f>EXP(-LN(2)/2)*EC125+(1-EXP(-LN(2)/2))/(LN(2)/2)*DW126*DZ126*VLOOKUP('Données projet'!$B$14,Paramètres!$A$1:$I$89,3,0)*0.475*44/12</f>
        <v>12.629967146162498</v>
      </c>
      <c r="ED126" s="22">
        <f t="shared" si="72"/>
        <v>142.16301304432395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173.07692307692307</v>
      </c>
      <c r="EK126" s="17">
        <f>EJ126*VLOOKUP('Données projet'!$B$15,Paramètres!$A$1:$I$89,3,0)*VLOOKUP('Données projet'!$B$15,Paramètres!$A$1:$I$89,5,0)</f>
        <v>175.5</v>
      </c>
      <c r="EL126" s="13">
        <f t="shared" si="99"/>
        <v>44.319548641773906</v>
      </c>
      <c r="EM126" s="20">
        <f t="shared" si="73"/>
        <v>382.85238055108954</v>
      </c>
      <c r="EN126" s="59">
        <f t="shared" si="74"/>
        <v>674.37503478662074</v>
      </c>
      <c r="EO126" s="59">
        <f ca="1">AVERAGE(OFFSET($EN$3,0,0,'Données projet'!$E$15+1,1))-AVERAGE(OFFSET($H$3,0,0,'Données projet'!$E$15+1,1))</f>
        <v>270.0029254736703</v>
      </c>
      <c r="EP126" s="59">
        <f t="shared" si="100"/>
        <v>183.80022202211441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10.632398953422951</v>
      </c>
      <c r="EW126" s="21">
        <f>EXP(-LN(2)/25)*EW125+(1-EXP(-LN(2)/25))/(LN(2)/25)*Calculateur!ER126*Calculateur!ET126*VLOOKUP('Données projet'!$B$15,Paramètres!$A$1:$I$89,3,0)*0.475*44/12</f>
        <v>11.976028060968153</v>
      </c>
      <c r="EX126" s="21">
        <f>EXP(-LN(2)/2)*EX125+(1-EXP(-LN(2)/2))/(LN(2)/2)*ER126*EU126*VLOOKUP('Données projet'!$B$15,Paramètres!$A$1:$I$89,3,0)*0.475*44/12</f>
        <v>7.53531471303239E-2</v>
      </c>
      <c r="EY126" s="22">
        <f t="shared" si="75"/>
        <v>22.68378016152143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-1.4897523215040567E-13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328.93328163316073</v>
      </c>
      <c r="FK126" s="59">
        <f t="shared" si="102"/>
        <v>320.27831321887072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19.662260010168286</v>
      </c>
      <c r="FR126" s="21">
        <f>EXP(-LN(2)/25)*FR125+(1-EXP(-LN(2)/25))/(LN(2)/25)*Calculateur!FM126*Calculateur!FO126*VLOOKUP('Données projet'!$B$16,Paramètres!$A$1:$I$89,3,0)*0.475*44/12</f>
        <v>14.119634890113117</v>
      </c>
      <c r="FS126" s="21">
        <f>EXP(-LN(2)/2)*FS125+(1-EXP(-LN(2)/2))/(LN(2)/2)*FM126*FP126*VLOOKUP('Données projet'!$B$16,Paramètres!$A$1:$I$89,3,0)*0.475*44/12</f>
        <v>1.9244591245954364E-5</v>
      </c>
      <c r="FT126" s="22">
        <f t="shared" si="78"/>
        <v>33.781914144872644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173.07692307692307</v>
      </c>
      <c r="GA126" s="17">
        <f>FZ126*VLOOKUP('Données projet'!$B$17,Paramètres!$A$1:$I$89,3,0)*VLOOKUP('Données projet'!$B$17,Paramètres!$A$1:$I$89,5,0)</f>
        <v>116.1</v>
      </c>
      <c r="GB126" s="13">
        <f t="shared" si="103"/>
        <v>30.763646636385982</v>
      </c>
      <c r="GC126" s="20">
        <f t="shared" si="79"/>
        <v>255.78751789170556</v>
      </c>
      <c r="GD126" s="59">
        <f t="shared" si="80"/>
        <v>547.3101721272368</v>
      </c>
      <c r="GE126" s="59">
        <f ca="1">AVERAGE(OFFSET($GD$3,0,0,'Données projet'!$E$17+1,1))-AVERAGE(OFFSET($H$3,0,0,'Données projet'!$E$17+1,1))</f>
        <v>192.88444860121191</v>
      </c>
      <c r="GF126" s="59">
        <f t="shared" si="104"/>
        <v>136.13737493732751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8.6694945312525533</v>
      </c>
      <c r="GM126" s="21">
        <f>EXP(-LN(2)/25)*GM125+(1-EXP(-LN(2)/25))/(LN(2)/25)*Calculateur!GH126*Calculateur!GJ126*VLOOKUP('Données projet'!$B$17,Paramètres!$A$1:$I$89,3,0)*0.475*44/12</f>
        <v>9.7650690343278796</v>
      </c>
      <c r="GN126" s="21">
        <f>EXP(-LN(2)/2)*GN125+(1-EXP(-LN(2)/2))/(LN(2)/2)*GH126*GK126*VLOOKUP('Données projet'!$B$17,Paramètres!$A$1:$I$89,3,0)*0.475*44/12</f>
        <v>4.9849005024675833E-2</v>
      </c>
      <c r="GO126" s="21">
        <f t="shared" si="81"/>
        <v>18.484412570605109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69.506178427872157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0.85000000000000009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3.1166666666666671</v>
      </c>
      <c r="H127" s="67">
        <f t="shared" si="56"/>
        <v>244.19999999999996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1166.5849430728263</v>
      </c>
      <c r="S127" s="59">
        <f ca="1">AVERAGE(OFFSET($R$3,0,0,'Données projet'!$E$9+1,1))-AVERAGE(OFFSET($H$3,0,0,'Données projet'!$E$9+1,1))</f>
        <v>643.492472896403</v>
      </c>
      <c r="T127" s="59">
        <f t="shared" si="88"/>
        <v>285.0259479655341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-2.8421709430404007E-13</v>
      </c>
      <c r="AJ127" s="13">
        <f>AI127*VLOOKUP('Données projet'!$B$10,Paramètres!$A$1:$I$89,3,0)*VLOOKUP('Données projet'!$B$10,Paramètres!$A$1:$I$89,5,0)</f>
        <v>-2.2168933355715128E-13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289.89907502443873</v>
      </c>
      <c r="AO127" s="59">
        <f t="shared" si="90"/>
        <v>267.42183550360301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13.486967953520715</v>
      </c>
      <c r="AV127" s="21">
        <f>EXP(-LN(2)/25)*AV126+(1-EXP(-LN(2)/25))/(LN(2)/25)*Calculateur!AQ127*Calculateur!AS127*VLOOKUP('Données projet'!$B$10,Paramètres!$A$1:$I$89,3,0)*0.475*44/12</f>
        <v>10.072646270869862</v>
      </c>
      <c r="AW127" s="21">
        <f>EXP(-LN(2)/2)*AW126+(1-EXP(-LN(2)/2))/(LN(2)/2)*AQ127*AT127*VLOOKUP('Données projet'!$B$10,Paramètres!$A$1:$I$89,3,0)*0.475*44/12</f>
        <v>2.2529378142474795E-6</v>
      </c>
      <c r="AX127" s="21">
        <f t="shared" si="60"/>
        <v>23.559616477328394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-9.9475983006414026E-14</v>
      </c>
      <c r="BE127" s="13">
        <f>BD127*VLOOKUP('Données projet'!$B$11,Paramètres!$A$1:$I$89,3,0)*VLOOKUP('Données projet'!$B$11,Paramètres!$A$1:$I$89,5,0)</f>
        <v>-9.6213170763803652E-14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177.54241137663234</v>
      </c>
      <c r="BJ127" s="59">
        <f t="shared" si="92"/>
        <v>114.71095021456071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18.201418651011203</v>
      </c>
      <c r="BQ127" s="21">
        <f>EXP(-LN(2)/25)*BQ126+(1-EXP(-LN(2)/25))/(LN(2)/25)*Calculateur!BL127*Calculateur!BN127*VLOOKUP('Données projet'!$B$11,Paramètres!$A$1:$I$89,3,0)*0.475*44/12</f>
        <v>22.572330439913667</v>
      </c>
      <c r="BR127" s="21">
        <f>EXP(-LN(2)/2)*BR126+(1-EXP(-LN(2)/2))/(LN(2)/2)*BL127*BO127*VLOOKUP('Données projet'!$B$11,Paramètres!$A$1:$I$89,3,0)*0.475*44/12</f>
        <v>2.8560859506738958</v>
      </c>
      <c r="BS127" s="22">
        <f t="shared" si="63"/>
        <v>43.62983504159876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-9.9475983006414026E-14</v>
      </c>
      <c r="BZ127" s="13">
        <f>BY127*VLOOKUP('Données projet'!$B$12,Paramètres!$A$1:$I$89,3,0)*VLOOKUP('Données projet'!$B$12,Paramètres!$A$1:$I$89,5,0)</f>
        <v>-1.0707594810810407E-13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192.88977161349993</v>
      </c>
      <c r="CE127" s="59">
        <f t="shared" si="94"/>
        <v>122.91376861456772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20.256417530964082</v>
      </c>
      <c r="CL127" s="21">
        <f>EXP(-LN(2)/25)*CL126+(1-EXP(-LN(2)/25))/(LN(2)/25)*Calculateur!CG127*Calculateur!CI127*VLOOKUP('Données projet'!$B$12,Paramètres!$A$1:$I$89,3,0)*0.475*44/12</f>
        <v>25.120819360549078</v>
      </c>
      <c r="CM127" s="21">
        <f>EXP(-LN(2)/2)*CM126+(1-EXP(-LN(2)/2))/(LN(2)/2)*CG127*CJ127*VLOOKUP('Données projet'!$B$12,Paramètres!$A$1:$I$89,3,0)*0.475*44/12</f>
        <v>3.1785472676854636</v>
      </c>
      <c r="CN127" s="22">
        <f t="shared" si="66"/>
        <v>48.55578415919863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-8.5265128291212022E-14</v>
      </c>
      <c r="CU127" s="17">
        <f>CT127*VLOOKUP('Données projet'!$B$13,Paramètres!$A$1:$I$89,3,0)*VLOOKUP('Données projet'!$B$13,Paramètres!$A$1:$I$89,5,0)</f>
        <v>-6.9167072069831198E-14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163.16040389635825</v>
      </c>
      <c r="CZ127" s="59">
        <f t="shared" si="96"/>
        <v>138.57856782158811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6.3031808268937857</v>
      </c>
      <c r="DH127" s="21">
        <f>EXP(-LN(2)/2)*DH126+(1-EXP(-LN(2)/2))/(LN(2)/2)*DB127*DE127*VLOOKUP('Données projet'!$B$13,Paramètres!$A$1:$I$89,3,0)*0.475*44/12</f>
        <v>1.9107869280418925E-4</v>
      </c>
      <c r="DI127" s="22">
        <f t="shared" si="69"/>
        <v>6.30337190558659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5.7330000000000014</v>
      </c>
      <c r="DO127" s="12">
        <f>IF('Données projet'!$A$166&gt;35,DO126+DN127-DW126,IF(A127&lt;'Données projet'!$A$166,$DL$205^A127,IF(A127='Données projet'!$A$166,'Données projet'!$B$166,DO126+DN127-DW126)))</f>
        <v>258.22900000000016</v>
      </c>
      <c r="DP127" s="17">
        <f>DO127*VLOOKUP('Données projet'!$B$14,Paramètres!$A$1:$I$89,3,0)*VLOOKUP('Données projet'!$B$14,Paramètres!$A$1:$I$89,5,0)</f>
        <v>120.85117200000008</v>
      </c>
      <c r="DQ127" s="13">
        <f t="shared" si="97"/>
        <v>31.873439447313004</v>
      </c>
      <c r="DR127" s="20">
        <f t="shared" si="70"/>
        <v>265.99536493740356</v>
      </c>
      <c r="DS127" s="59">
        <f t="shared" si="71"/>
        <v>557.54943040720968</v>
      </c>
      <c r="DT127" s="59">
        <f ca="1">AVERAGE(OFFSET($DS$3,0,0,'Données projet'!$E$14+1,1))-AVERAGE(OFFSET($H$3,0,0,'Données projet'!$E$14+1,1))</f>
        <v>343.44193069803498</v>
      </c>
      <c r="DU127" s="59">
        <f t="shared" si="98"/>
        <v>280.67367019483481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96.864374981604044</v>
      </c>
      <c r="EB127" s="21">
        <f>EXP(-LN(2)/25)*EB126+(1-EXP(-LN(2)/25))/(LN(2)/25)*Calculateur!DW127*Calculateur!DY127*VLOOKUP('Données projet'!$B$14,Paramètres!$A$1:$I$89,3,0)*0.475*44/12</f>
        <v>29.890880488690527</v>
      </c>
      <c r="EC127" s="21">
        <f>EXP(-LN(2)/2)*EC126+(1-EXP(-LN(2)/2))/(LN(2)/2)*DW127*DZ127*VLOOKUP('Données projet'!$B$14,Paramètres!$A$1:$I$89,3,0)*0.475*44/12</f>
        <v>8.9307354152148104</v>
      </c>
      <c r="ED127" s="22">
        <f t="shared" si="72"/>
        <v>135.68599088550937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173.07692307692307</v>
      </c>
      <c r="EK127" s="17">
        <f>EJ127*VLOOKUP('Données projet'!$B$15,Paramètres!$A$1:$I$89,3,0)*VLOOKUP('Données projet'!$B$15,Paramètres!$A$1:$I$89,5,0)</f>
        <v>175.5</v>
      </c>
      <c r="EL127" s="13">
        <f t="shared" si="99"/>
        <v>44.319548641773906</v>
      </c>
      <c r="EM127" s="20">
        <f t="shared" si="73"/>
        <v>382.85238055108954</v>
      </c>
      <c r="EN127" s="59">
        <f t="shared" si="74"/>
        <v>674.4064460208956</v>
      </c>
      <c r="EO127" s="59">
        <f ca="1">AVERAGE(OFFSET($EN$3,0,0,'Données projet'!$E$15+1,1))-AVERAGE(OFFSET($H$3,0,0,'Données projet'!$E$15+1,1))</f>
        <v>270.0029254736703</v>
      </c>
      <c r="EP127" s="59">
        <f t="shared" si="100"/>
        <v>183.80022202211441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10.423904095069336</v>
      </c>
      <c r="EW127" s="21">
        <f>EXP(-LN(2)/25)*EW126+(1-EXP(-LN(2)/25))/(LN(2)/25)*Calculateur!ER127*Calculateur!ET127*VLOOKUP('Données projet'!$B$15,Paramètres!$A$1:$I$89,3,0)*0.475*44/12</f>
        <v>11.648542943849034</v>
      </c>
      <c r="EX127" s="21">
        <f>EXP(-LN(2)/2)*EX126+(1-EXP(-LN(2)/2))/(LN(2)/2)*ER127*EU127*VLOOKUP('Données projet'!$B$15,Paramètres!$A$1:$I$89,3,0)*0.475*44/12</f>
        <v>5.3282721319599664E-2</v>
      </c>
      <c r="EY127" s="22">
        <f t="shared" si="75"/>
        <v>22.12572976023797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-1.4897523215040567E-13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328.93328163316073</v>
      </c>
      <c r="FK127" s="59">
        <f t="shared" si="102"/>
        <v>320.27831321887072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19.2766950841633</v>
      </c>
      <c r="FR127" s="21">
        <f>EXP(-LN(2)/25)*FR126+(1-EXP(-LN(2)/25))/(LN(2)/25)*Calculateur!FM127*Calculateur!FO127*VLOOKUP('Données projet'!$B$16,Paramètres!$A$1:$I$89,3,0)*0.475*44/12</f>
        <v>13.733532731523646</v>
      </c>
      <c r="FS127" s="21">
        <f>EXP(-LN(2)/2)*FS126+(1-EXP(-LN(2)/2))/(LN(2)/2)*FM127*FP127*VLOOKUP('Données projet'!$B$16,Paramètres!$A$1:$I$89,3,0)*0.475*44/12</f>
        <v>1.36079809711776E-5</v>
      </c>
      <c r="FT127" s="22">
        <f t="shared" si="78"/>
        <v>33.010241423667914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173.07692307692307</v>
      </c>
      <c r="GA127" s="17">
        <f>FZ127*VLOOKUP('Données projet'!$B$17,Paramètres!$A$1:$I$89,3,0)*VLOOKUP('Données projet'!$B$17,Paramètres!$A$1:$I$89,5,0)</f>
        <v>116.1</v>
      </c>
      <c r="GB127" s="13">
        <f t="shared" si="103"/>
        <v>30.763646636385982</v>
      </c>
      <c r="GC127" s="20">
        <f t="shared" si="79"/>
        <v>255.78751789170556</v>
      </c>
      <c r="GD127" s="59">
        <f t="shared" si="80"/>
        <v>547.34158336151165</v>
      </c>
      <c r="GE127" s="59">
        <f ca="1">AVERAGE(OFFSET($GD$3,0,0,'Données projet'!$E$17+1,1))-AVERAGE(OFFSET($H$3,0,0,'Données projet'!$E$17+1,1))</f>
        <v>192.88444860121191</v>
      </c>
      <c r="GF127" s="59">
        <f t="shared" si="104"/>
        <v>136.13737493732751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8.4994910313642205</v>
      </c>
      <c r="GM127" s="21">
        <f>EXP(-LN(2)/25)*GM126+(1-EXP(-LN(2)/25))/(LN(2)/25)*Calculateur!GH127*Calculateur!GJ127*VLOOKUP('Données projet'!$B$17,Paramètres!$A$1:$I$89,3,0)*0.475*44/12</f>
        <v>9.4980427080615222</v>
      </c>
      <c r="GN127" s="21">
        <f>EXP(-LN(2)/2)*GN126+(1-EXP(-LN(2)/2))/(LN(2)/2)*GH127*GK127*VLOOKUP('Données projet'!$B$17,Paramètres!$A$1:$I$89,3,0)*0.475*44/12</f>
        <v>3.5248569488350562E-2</v>
      </c>
      <c r="GO127" s="21">
        <f t="shared" si="81"/>
        <v>18.03278230891409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69.514745128128936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0.85000000000000009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3.1166666666666671</v>
      </c>
      <c r="H128" s="67">
        <f t="shared" si="56"/>
        <v>244.19999999999996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1074.0855486510948</v>
      </c>
      <c r="S128" s="59">
        <f ca="1">AVERAGE(OFFSET($R$3,0,0,'Données projet'!$E$9+1,1))-AVERAGE(OFFSET($H$3,0,0,'Données projet'!$E$9+1,1))</f>
        <v>643.492472896403</v>
      </c>
      <c r="T128" s="59">
        <f t="shared" si="88"/>
        <v>285.0259479655341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-2.8421709430404007E-13</v>
      </c>
      <c r="AJ128" s="13">
        <f>AI128*VLOOKUP('Données projet'!$B$10,Paramètres!$A$1:$I$89,3,0)*VLOOKUP('Données projet'!$B$10,Paramètres!$A$1:$I$89,5,0)</f>
        <v>-2.2168933355715128E-13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289.89907502443873</v>
      </c>
      <c r="AO128" s="59">
        <f t="shared" si="90"/>
        <v>267.42183550360301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13.222496738190351</v>
      </c>
      <c r="AV128" s="21">
        <f>EXP(-LN(2)/25)*AV127+(1-EXP(-LN(2)/25))/(LN(2)/25)*Calculateur!AQ128*Calculateur!AS128*VLOOKUP('Données projet'!$B$10,Paramètres!$A$1:$I$89,3,0)*0.475*44/12</f>
        <v>9.7972092288954791</v>
      </c>
      <c r="AW128" s="21">
        <f>EXP(-LN(2)/2)*AW127+(1-EXP(-LN(2)/2))/(LN(2)/2)*AQ128*AT128*VLOOKUP('Données projet'!$B$10,Paramètres!$A$1:$I$89,3,0)*0.475*44/12</f>
        <v>1.5930676060459912E-6</v>
      </c>
      <c r="AX128" s="21">
        <f t="shared" si="60"/>
        <v>23.019707560153435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-9.9475983006414026E-14</v>
      </c>
      <c r="BE128" s="13">
        <f>BD128*VLOOKUP('Données projet'!$B$11,Paramètres!$A$1:$I$89,3,0)*VLOOKUP('Données projet'!$B$11,Paramètres!$A$1:$I$89,5,0)</f>
        <v>-9.6213170763803652E-14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177.54241137663234</v>
      </c>
      <c r="BJ128" s="59">
        <f t="shared" si="92"/>
        <v>114.71095021456071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17.84449993303404</v>
      </c>
      <c r="BQ128" s="21">
        <f>EXP(-LN(2)/25)*BQ127+(1-EXP(-LN(2)/25))/(LN(2)/25)*Calculateur!BL128*Calculateur!BN128*VLOOKUP('Données projet'!$B$11,Paramètres!$A$1:$I$89,3,0)*0.475*44/12</f>
        <v>21.955088877006961</v>
      </c>
      <c r="BR128" s="21">
        <f>EXP(-LN(2)/2)*BR127+(1-EXP(-LN(2)/2))/(LN(2)/2)*BL128*BO128*VLOOKUP('Données projet'!$B$11,Paramètres!$A$1:$I$89,3,0)*0.475*44/12</f>
        <v>2.0195577433731393</v>
      </c>
      <c r="BS128" s="22">
        <f t="shared" si="63"/>
        <v>41.819146553414143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-9.9475983006414026E-14</v>
      </c>
      <c r="BZ128" s="13">
        <f>BY128*VLOOKUP('Données projet'!$B$12,Paramètres!$A$1:$I$89,3,0)*VLOOKUP('Données projet'!$B$12,Paramètres!$A$1:$I$89,5,0)</f>
        <v>-1.0707594810810407E-13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192.88977161349993</v>
      </c>
      <c r="CE128" s="59">
        <f t="shared" si="94"/>
        <v>122.91376861456772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19.859201538376595</v>
      </c>
      <c r="CL128" s="21">
        <f>EXP(-LN(2)/25)*CL127+(1-EXP(-LN(2)/25))/(LN(2)/25)*Calculateur!CG128*Calculateur!CI128*VLOOKUP('Données projet'!$B$12,Paramètres!$A$1:$I$89,3,0)*0.475*44/12</f>
        <v>24.433889234088387</v>
      </c>
      <c r="CM128" s="21">
        <f>EXP(-LN(2)/2)*CM127+(1-EXP(-LN(2)/2))/(LN(2)/2)*CG128*CJ128*VLOOKUP('Données projet'!$B$12,Paramètres!$A$1:$I$89,3,0)*0.475*44/12</f>
        <v>2.2475723273023638</v>
      </c>
      <c r="CN128" s="22">
        <f t="shared" si="66"/>
        <v>46.540663099767343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-8.5265128291212022E-14</v>
      </c>
      <c r="CU128" s="17">
        <f>CT128*VLOOKUP('Données projet'!$B$13,Paramètres!$A$1:$I$89,3,0)*VLOOKUP('Données projet'!$B$13,Paramètres!$A$1:$I$89,5,0)</f>
        <v>-6.9167072069831198E-14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163.16040389635825</v>
      </c>
      <c r="CZ128" s="59">
        <f t="shared" si="96"/>
        <v>138.57856782158811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6.1308200157125015</v>
      </c>
      <c r="DH128" s="21">
        <f>EXP(-LN(2)/2)*DH127+(1-EXP(-LN(2)/2))/(LN(2)/2)*DB128*DE128*VLOOKUP('Données projet'!$B$13,Paramètres!$A$1:$I$89,3,0)*0.475*44/12</f>
        <v>1.3511303942210338E-4</v>
      </c>
      <c r="DI128" s="22">
        <f t="shared" si="69"/>
        <v>6.1309551287519239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5.7330000000000014</v>
      </c>
      <c r="DO128" s="12">
        <f>IF('Données projet'!$A$166&gt;35,DO127+DN128-DW127,IF(A128&lt;'Données projet'!$A$166,$DL$205^A128,IF(A128='Données projet'!$A$166,'Données projet'!$B$166,DO127+DN128-DW127)))</f>
        <v>263.96200000000016</v>
      </c>
      <c r="DP128" s="17">
        <f>DO128*VLOOKUP('Données projet'!$B$14,Paramètres!$A$1:$I$89,3,0)*VLOOKUP('Données projet'!$B$14,Paramètres!$A$1:$I$89,5,0)</f>
        <v>123.53421600000007</v>
      </c>
      <c r="DQ128" s="13">
        <f t="shared" si="97"/>
        <v>32.497899461772079</v>
      </c>
      <c r="DR128" s="20">
        <f t="shared" si="70"/>
        <v>271.75593442925316</v>
      </c>
      <c r="DS128" s="59">
        <f t="shared" si="71"/>
        <v>563.34086621864446</v>
      </c>
      <c r="DT128" s="59">
        <f ca="1">AVERAGE(OFFSET($DS$3,0,0,'Données projet'!$E$14+1,1))-AVERAGE(OFFSET($H$3,0,0,'Données projet'!$E$14+1,1))</f>
        <v>343.44193069803498</v>
      </c>
      <c r="DU128" s="59">
        <f t="shared" si="98"/>
        <v>280.67367019483481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94.964923669649721</v>
      </c>
      <c r="EB128" s="21">
        <f>EXP(-LN(2)/25)*EB127+(1-EXP(-LN(2)/25))/(LN(2)/25)*Calculateur!DW128*Calculateur!DY128*VLOOKUP('Données projet'!$B$14,Paramètres!$A$1:$I$89,3,0)*0.475*44/12</f>
        <v>29.073512789834197</v>
      </c>
      <c r="EC128" s="21">
        <f>EXP(-LN(2)/2)*EC127+(1-EXP(-LN(2)/2))/(LN(2)/2)*DW128*DZ128*VLOOKUP('Données projet'!$B$14,Paramètres!$A$1:$I$89,3,0)*0.475*44/12</f>
        <v>6.3149835730812498</v>
      </c>
      <c r="ED128" s="22">
        <f t="shared" si="72"/>
        <v>130.35342003256517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173.07692307692307</v>
      </c>
      <c r="EK128" s="17">
        <f>EJ128*VLOOKUP('Données projet'!$B$15,Paramètres!$A$1:$I$89,3,0)*VLOOKUP('Données projet'!$B$15,Paramètres!$A$1:$I$89,5,0)</f>
        <v>175.5</v>
      </c>
      <c r="EL128" s="13">
        <f t="shared" si="99"/>
        <v>44.319548641773906</v>
      </c>
      <c r="EM128" s="20">
        <f t="shared" si="73"/>
        <v>382.85238055108954</v>
      </c>
      <c r="EN128" s="59">
        <f t="shared" si="74"/>
        <v>674.43731234048084</v>
      </c>
      <c r="EO128" s="59">
        <f ca="1">AVERAGE(OFFSET($EN$3,0,0,'Données projet'!$E$15+1,1))-AVERAGE(OFFSET($H$3,0,0,'Données projet'!$E$15+1,1))</f>
        <v>270.0029254736703</v>
      </c>
      <c r="EP128" s="59">
        <f t="shared" si="100"/>
        <v>183.80022202211441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10.219497693718729</v>
      </c>
      <c r="EW128" s="21">
        <f>EXP(-LN(2)/25)*EW127+(1-EXP(-LN(2)/25))/(LN(2)/25)*Calculateur!ER128*Calculateur!ET128*VLOOKUP('Données projet'!$B$15,Paramètres!$A$1:$I$89,3,0)*0.475*44/12</f>
        <v>11.330012924479231</v>
      </c>
      <c r="EX128" s="21">
        <f>EXP(-LN(2)/2)*EX127+(1-EXP(-LN(2)/2))/(LN(2)/2)*ER128*EU128*VLOOKUP('Données projet'!$B$15,Paramètres!$A$1:$I$89,3,0)*0.475*44/12</f>
        <v>3.767657356516195E-2</v>
      </c>
      <c r="EY128" s="22">
        <f t="shared" si="75"/>
        <v>21.587187191763121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-1.4897523215040567E-13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328.93328163316073</v>
      </c>
      <c r="FK128" s="59">
        <f t="shared" si="102"/>
        <v>320.27831321887072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18.89869085118589</v>
      </c>
      <c r="FR128" s="21">
        <f>EXP(-LN(2)/25)*FR127+(1-EXP(-LN(2)/25))/(LN(2)/25)*Calculateur!FM128*Calculateur!FO128*VLOOKUP('Données projet'!$B$16,Paramètres!$A$1:$I$89,3,0)*0.475*44/12</f>
        <v>13.357988556765033</v>
      </c>
      <c r="FS128" s="21">
        <f>EXP(-LN(2)/2)*FS127+(1-EXP(-LN(2)/2))/(LN(2)/2)*FM128*FP128*VLOOKUP('Données projet'!$B$16,Paramètres!$A$1:$I$89,3,0)*0.475*44/12</f>
        <v>9.6222956229771819E-6</v>
      </c>
      <c r="FT128" s="22">
        <f t="shared" si="78"/>
        <v>32.256689030246548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173.07692307692307</v>
      </c>
      <c r="GA128" s="17">
        <f>FZ128*VLOOKUP('Données projet'!$B$17,Paramètres!$A$1:$I$89,3,0)*VLOOKUP('Données projet'!$B$17,Paramètres!$A$1:$I$89,5,0)</f>
        <v>116.1</v>
      </c>
      <c r="GB128" s="13">
        <f t="shared" si="103"/>
        <v>30.763646636385982</v>
      </c>
      <c r="GC128" s="20">
        <f t="shared" si="79"/>
        <v>255.78751789170556</v>
      </c>
      <c r="GD128" s="59">
        <f t="shared" si="80"/>
        <v>547.3724496810969</v>
      </c>
      <c r="GE128" s="59">
        <f ca="1">AVERAGE(OFFSET($GD$3,0,0,'Données projet'!$E$17+1,1))-AVERAGE(OFFSET($H$3,0,0,'Données projet'!$E$17+1,1))</f>
        <v>192.88444860121191</v>
      </c>
      <c r="GF128" s="59">
        <f t="shared" si="104"/>
        <v>136.13737493732751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8.332821196416802</v>
      </c>
      <c r="GM128" s="21">
        <f>EXP(-LN(2)/25)*GM127+(1-EXP(-LN(2)/25))/(LN(2)/25)*Calculateur!GH128*Calculateur!GJ128*VLOOKUP('Données projet'!$B$17,Paramètres!$A$1:$I$89,3,0)*0.475*44/12</f>
        <v>9.238318230729222</v>
      </c>
      <c r="GN128" s="21">
        <f>EXP(-LN(2)/2)*GN127+(1-EXP(-LN(2)/2))/(LN(2)/2)*GH128*GK128*VLOOKUP('Données projet'!$B$17,Paramètres!$A$1:$I$89,3,0)*0.475*44/12</f>
        <v>2.4924502512337916E-2</v>
      </c>
      <c r="GO128" s="21">
        <f t="shared" si="81"/>
        <v>17.59606392965836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69.523163215288534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0.85000000000000009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3.1166666666666671</v>
      </c>
      <c r="H129" s="67">
        <f t="shared" si="56"/>
        <v>244.19999999999996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1091.2449478296089</v>
      </c>
      <c r="S129" s="59">
        <f ca="1">AVERAGE(OFFSET($R$3,0,0,'Données projet'!$E$9+1,1))-AVERAGE(OFFSET($H$3,0,0,'Données projet'!$E$9+1,1))</f>
        <v>643.492472896403</v>
      </c>
      <c r="T129" s="59">
        <f t="shared" si="88"/>
        <v>285.0259479655341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-2.8421709430404007E-13</v>
      </c>
      <c r="AJ129" s="13">
        <f>AI129*VLOOKUP('Données projet'!$B$10,Paramètres!$A$1:$I$89,3,0)*VLOOKUP('Données projet'!$B$10,Paramètres!$A$1:$I$89,5,0)</f>
        <v>-2.2168933355715128E-13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289.89907502443873</v>
      </c>
      <c r="AO129" s="59">
        <f t="shared" si="90"/>
        <v>267.42183550360301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12.963211642081104</v>
      </c>
      <c r="AV129" s="21">
        <f>EXP(-LN(2)/25)*AV128+(1-EXP(-LN(2)/25))/(LN(2)/25)*Calculateur!AQ129*Calculateur!AS129*VLOOKUP('Données projet'!$B$10,Paramètres!$A$1:$I$89,3,0)*0.475*44/12</f>
        <v>9.5293040273184904</v>
      </c>
      <c r="AW129" s="21">
        <f>EXP(-LN(2)/2)*AW128+(1-EXP(-LN(2)/2))/(LN(2)/2)*AQ129*AT129*VLOOKUP('Données projet'!$B$10,Paramètres!$A$1:$I$89,3,0)*0.475*44/12</f>
        <v>1.1264689071237398E-6</v>
      </c>
      <c r="AX129" s="21">
        <f t="shared" si="60"/>
        <v>22.4925167958685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-9.9475983006414026E-14</v>
      </c>
      <c r="BE129" s="13">
        <f>BD129*VLOOKUP('Données projet'!$B$11,Paramètres!$A$1:$I$89,3,0)*VLOOKUP('Données projet'!$B$11,Paramètres!$A$1:$I$89,5,0)</f>
        <v>-9.6213170763803652E-14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177.54241137663234</v>
      </c>
      <c r="BJ129" s="59">
        <f t="shared" si="92"/>
        <v>114.71095021456071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17.494580173417489</v>
      </c>
      <c r="BQ129" s="21">
        <f>EXP(-LN(2)/25)*BQ128+(1-EXP(-LN(2)/25))/(LN(2)/25)*Calculateur!BL129*Calculateur!BN129*VLOOKUP('Données projet'!$B$11,Paramètres!$A$1:$I$89,3,0)*0.475*44/12</f>
        <v>21.354725817097261</v>
      </c>
      <c r="BR129" s="21">
        <f>EXP(-LN(2)/2)*BR128+(1-EXP(-LN(2)/2))/(LN(2)/2)*BL129*BO129*VLOOKUP('Données projet'!$B$11,Paramètres!$A$1:$I$89,3,0)*0.475*44/12</f>
        <v>1.4280429753369481</v>
      </c>
      <c r="BS129" s="22">
        <f t="shared" si="63"/>
        <v>40.277348965851701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-9.9475983006414026E-14</v>
      </c>
      <c r="BZ129" s="13">
        <f>BY129*VLOOKUP('Données projet'!$B$12,Paramètres!$A$1:$I$89,3,0)*VLOOKUP('Données projet'!$B$12,Paramètres!$A$1:$I$89,5,0)</f>
        <v>-1.0707594810810407E-13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192.88977161349993</v>
      </c>
      <c r="CE129" s="59">
        <f t="shared" si="94"/>
        <v>122.91376861456772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19.469774709125918</v>
      </c>
      <c r="CL129" s="21">
        <f>EXP(-LN(2)/25)*CL128+(1-EXP(-LN(2)/25))/(LN(2)/25)*Calculateur!CG129*Calculateur!CI129*VLOOKUP('Données projet'!$B$12,Paramètres!$A$1:$I$89,3,0)*0.475*44/12</f>
        <v>23.765743248059849</v>
      </c>
      <c r="CM129" s="21">
        <f>EXP(-LN(2)/2)*CM128+(1-EXP(-LN(2)/2))/(LN(2)/2)*CG129*CJ129*VLOOKUP('Données projet'!$B$12,Paramètres!$A$1:$I$89,3,0)*0.475*44/12</f>
        <v>1.589273633842732</v>
      </c>
      <c r="CN129" s="22">
        <f t="shared" si="66"/>
        <v>44.824791591028493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-8.5265128291212022E-14</v>
      </c>
      <c r="CU129" s="17">
        <f>CT129*VLOOKUP('Données projet'!$B$13,Paramètres!$A$1:$I$89,3,0)*VLOOKUP('Données projet'!$B$13,Paramètres!$A$1:$I$89,5,0)</f>
        <v>-6.9167072069831198E-14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163.16040389635825</v>
      </c>
      <c r="CZ129" s="59">
        <f t="shared" si="96"/>
        <v>138.57856782158811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5.9631724199770311</v>
      </c>
      <c r="DH129" s="21">
        <f>EXP(-LN(2)/2)*DH128+(1-EXP(-LN(2)/2))/(LN(2)/2)*DB129*DE129*VLOOKUP('Données projet'!$B$13,Paramètres!$A$1:$I$89,3,0)*0.475*44/12</f>
        <v>9.5539346402094625E-5</v>
      </c>
      <c r="DI129" s="22">
        <f t="shared" si="69"/>
        <v>5.9632679593234332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5.7330000000000014</v>
      </c>
      <c r="DO129" s="12">
        <f>IF('Données projet'!$A$166&gt;35,DO128+DN129-DW128,IF(A129&lt;'Données projet'!$A$166,$DL$205^A129,IF(A129='Données projet'!$A$166,'Données projet'!$B$166,DO128+DN129-DW128)))</f>
        <v>269.69500000000016</v>
      </c>
      <c r="DP129" s="17">
        <f>DO129*VLOOKUP('Données projet'!$B$14,Paramètres!$A$1:$I$89,3,0)*VLOOKUP('Données projet'!$B$14,Paramètres!$A$1:$I$89,5,0)</f>
        <v>126.21726000000007</v>
      </c>
      <c r="DQ129" s="13">
        <f t="shared" si="97"/>
        <v>33.120782644378309</v>
      </c>
      <c r="DR129" s="20">
        <f t="shared" si="70"/>
        <v>277.5137576056257</v>
      </c>
      <c r="DS129" s="59">
        <f t="shared" si="71"/>
        <v>569.1290202529641</v>
      </c>
      <c r="DT129" s="59">
        <f ca="1">AVERAGE(OFFSET($DS$3,0,0,'Données projet'!$E$14+1,1))-AVERAGE(OFFSET($H$3,0,0,'Données projet'!$E$14+1,1))</f>
        <v>343.44193069803498</v>
      </c>
      <c r="DU129" s="59">
        <f t="shared" si="98"/>
        <v>280.67367019483481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93.102719439371924</v>
      </c>
      <c r="EB129" s="21">
        <f>EXP(-LN(2)/25)*EB128+(1-EXP(-LN(2)/25))/(LN(2)/25)*Calculateur!DW129*Calculateur!DY129*VLOOKUP('Données projet'!$B$14,Paramètres!$A$1:$I$89,3,0)*0.475*44/12</f>
        <v>28.278496053686592</v>
      </c>
      <c r="EC129" s="21">
        <f>EXP(-LN(2)/2)*EC128+(1-EXP(-LN(2)/2))/(LN(2)/2)*DW129*DZ129*VLOOKUP('Données projet'!$B$14,Paramètres!$A$1:$I$89,3,0)*0.475*44/12</f>
        <v>4.4653677076074061</v>
      </c>
      <c r="ED129" s="22">
        <f t="shared" si="72"/>
        <v>125.84658320066592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173.07692307692307</v>
      </c>
      <c r="EK129" s="17">
        <f>EJ129*VLOOKUP('Données projet'!$B$15,Paramètres!$A$1:$I$89,3,0)*VLOOKUP('Données projet'!$B$15,Paramètres!$A$1:$I$89,5,0)</f>
        <v>175.5</v>
      </c>
      <c r="EL129" s="13">
        <f t="shared" si="99"/>
        <v>44.319548641773906</v>
      </c>
      <c r="EM129" s="20">
        <f t="shared" si="73"/>
        <v>382.85238055108954</v>
      </c>
      <c r="EN129" s="59">
        <f t="shared" si="74"/>
        <v>674.46764319842794</v>
      </c>
      <c r="EO129" s="59">
        <f ca="1">AVERAGE(OFFSET($EN$3,0,0,'Données projet'!$E$15+1,1))-AVERAGE(OFFSET($H$3,0,0,'Données projet'!$E$15+1,1))</f>
        <v>270.0029254736703</v>
      </c>
      <c r="EP129" s="59">
        <f t="shared" si="100"/>
        <v>183.80022202211441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10.019099577223013</v>
      </c>
      <c r="EW129" s="21">
        <f>EXP(-LN(2)/25)*EW128+(1-EXP(-LN(2)/25))/(LN(2)/25)*Calculateur!ER129*Calculateur!ET129*VLOOKUP('Données projet'!$B$15,Paramètres!$A$1:$I$89,3,0)*0.475*44/12</f>
        <v>11.020193125239862</v>
      </c>
      <c r="EX129" s="21">
        <f>EXP(-LN(2)/2)*EX128+(1-EXP(-LN(2)/2))/(LN(2)/2)*ER129*EU129*VLOOKUP('Données projet'!$B$15,Paramètres!$A$1:$I$89,3,0)*0.475*44/12</f>
        <v>2.6641360659799832E-2</v>
      </c>
      <c r="EY129" s="22">
        <f t="shared" si="75"/>
        <v>21.065934063122672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-1.4897523215040567E-13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328.93328163316073</v>
      </c>
      <c r="FK129" s="59">
        <f t="shared" si="102"/>
        <v>320.27831321887072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18.52809905065735</v>
      </c>
      <c r="FR129" s="21">
        <f>EXP(-LN(2)/25)*FR128+(1-EXP(-LN(2)/25))/(LN(2)/25)*Calculateur!FM129*Calculateur!FO129*VLOOKUP('Données projet'!$B$16,Paramètres!$A$1:$I$89,3,0)*0.475*44/12</f>
        <v>12.992713657214205</v>
      </c>
      <c r="FS129" s="21">
        <f>EXP(-LN(2)/2)*FS128+(1-EXP(-LN(2)/2))/(LN(2)/2)*FM129*FP129*VLOOKUP('Données projet'!$B$16,Paramètres!$A$1:$I$89,3,0)*0.475*44/12</f>
        <v>6.8039904855888002E-6</v>
      </c>
      <c r="FT129" s="22">
        <f t="shared" si="78"/>
        <v>31.52081951186204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173.07692307692307</v>
      </c>
      <c r="GA129" s="17">
        <f>FZ129*VLOOKUP('Données projet'!$B$17,Paramètres!$A$1:$I$89,3,0)*VLOOKUP('Données projet'!$B$17,Paramètres!$A$1:$I$89,5,0)</f>
        <v>116.1</v>
      </c>
      <c r="GB129" s="13">
        <f t="shared" si="103"/>
        <v>30.763646636385982</v>
      </c>
      <c r="GC129" s="20">
        <f t="shared" si="79"/>
        <v>255.78751789170556</v>
      </c>
      <c r="GD129" s="59">
        <f t="shared" si="80"/>
        <v>547.40278053904399</v>
      </c>
      <c r="GE129" s="59">
        <f ca="1">AVERAGE(OFFSET($GD$3,0,0,'Données projet'!$E$17+1,1))-AVERAGE(OFFSET($H$3,0,0,'Données projet'!$E$17+1,1))</f>
        <v>192.88444860121191</v>
      </c>
      <c r="GF129" s="59">
        <f t="shared" si="104"/>
        <v>136.13737493732751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8.169419655274142</v>
      </c>
      <c r="GM129" s="21">
        <f>EXP(-LN(2)/25)*GM128+(1-EXP(-LN(2)/25))/(LN(2)/25)*Calculateur!GH129*Calculateur!GJ129*VLOOKUP('Données projet'!$B$17,Paramètres!$A$1:$I$89,3,0)*0.475*44/12</f>
        <v>8.9856959328878894</v>
      </c>
      <c r="GN129" s="21">
        <f>EXP(-LN(2)/2)*GN128+(1-EXP(-LN(2)/2))/(LN(2)/2)*GH129*GK129*VLOOKUP('Données projet'!$B$17,Paramètres!$A$1:$I$89,3,0)*0.475*44/12</f>
        <v>1.7624284744175281E-2</v>
      </c>
      <c r="GO129" s="21">
        <f t="shared" si="81"/>
        <v>17.17273987290621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69.531435267455933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0.85000000000000009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3.1166666666666671</v>
      </c>
      <c r="H130" s="67">
        <f t="shared" si="56"/>
        <v>244.19999999999996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1108.3964129482633</v>
      </c>
      <c r="S130" s="59">
        <f ca="1">AVERAGE(OFFSET($R$3,0,0,'Données projet'!$E$9+1,1))-AVERAGE(OFFSET($H$3,0,0,'Données projet'!$E$9+1,1))</f>
        <v>643.492472896403</v>
      </c>
      <c r="T130" s="59">
        <f t="shared" si="88"/>
        <v>285.0259479655341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-2.8421709430404007E-13</v>
      </c>
      <c r="AJ130" s="13">
        <f>AI130*VLOOKUP('Données projet'!$B$10,Paramètres!$A$1:$I$89,3,0)*VLOOKUP('Données projet'!$B$10,Paramètres!$A$1:$I$89,5,0)</f>
        <v>-2.2168933355715128E-13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289.89907502443873</v>
      </c>
      <c r="AO130" s="59">
        <f t="shared" si="90"/>
        <v>267.42183550360301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12.709010968558266</v>
      </c>
      <c r="AV130" s="21">
        <f>EXP(-LN(2)/25)*AV129+(1-EXP(-LN(2)/25))/(LN(2)/25)*Calculateur!AQ130*Calculateur!AS130*VLOOKUP('Données projet'!$B$10,Paramètres!$A$1:$I$89,3,0)*0.475*44/12</f>
        <v>9.2687247075671468</v>
      </c>
      <c r="AW130" s="21">
        <f>EXP(-LN(2)/2)*AW129+(1-EXP(-LN(2)/2))/(LN(2)/2)*AQ130*AT130*VLOOKUP('Données projet'!$B$10,Paramètres!$A$1:$I$89,3,0)*0.475*44/12</f>
        <v>7.965338030229956E-7</v>
      </c>
      <c r="AX130" s="21">
        <f t="shared" si="60"/>
        <v>21.977736472659217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-9.9475983006414026E-14</v>
      </c>
      <c r="BE130" s="13">
        <f>BD130*VLOOKUP('Données projet'!$B$11,Paramètres!$A$1:$I$89,3,0)*VLOOKUP('Données projet'!$B$11,Paramètres!$A$1:$I$89,5,0)</f>
        <v>-9.6213170763803652E-14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177.54241137663234</v>
      </c>
      <c r="BJ130" s="59">
        <f t="shared" si="92"/>
        <v>114.71095021456071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17.151522126857039</v>
      </c>
      <c r="BQ130" s="21">
        <f>EXP(-LN(2)/25)*BQ129+(1-EXP(-LN(2)/25))/(LN(2)/25)*Calculateur!BL130*Calculateur!BN130*VLOOKUP('Données projet'!$B$11,Paramètres!$A$1:$I$89,3,0)*0.475*44/12</f>
        <v>20.770779716632514</v>
      </c>
      <c r="BR130" s="21">
        <f>EXP(-LN(2)/2)*BR129+(1-EXP(-LN(2)/2))/(LN(2)/2)*BL130*BO130*VLOOKUP('Données projet'!$B$11,Paramètres!$A$1:$I$89,3,0)*0.475*44/12</f>
        <v>1.0097788716865697</v>
      </c>
      <c r="BS130" s="22">
        <f t="shared" si="63"/>
        <v>38.93208071517612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-9.9475983006414026E-14</v>
      </c>
      <c r="BZ130" s="13">
        <f>BY130*VLOOKUP('Données projet'!$B$12,Paramètres!$A$1:$I$89,3,0)*VLOOKUP('Données projet'!$B$12,Paramètres!$A$1:$I$89,5,0)</f>
        <v>-1.0707594810810407E-13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192.88977161349993</v>
      </c>
      <c r="CE130" s="59">
        <f t="shared" si="94"/>
        <v>122.91376861456772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19.087984302469934</v>
      </c>
      <c r="CL130" s="21">
        <f>EXP(-LN(2)/25)*CL129+(1-EXP(-LN(2)/25))/(LN(2)/25)*Calculateur!CG130*Calculateur!CI130*VLOOKUP('Données projet'!$B$12,Paramètres!$A$1:$I$89,3,0)*0.475*44/12</f>
        <v>23.115867749155534</v>
      </c>
      <c r="CM130" s="21">
        <f>EXP(-LN(2)/2)*CM129+(1-EXP(-LN(2)/2))/(LN(2)/2)*CG130*CJ130*VLOOKUP('Données projet'!$B$12,Paramètres!$A$1:$I$89,3,0)*0.475*44/12</f>
        <v>1.1237861636511821</v>
      </c>
      <c r="CN130" s="22">
        <f t="shared" si="66"/>
        <v>43.32763821527665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-8.5265128291212022E-14</v>
      </c>
      <c r="CU130" s="17">
        <f>CT130*VLOOKUP('Données projet'!$B$13,Paramètres!$A$1:$I$89,3,0)*VLOOKUP('Données projet'!$B$13,Paramètres!$A$1:$I$89,5,0)</f>
        <v>-6.9167072069831198E-14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163.16040389635825</v>
      </c>
      <c r="CZ130" s="59">
        <f t="shared" si="96"/>
        <v>138.57856782158811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5.8001091565631508</v>
      </c>
      <c r="DH130" s="21">
        <f>EXP(-LN(2)/2)*DH129+(1-EXP(-LN(2)/2))/(LN(2)/2)*DB130*DE130*VLOOKUP('Données projet'!$B$13,Paramètres!$A$1:$I$89,3,0)*0.475*44/12</f>
        <v>6.7556519711051689E-5</v>
      </c>
      <c r="DI130" s="22">
        <f t="shared" si="69"/>
        <v>5.8001767130828616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5.7330000000000014</v>
      </c>
      <c r="DO130" s="12">
        <f>IF('Données projet'!$A$166&gt;35,DO129+DN130-DW129,IF(A130&lt;'Données projet'!$A$166,$DL$205^A130,IF(A130='Données projet'!$A$166,'Données projet'!$B$166,DO129+DN130-DW129)))</f>
        <v>275.42800000000017</v>
      </c>
      <c r="DP130" s="17">
        <f>DO130*VLOOKUP('Données projet'!$B$14,Paramètres!$A$1:$I$89,3,0)*VLOOKUP('Données projet'!$B$14,Paramètres!$A$1:$I$89,5,0)</f>
        <v>128.90030400000006</v>
      </c>
      <c r="DQ130" s="13">
        <f t="shared" si="97"/>
        <v>33.74212637546124</v>
      </c>
      <c r="DR130" s="20">
        <f t="shared" si="70"/>
        <v>283.26889957059507</v>
      </c>
      <c r="DS130" s="59">
        <f t="shared" si="71"/>
        <v>574.91396690330498</v>
      </c>
      <c r="DT130" s="59">
        <f ca="1">AVERAGE(OFFSET($DS$3,0,0,'Données projet'!$E$14+1,1))-AVERAGE(OFFSET($H$3,0,0,'Données projet'!$E$14+1,1))</f>
        <v>343.44193069803498</v>
      </c>
      <c r="DU130" s="59">
        <f t="shared" si="98"/>
        <v>280.67367019483481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91.277031898217444</v>
      </c>
      <c r="EB130" s="21">
        <f>EXP(-LN(2)/25)*EB129+(1-EXP(-LN(2)/25))/(LN(2)/25)*Calculateur!DW130*Calculateur!DY130*VLOOKUP('Données projet'!$B$14,Paramètres!$A$1:$I$89,3,0)*0.475*44/12</f>
        <v>27.505219091997056</v>
      </c>
      <c r="EC130" s="21">
        <f>EXP(-LN(2)/2)*EC129+(1-EXP(-LN(2)/2))/(LN(2)/2)*DW130*DZ130*VLOOKUP('Données projet'!$B$14,Paramètres!$A$1:$I$89,3,0)*0.475*44/12</f>
        <v>3.1574917865406258</v>
      </c>
      <c r="ED130" s="22">
        <f t="shared" si="72"/>
        <v>121.93974277675512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173.07692307692307</v>
      </c>
      <c r="EK130" s="17">
        <f>EJ130*VLOOKUP('Données projet'!$B$15,Paramètres!$A$1:$I$89,3,0)*VLOOKUP('Données projet'!$B$15,Paramètres!$A$1:$I$89,5,0)</f>
        <v>175.5</v>
      </c>
      <c r="EL130" s="13">
        <f t="shared" si="99"/>
        <v>44.319548641773906</v>
      </c>
      <c r="EM130" s="20">
        <f t="shared" si="73"/>
        <v>382.85238055108954</v>
      </c>
      <c r="EN130" s="59">
        <f t="shared" si="74"/>
        <v>674.4974478837994</v>
      </c>
      <c r="EO130" s="59">
        <f ca="1">AVERAGE(OFFSET($EN$3,0,0,'Données projet'!$E$15+1,1))-AVERAGE(OFFSET($H$3,0,0,'Données projet'!$E$15+1,1))</f>
        <v>270.0029254736703</v>
      </c>
      <c r="EP130" s="59">
        <f t="shared" si="100"/>
        <v>183.80022202211441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9.8226311455609956</v>
      </c>
      <c r="EW130" s="21">
        <f>EXP(-LN(2)/25)*EW129+(1-EXP(-LN(2)/25))/(LN(2)/25)*Calculateur!ER130*Calculateur!ET130*VLOOKUP('Données projet'!$B$15,Paramètres!$A$1:$I$89,3,0)*0.475*44/12</f>
        <v>10.718845364703409</v>
      </c>
      <c r="EX130" s="21">
        <f>EXP(-LN(2)/2)*EX129+(1-EXP(-LN(2)/2))/(LN(2)/2)*ER130*EU130*VLOOKUP('Données projet'!$B$15,Paramètres!$A$1:$I$89,3,0)*0.475*44/12</f>
        <v>1.8838286782580975E-2</v>
      </c>
      <c r="EY130" s="22">
        <f t="shared" si="75"/>
        <v>20.560314797046985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-1.4897523215040567E-13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328.93328163316073</v>
      </c>
      <c r="FK130" s="59">
        <f t="shared" si="102"/>
        <v>320.27831321887072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18.164774329298496</v>
      </c>
      <c r="FR130" s="21">
        <f>EXP(-LN(2)/25)*FR129+(1-EXP(-LN(2)/25))/(LN(2)/25)*Calculateur!FM130*Calculateur!FO130*VLOOKUP('Données projet'!$B$16,Paramètres!$A$1:$I$89,3,0)*0.475*44/12</f>
        <v>12.637427219000566</v>
      </c>
      <c r="FS130" s="21">
        <f>EXP(-LN(2)/2)*FS129+(1-EXP(-LN(2)/2))/(LN(2)/2)*FM130*FP130*VLOOKUP('Données projet'!$B$16,Paramètres!$A$1:$I$89,3,0)*0.475*44/12</f>
        <v>4.8111478114885909E-6</v>
      </c>
      <c r="FT130" s="22">
        <f t="shared" si="78"/>
        <v>30.80220635944687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173.07692307692307</v>
      </c>
      <c r="GA130" s="17">
        <f>FZ130*VLOOKUP('Données projet'!$B$17,Paramètres!$A$1:$I$89,3,0)*VLOOKUP('Données projet'!$B$17,Paramètres!$A$1:$I$89,5,0)</f>
        <v>116.1</v>
      </c>
      <c r="GB130" s="13">
        <f t="shared" si="103"/>
        <v>30.763646636385982</v>
      </c>
      <c r="GC130" s="20">
        <f t="shared" si="79"/>
        <v>255.78751789170556</v>
      </c>
      <c r="GD130" s="59">
        <f t="shared" si="80"/>
        <v>547.43258522441545</v>
      </c>
      <c r="GE130" s="59">
        <f ca="1">AVERAGE(OFFSET($GD$3,0,0,'Données projet'!$E$17+1,1))-AVERAGE(OFFSET($H$3,0,0,'Données projet'!$E$17+1,1))</f>
        <v>192.88444860121191</v>
      </c>
      <c r="GF130" s="59">
        <f t="shared" si="104"/>
        <v>136.13737493732751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8.0092223186881899</v>
      </c>
      <c r="GM130" s="21">
        <f>EXP(-LN(2)/25)*GM129+(1-EXP(-LN(2)/25))/(LN(2)/25)*Calculateur!GH130*Calculateur!GJ130*VLOOKUP('Données projet'!$B$17,Paramètres!$A$1:$I$89,3,0)*0.475*44/12</f>
        <v>8.7399816050658572</v>
      </c>
      <c r="GN130" s="21">
        <f>EXP(-LN(2)/2)*GN129+(1-EXP(-LN(2)/2))/(LN(2)/2)*GH130*GK130*VLOOKUP('Données projet'!$B$17,Paramètres!$A$1:$I$89,3,0)*0.475*44/12</f>
        <v>1.2462251256168958E-2</v>
      </c>
      <c r="GO130" s="21">
        <f t="shared" si="81"/>
        <v>16.761666175010216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69.539563818011771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0.85000000000000009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3.1166666666666671</v>
      </c>
      <c r="H131" s="67">
        <f t="shared" si="56"/>
        <v>244.19999999999996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1125.5401301401548</v>
      </c>
      <c r="S131" s="59">
        <f ca="1">AVERAGE(OFFSET($R$3,0,0,'Données projet'!$E$9+1,1))-AVERAGE(OFFSET($H$3,0,0,'Données projet'!$E$9+1,1))</f>
        <v>643.492472896403</v>
      </c>
      <c r="T131" s="59">
        <f t="shared" si="88"/>
        <v>285.0259479655341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-2.8421709430404007E-13</v>
      </c>
      <c r="AJ131" s="13">
        <f>AI131*VLOOKUP('Données projet'!$B$10,Paramètres!$A$1:$I$89,3,0)*VLOOKUP('Données projet'!$B$10,Paramètres!$A$1:$I$89,5,0)</f>
        <v>-2.2168933355715128E-13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289.89907502443873</v>
      </c>
      <c r="AO131" s="59">
        <f t="shared" si="90"/>
        <v>267.42183550360301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12.459795015196109</v>
      </c>
      <c r="AV131" s="21">
        <f>EXP(-LN(2)/25)*AV130+(1-EXP(-LN(2)/25))/(LN(2)/25)*Calculateur!AQ131*Calculateur!AS131*VLOOKUP('Données projet'!$B$10,Paramètres!$A$1:$I$89,3,0)*0.475*44/12</f>
        <v>9.0152709430176756</v>
      </c>
      <c r="AW131" s="21">
        <f>EXP(-LN(2)/2)*AW130+(1-EXP(-LN(2)/2))/(LN(2)/2)*AQ131*AT131*VLOOKUP('Données projet'!$B$10,Paramètres!$A$1:$I$89,3,0)*0.475*44/12</f>
        <v>5.6323445356186988E-7</v>
      </c>
      <c r="AX131" s="21">
        <f t="shared" si="60"/>
        <v>21.475066521448237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-9.9475983006414026E-14</v>
      </c>
      <c r="BE131" s="13">
        <f>BD131*VLOOKUP('Données projet'!$B$11,Paramètres!$A$1:$I$89,3,0)*VLOOKUP('Données projet'!$B$11,Paramètres!$A$1:$I$89,5,0)</f>
        <v>-9.6213170763803652E-14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177.54241137663234</v>
      </c>
      <c r="BJ131" s="59">
        <f t="shared" si="92"/>
        <v>114.71095021456071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16.815191239344891</v>
      </c>
      <c r="BQ131" s="21">
        <f>EXP(-LN(2)/25)*BQ130+(1-EXP(-LN(2)/25))/(LN(2)/25)*Calculateur!BL131*Calculateur!BN131*VLOOKUP('Données projet'!$B$11,Paramètres!$A$1:$I$89,3,0)*0.475*44/12</f>
        <v>20.202801652993365</v>
      </c>
      <c r="BR131" s="21">
        <f>EXP(-LN(2)/2)*BR130+(1-EXP(-LN(2)/2))/(LN(2)/2)*BL131*BO131*VLOOKUP('Données projet'!$B$11,Paramètres!$A$1:$I$89,3,0)*0.475*44/12</f>
        <v>0.71402148766847406</v>
      </c>
      <c r="BS131" s="22">
        <f t="shared" si="63"/>
        <v>37.732014380006731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-9.9475983006414026E-14</v>
      </c>
      <c r="BZ131" s="13">
        <f>BY131*VLOOKUP('Données projet'!$B$12,Paramètres!$A$1:$I$89,3,0)*VLOOKUP('Données projet'!$B$12,Paramètres!$A$1:$I$89,5,0)</f>
        <v>-1.0707594810810407E-13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192.88977161349993</v>
      </c>
      <c r="CE131" s="59">
        <f t="shared" si="94"/>
        <v>122.91376861456772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18.713680572819321</v>
      </c>
      <c r="CL131" s="21">
        <f>EXP(-LN(2)/25)*CL130+(1-EXP(-LN(2)/25))/(LN(2)/25)*Calculateur!CG131*Calculateur!CI131*VLOOKUP('Données projet'!$B$12,Paramètres!$A$1:$I$89,3,0)*0.475*44/12</f>
        <v>22.483763129944222</v>
      </c>
      <c r="CM131" s="21">
        <f>EXP(-LN(2)/2)*CM130+(1-EXP(-LN(2)/2))/(LN(2)/2)*CG131*CJ131*VLOOKUP('Données projet'!$B$12,Paramètres!$A$1:$I$89,3,0)*0.475*44/12</f>
        <v>0.79463681692136612</v>
      </c>
      <c r="CN131" s="22">
        <f t="shared" si="66"/>
        <v>41.992080519684912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-8.5265128291212022E-14</v>
      </c>
      <c r="CU131" s="17">
        <f>CT131*VLOOKUP('Données projet'!$B$13,Paramètres!$A$1:$I$89,3,0)*VLOOKUP('Données projet'!$B$13,Paramètres!$A$1:$I$89,5,0)</f>
        <v>-6.9167072069831198E-14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163.16040389635825</v>
      </c>
      <c r="CZ131" s="59">
        <f t="shared" si="96"/>
        <v>138.57856782158811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5.641504866662447</v>
      </c>
      <c r="DH131" s="21">
        <f>EXP(-LN(2)/2)*DH130+(1-EXP(-LN(2)/2))/(LN(2)/2)*DB131*DE131*VLOOKUP('Données projet'!$B$13,Paramètres!$A$1:$I$89,3,0)*0.475*44/12</f>
        <v>4.7769673201047313E-5</v>
      </c>
      <c r="DI131" s="22">
        <f t="shared" si="69"/>
        <v>5.6415526363356481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5.7330000000000014</v>
      </c>
      <c r="DO131" s="12">
        <f>IF('Données projet'!$A$166&gt;35,DO130+DN131-DW130,IF(A131&lt;'Données projet'!$A$166,$DL$205^A131,IF(A131='Données projet'!$A$166,'Données projet'!$B$166,DO130+DN131-DW130)))</f>
        <v>281.16100000000017</v>
      </c>
      <c r="DP131" s="17">
        <f>DO131*VLOOKUP('Données projet'!$B$14,Paramètres!$A$1:$I$89,3,0)*VLOOKUP('Données projet'!$B$14,Paramètres!$A$1:$I$89,5,0)</f>
        <v>131.58334800000009</v>
      </c>
      <c r="DQ131" s="13">
        <f t="shared" si="97"/>
        <v>34.361966390286234</v>
      </c>
      <c r="DR131" s="20">
        <f t="shared" si="70"/>
        <v>289.02142256308201</v>
      </c>
      <c r="DS131" s="59">
        <f t="shared" si="71"/>
        <v>580.69577753650537</v>
      </c>
      <c r="DT131" s="59">
        <f ca="1">AVERAGE(OFFSET($DS$3,0,0,'Données projet'!$E$14+1,1))-AVERAGE(OFFSET($H$3,0,0,'Données projet'!$E$14+1,1))</f>
        <v>343.44193069803498</v>
      </c>
      <c r="DU131" s="59">
        <f t="shared" si="98"/>
        <v>280.67367019483481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89.487144976185562</v>
      </c>
      <c r="EB131" s="21">
        <f>EXP(-LN(2)/25)*EB130+(1-EXP(-LN(2)/25))/(LN(2)/25)*Calculateur!DW131*Calculateur!DY131*VLOOKUP('Données projet'!$B$14,Paramètres!$A$1:$I$89,3,0)*0.475*44/12</f>
        <v>26.753087429489788</v>
      </c>
      <c r="EC131" s="21">
        <f>EXP(-LN(2)/2)*EC130+(1-EXP(-LN(2)/2))/(LN(2)/2)*DW131*DZ131*VLOOKUP('Données projet'!$B$14,Paramètres!$A$1:$I$89,3,0)*0.475*44/12</f>
        <v>2.2326838538037035</v>
      </c>
      <c r="ED131" s="22">
        <f t="shared" si="72"/>
        <v>118.47291625947906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173.07692307692307</v>
      </c>
      <c r="EK131" s="17">
        <f>EJ131*VLOOKUP('Données projet'!$B$15,Paramètres!$A$1:$I$89,3,0)*VLOOKUP('Données projet'!$B$15,Paramètres!$A$1:$I$89,5,0)</f>
        <v>175.5</v>
      </c>
      <c r="EL131" s="13">
        <f t="shared" si="99"/>
        <v>44.319548641773906</v>
      </c>
      <c r="EM131" s="20">
        <f t="shared" si="73"/>
        <v>382.85238055108954</v>
      </c>
      <c r="EN131" s="59">
        <f t="shared" si="74"/>
        <v>674.52673552451279</v>
      </c>
      <c r="EO131" s="59">
        <f ca="1">AVERAGE(OFFSET($EN$3,0,0,'Données projet'!$E$15+1,1))-AVERAGE(OFFSET($H$3,0,0,'Données projet'!$E$15+1,1))</f>
        <v>270.0029254736703</v>
      </c>
      <c r="EP131" s="59">
        <f t="shared" si="100"/>
        <v>183.80022202211441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9.63001534000996</v>
      </c>
      <c r="EW131" s="21">
        <f>EXP(-LN(2)/25)*EW130+(1-EXP(-LN(2)/25))/(LN(2)/25)*Calculateur!ER131*Calculateur!ET131*VLOOKUP('Données projet'!$B$15,Paramètres!$A$1:$I$89,3,0)*0.475*44/12</f>
        <v>10.425737974526015</v>
      </c>
      <c r="EX131" s="21">
        <f>EXP(-LN(2)/2)*EX130+(1-EXP(-LN(2)/2))/(LN(2)/2)*ER131*EU131*VLOOKUP('Données projet'!$B$15,Paramètres!$A$1:$I$89,3,0)*0.475*44/12</f>
        <v>1.3320680329899916E-2</v>
      </c>
      <c r="EY131" s="22">
        <f t="shared" si="75"/>
        <v>20.069073994865878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-1.4897523215040567E-13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328.93328163316073</v>
      </c>
      <c r="FK131" s="59">
        <f t="shared" si="102"/>
        <v>320.27831321887072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17.808574184119291</v>
      </c>
      <c r="FR131" s="21">
        <f>EXP(-LN(2)/25)*FR130+(1-EXP(-LN(2)/25))/(LN(2)/25)*Calculateur!FM131*Calculateur!FO131*VLOOKUP('Données projet'!$B$16,Paramètres!$A$1:$I$89,3,0)*0.475*44/12</f>
        <v>12.29185610712358</v>
      </c>
      <c r="FS131" s="21">
        <f>EXP(-LN(2)/2)*FS130+(1-EXP(-LN(2)/2))/(LN(2)/2)*FM131*FP131*VLOOKUP('Données projet'!$B$16,Paramètres!$A$1:$I$89,3,0)*0.475*44/12</f>
        <v>3.4019952427944001E-6</v>
      </c>
      <c r="FT131" s="22">
        <f t="shared" si="78"/>
        <v>30.100433693238116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173.07692307692307</v>
      </c>
      <c r="GA131" s="17">
        <f>FZ131*VLOOKUP('Données projet'!$B$17,Paramètres!$A$1:$I$89,3,0)*VLOOKUP('Données projet'!$B$17,Paramètres!$A$1:$I$89,5,0)</f>
        <v>116.1</v>
      </c>
      <c r="GB131" s="13">
        <f t="shared" si="103"/>
        <v>30.763646636385982</v>
      </c>
      <c r="GC131" s="20">
        <f t="shared" si="79"/>
        <v>255.78751789170556</v>
      </c>
      <c r="GD131" s="59">
        <f t="shared" si="80"/>
        <v>547.46187286512884</v>
      </c>
      <c r="GE131" s="59">
        <f ca="1">AVERAGE(OFFSET($GD$3,0,0,'Données projet'!$E$17+1,1))-AVERAGE(OFFSET($H$3,0,0,'Données projet'!$E$17+1,1))</f>
        <v>192.88444860121191</v>
      </c>
      <c r="GF131" s="59">
        <f t="shared" si="104"/>
        <v>136.13737493732751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7.8521663541619606</v>
      </c>
      <c r="GM131" s="21">
        <f>EXP(-LN(2)/25)*GM130+(1-EXP(-LN(2)/25))/(LN(2)/25)*Calculateur!GH131*Calculateur!GJ131*VLOOKUP('Données projet'!$B$17,Paramètres!$A$1:$I$89,3,0)*0.475*44/12</f>
        <v>8.5009863484596746</v>
      </c>
      <c r="GN131" s="21">
        <f>EXP(-LN(2)/2)*GN130+(1-EXP(-LN(2)/2))/(LN(2)/2)*GH131*GK131*VLOOKUP('Données projet'!$B$17,Paramètres!$A$1:$I$89,3,0)*0.475*44/12</f>
        <v>8.8121423720876405E-3</v>
      </c>
      <c r="GO131" s="21">
        <f t="shared" si="81"/>
        <v>16.361964844993722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69.547551356388169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0.85000000000000009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3.1166666666666671</v>
      </c>
      <c r="H132" s="67">
        <f t="shared" ref="H132:H195" si="110">(B132+E132+F132)*44/12+(C132+D132)*0.475*44/12</f>
        <v>244.19999999999996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1142.6762775296934</v>
      </c>
      <c r="S132" s="59">
        <f ca="1">AVERAGE(OFFSET($R$3,0,0,'Données projet'!$E$9+1,1))-AVERAGE(OFFSET($H$3,0,0,'Données projet'!$E$9+1,1))</f>
        <v>643.492472896403</v>
      </c>
      <c r="T132" s="59">
        <f t="shared" si="88"/>
        <v>285.0259479655341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-2.8421709430404007E-13</v>
      </c>
      <c r="AJ132" s="13">
        <f>AI132*VLOOKUP('Données projet'!$B$10,Paramètres!$A$1:$I$89,3,0)*VLOOKUP('Données projet'!$B$10,Paramètres!$A$1:$I$89,5,0)</f>
        <v>-2.2168933355715128E-13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289.89907502443873</v>
      </c>
      <c r="AO132" s="59">
        <f t="shared" si="90"/>
        <v>267.42183550360301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12.215466034672662</v>
      </c>
      <c r="AV132" s="21">
        <f>EXP(-LN(2)/25)*AV131+(1-EXP(-LN(2)/25))/(LN(2)/25)*Calculateur!AQ132*Calculateur!AS132*VLOOKUP('Données projet'!$B$10,Paramètres!$A$1:$I$89,3,0)*0.475*44/12</f>
        <v>8.7687478849883629</v>
      </c>
      <c r="AW132" s="21">
        <f>EXP(-LN(2)/2)*AW131+(1-EXP(-LN(2)/2))/(LN(2)/2)*AQ132*AT132*VLOOKUP('Données projet'!$B$10,Paramètres!$A$1:$I$89,3,0)*0.475*44/12</f>
        <v>3.982669015114978E-7</v>
      </c>
      <c r="AX132" s="21">
        <f t="shared" ref="AX132:AX153" si="114">SUM(AU132:AW132)</f>
        <v>20.984214317927925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-9.9475983006414026E-14</v>
      </c>
      <c r="BE132" s="13">
        <f>BD132*VLOOKUP('Données projet'!$B$11,Paramètres!$A$1:$I$89,3,0)*VLOOKUP('Données projet'!$B$11,Paramètres!$A$1:$I$89,5,0)</f>
        <v>-9.6213170763803652E-14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177.54241137663234</v>
      </c>
      <c r="BJ132" s="59">
        <f t="shared" si="92"/>
        <v>114.71095021456071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16.485455595395273</v>
      </c>
      <c r="BQ132" s="21">
        <f>EXP(-LN(2)/25)*BQ131+(1-EXP(-LN(2)/25))/(LN(2)/25)*Calculateur!BL132*Calculateur!BN132*VLOOKUP('Données projet'!$B$11,Paramètres!$A$1:$I$89,3,0)*0.475*44/12</f>
        <v>19.650354979373098</v>
      </c>
      <c r="BR132" s="21">
        <f>EXP(-LN(2)/2)*BR131+(1-EXP(-LN(2)/2))/(LN(2)/2)*BL132*BO132*VLOOKUP('Données projet'!$B$11,Paramètres!$A$1:$I$89,3,0)*0.475*44/12</f>
        <v>0.50488943584328483</v>
      </c>
      <c r="BS132" s="22">
        <f t="shared" ref="BS132:BS153" si="117">SUM(BP132:BR132)</f>
        <v>36.640700010611653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-9.9475983006414026E-14</v>
      </c>
      <c r="BZ132" s="13">
        <f>BY132*VLOOKUP('Données projet'!$B$12,Paramètres!$A$1:$I$89,3,0)*VLOOKUP('Données projet'!$B$12,Paramètres!$A$1:$I$89,5,0)</f>
        <v>-1.0707594810810407E-13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192.88977161349993</v>
      </c>
      <c r="CE132" s="59">
        <f t="shared" si="94"/>
        <v>122.91376861456772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18.346716711004422</v>
      </c>
      <c r="CL132" s="21">
        <f>EXP(-LN(2)/25)*CL131+(1-EXP(-LN(2)/25))/(LN(2)/25)*Calculateur!CG132*Calculateur!CI132*VLOOKUP('Données projet'!$B$12,Paramètres!$A$1:$I$89,3,0)*0.475*44/12</f>
        <v>21.868943444786183</v>
      </c>
      <c r="CM132" s="21">
        <f>EXP(-LN(2)/2)*CM131+(1-EXP(-LN(2)/2))/(LN(2)/2)*CG132*CJ132*VLOOKUP('Données projet'!$B$12,Paramètres!$A$1:$I$89,3,0)*0.475*44/12</f>
        <v>0.56189308182559106</v>
      </c>
      <c r="CN132" s="22">
        <f t="shared" ref="CN132:CN153" si="120">SUM(CK132:CM132)</f>
        <v>40.777553237616189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-8.5265128291212022E-14</v>
      </c>
      <c r="CU132" s="17">
        <f>CT132*VLOOKUP('Données projet'!$B$13,Paramètres!$A$1:$I$89,3,0)*VLOOKUP('Données projet'!$B$13,Paramètres!$A$1:$I$89,5,0)</f>
        <v>-6.9167072069831198E-14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163.16040389635825</v>
      </c>
      <c r="CZ132" s="59">
        <f t="shared" si="96"/>
        <v>138.57856782158811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5.487237619409715</v>
      </c>
      <c r="DH132" s="21">
        <f>EXP(-LN(2)/2)*DH131+(1-EXP(-LN(2)/2))/(LN(2)/2)*DB132*DE132*VLOOKUP('Données projet'!$B$13,Paramètres!$A$1:$I$89,3,0)*0.475*44/12</f>
        <v>3.3778259855525844E-5</v>
      </c>
      <c r="DI132" s="22">
        <f t="shared" ref="DI132:DI153" si="123">SUM(DF132:DH132)</f>
        <v>5.4872713976695708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5.7330000000000014</v>
      </c>
      <c r="DO132" s="12">
        <f>IF('Données projet'!$A$166&gt;35,DO131+DN132-DW131,IF(A132&lt;'Données projet'!$A$166,$DL$205^A132,IF(A132='Données projet'!$A$166,'Données projet'!$B$166,DO131+DN132-DW131)))</f>
        <v>286.89400000000018</v>
      </c>
      <c r="DP132" s="17">
        <f>DO132*VLOOKUP('Données projet'!$B$14,Paramètres!$A$1:$I$89,3,0)*VLOOKUP('Données projet'!$B$14,Paramètres!$A$1:$I$89,5,0)</f>
        <v>134.26639200000008</v>
      </c>
      <c r="DQ132" s="13">
        <f t="shared" si="97"/>
        <v>34.980336883494694</v>
      </c>
      <c r="DR132" s="20">
        <f t="shared" ref="DR132:DR153" si="124">(DP132+DQ132)*0.475*44/12</f>
        <v>294.77138613875337</v>
      </c>
      <c r="DS132" s="59">
        <f t="shared" ref="DS132:DS195" si="125">DR132+(DJ132+DK132)*44/12</f>
        <v>586.47452067780114</v>
      </c>
      <c r="DT132" s="59">
        <f ca="1">AVERAGE(OFFSET($DS$3,0,0,'Données projet'!$E$14+1,1))-AVERAGE(OFFSET($H$3,0,0,'Données projet'!$E$14+1,1))</f>
        <v>343.44193069803498</v>
      </c>
      <c r="DU132" s="59">
        <f t="shared" si="98"/>
        <v>280.67367019483481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87.732356644971503</v>
      </c>
      <c r="EB132" s="21">
        <f>EXP(-LN(2)/25)*EB131+(1-EXP(-LN(2)/25))/(LN(2)/25)*Calculateur!DW132*Calculateur!DY132*VLOOKUP('Données projet'!$B$14,Paramètres!$A$1:$I$89,3,0)*0.475*44/12</f>
        <v>26.021522846846668</v>
      </c>
      <c r="EC132" s="21">
        <f>EXP(-LN(2)/2)*EC131+(1-EXP(-LN(2)/2))/(LN(2)/2)*DW132*DZ132*VLOOKUP('Données projet'!$B$14,Paramètres!$A$1:$I$89,3,0)*0.475*44/12</f>
        <v>1.5787458932703131</v>
      </c>
      <c r="ED132" s="22">
        <f t="shared" ref="ED132:ED153" si="126">SUM(EA132:EC132)</f>
        <v>115.33262538508848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173.07692307692307</v>
      </c>
      <c r="EK132" s="17">
        <f>EJ132*VLOOKUP('Données projet'!$B$15,Paramètres!$A$1:$I$89,3,0)*VLOOKUP('Données projet'!$B$15,Paramètres!$A$1:$I$89,5,0)</f>
        <v>175.5</v>
      </c>
      <c r="EL132" s="13">
        <f t="shared" si="99"/>
        <v>44.319548641773906</v>
      </c>
      <c r="EM132" s="20">
        <f t="shared" ref="EM132:EM153" si="127">(EK132+EL132)*0.475*44/12</f>
        <v>382.85238055108954</v>
      </c>
      <c r="EN132" s="59">
        <f t="shared" ref="EN132:EN195" si="128">EM132+(EE132+EF132)*44/12</f>
        <v>674.55551509013731</v>
      </c>
      <c r="EO132" s="59">
        <f ca="1">AVERAGE(OFFSET($EN$3,0,0,'Données projet'!$E$15+1,1))-AVERAGE(OFFSET($H$3,0,0,'Données projet'!$E$15+1,1))</f>
        <v>270.0029254736703</v>
      </c>
      <c r="EP132" s="59">
        <f t="shared" si="100"/>
        <v>183.80022202211441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9.4411766129217387</v>
      </c>
      <c r="EW132" s="21">
        <f>EXP(-LN(2)/25)*EW131+(1-EXP(-LN(2)/25))/(LN(2)/25)*Calculateur!ER132*Calculateur!ET132*VLOOKUP('Données projet'!$B$15,Paramètres!$A$1:$I$89,3,0)*0.475*44/12</f>
        <v>10.14064562134687</v>
      </c>
      <c r="EX132" s="21">
        <f>EXP(-LN(2)/2)*EX131+(1-EXP(-LN(2)/2))/(LN(2)/2)*ER132*EU132*VLOOKUP('Données projet'!$B$15,Paramètres!$A$1:$I$89,3,0)*0.475*44/12</f>
        <v>9.4191433912904875E-3</v>
      </c>
      <c r="EY132" s="22">
        <f t="shared" ref="EY132:EY153" si="129">SUM(EV132:EX132)</f>
        <v>19.591241377659898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-1.4897523215040567E-13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328.93328163316073</v>
      </c>
      <c r="FK132" s="59">
        <f t="shared" si="102"/>
        <v>320.27831321887072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17.459358906526415</v>
      </c>
      <c r="FR132" s="21">
        <f>EXP(-LN(2)/25)*FR131+(1-EXP(-LN(2)/25))/(LN(2)/25)*Calculateur!FM132*Calculateur!FO132*VLOOKUP('Données projet'!$B$16,Paramètres!$A$1:$I$89,3,0)*0.475*44/12</f>
        <v>11.955734655473666</v>
      </c>
      <c r="FS132" s="21">
        <f>EXP(-LN(2)/2)*FS131+(1-EXP(-LN(2)/2))/(LN(2)/2)*FM132*FP132*VLOOKUP('Données projet'!$B$16,Paramètres!$A$1:$I$89,3,0)*0.475*44/12</f>
        <v>2.4055739057442955E-6</v>
      </c>
      <c r="FT132" s="22">
        <f t="shared" ref="FT132:FT153" si="132">SUM(FQ132:FS132)</f>
        <v>29.415095967573986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173.07692307692307</v>
      </c>
      <c r="GA132" s="17">
        <f>FZ132*VLOOKUP('Données projet'!$B$17,Paramètres!$A$1:$I$89,3,0)*VLOOKUP('Données projet'!$B$17,Paramètres!$A$1:$I$89,5,0)</f>
        <v>116.1</v>
      </c>
      <c r="GB132" s="13">
        <f t="shared" si="103"/>
        <v>30.763646636385982</v>
      </c>
      <c r="GC132" s="20">
        <f t="shared" ref="GC132:GC153" si="133">(GA132+GB132)*0.475*44/12</f>
        <v>255.78751789170556</v>
      </c>
      <c r="GD132" s="59">
        <f t="shared" ref="GD132:GD195" si="134">GC132+(FU132+FV132)*44/12</f>
        <v>547.49065243075336</v>
      </c>
      <c r="GE132" s="59">
        <f ca="1">AVERAGE(OFFSET($GD$3,0,0,'Données projet'!$E$17+1,1))-AVERAGE(OFFSET($H$3,0,0,'Données projet'!$E$17+1,1))</f>
        <v>192.88444860121191</v>
      </c>
      <c r="GF132" s="59">
        <f t="shared" si="104"/>
        <v>136.13737493732751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7.698190161305412</v>
      </c>
      <c r="GM132" s="21">
        <f>EXP(-LN(2)/25)*GM131+(1-EXP(-LN(2)/25))/(LN(2)/25)*Calculateur!GH132*Calculateur!GJ132*VLOOKUP('Données projet'!$B$17,Paramètres!$A$1:$I$89,3,0)*0.475*44/12</f>
        <v>8.2685264297136012</v>
      </c>
      <c r="GN132" s="21">
        <f>EXP(-LN(2)/2)*GN131+(1-EXP(-LN(2)/2))/(LN(2)/2)*GH132*GK132*VLOOKUP('Données projet'!$B$17,Paramètres!$A$1:$I$89,3,0)*0.475*44/12</f>
        <v>6.2311256280844791E-3</v>
      </c>
      <c r="GO132" s="21">
        <f t="shared" ref="GO132:GO153" si="135">SUM(GL132:GN132)</f>
        <v>15.972947716647099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69.555400328831212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0.85000000000000009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3.1166666666666671</v>
      </c>
      <c r="H133" s="67">
        <f t="shared" si="110"/>
        <v>244.19999999999996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1159.8050257375382</v>
      </c>
      <c r="S133" s="59">
        <f ca="1">AVERAGE(OFFSET($R$3,0,0,'Données projet'!$E$9+1,1))-AVERAGE(OFFSET($H$3,0,0,'Données projet'!$E$9+1,1))</f>
        <v>643.492472896403</v>
      </c>
      <c r="T133" s="59">
        <f t="shared" ref="T133:T196" si="142">$T$3</f>
        <v>285.0259479655341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-2.8421709430404007E-13</v>
      </c>
      <c r="AJ133" s="13">
        <f>AI133*VLOOKUP('Données projet'!$B$10,Paramètres!$A$1:$I$89,3,0)*VLOOKUP('Données projet'!$B$10,Paramètres!$A$1:$I$89,5,0)</f>
        <v>-2.2168933355715128E-13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289.89907502443873</v>
      </c>
      <c r="AO133" s="59">
        <f t="shared" ref="AO133:AO196" si="144">$AO$3</f>
        <v>267.42183550360301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11.975928196431317</v>
      </c>
      <c r="AV133" s="21">
        <f>EXP(-LN(2)/25)*AV132+(1-EXP(-LN(2)/25))/(LN(2)/25)*Calculateur!AQ133*Calculateur!AS133*VLOOKUP('Données projet'!$B$10,Paramètres!$A$1:$I$89,3,0)*0.475*44/12</f>
        <v>8.5289660129449469</v>
      </c>
      <c r="AW133" s="21">
        <f>EXP(-LN(2)/2)*AW132+(1-EXP(-LN(2)/2))/(LN(2)/2)*AQ133*AT133*VLOOKUP('Données projet'!$B$10,Paramètres!$A$1:$I$89,3,0)*0.475*44/12</f>
        <v>2.8161722678093494E-7</v>
      </c>
      <c r="AX133" s="21">
        <f t="shared" si="114"/>
        <v>20.50489449099349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-9.9475983006414026E-14</v>
      </c>
      <c r="BE133" s="13">
        <f>BD133*VLOOKUP('Données projet'!$B$11,Paramètres!$A$1:$I$89,3,0)*VLOOKUP('Données projet'!$B$11,Paramètres!$A$1:$I$89,5,0)</f>
        <v>-9.6213170763803652E-14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177.54241137663234</v>
      </c>
      <c r="BJ133" s="59">
        <f t="shared" ref="BJ133:BJ196" si="146">$BJ$3</f>
        <v>114.71095021456071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16.162185866304622</v>
      </c>
      <c r="BQ133" s="21">
        <f>EXP(-LN(2)/25)*BQ132+(1-EXP(-LN(2)/25))/(LN(2)/25)*Calculateur!BL133*Calculateur!BN133*VLOOKUP('Données projet'!$B$11,Paramètres!$A$1:$I$89,3,0)*0.475*44/12</f>
        <v>19.113014989094886</v>
      </c>
      <c r="BR133" s="21">
        <f>EXP(-LN(2)/2)*BR132+(1-EXP(-LN(2)/2))/(LN(2)/2)*BL133*BO133*VLOOKUP('Données projet'!$B$11,Paramètres!$A$1:$I$89,3,0)*0.475*44/12</f>
        <v>0.35701074383423703</v>
      </c>
      <c r="BS133" s="22">
        <f t="shared" si="117"/>
        <v>35.632211599233742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-9.9475983006414026E-14</v>
      </c>
      <c r="BZ133" s="13">
        <f>BY133*VLOOKUP('Données projet'!$B$12,Paramètres!$A$1:$I$89,3,0)*VLOOKUP('Données projet'!$B$12,Paramètres!$A$1:$I$89,5,0)</f>
        <v>-1.0707594810810407E-13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192.88977161349993</v>
      </c>
      <c r="CE133" s="59">
        <f t="shared" ref="CE133:CE196" si="148">$CE$3</f>
        <v>122.91376861456772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17.986948786693858</v>
      </c>
      <c r="CL133" s="21">
        <f>EXP(-LN(2)/25)*CL132+(1-EXP(-LN(2)/25))/(LN(2)/25)*Calculateur!CG133*Calculateur!CI133*VLOOKUP('Données projet'!$B$12,Paramètres!$A$1:$I$89,3,0)*0.475*44/12</f>
        <v>21.270936036250752</v>
      </c>
      <c r="CM133" s="21">
        <f>EXP(-LN(2)/2)*CM132+(1-EXP(-LN(2)/2))/(LN(2)/2)*CG133*CJ133*VLOOKUP('Données projet'!$B$12,Paramètres!$A$1:$I$89,3,0)*0.475*44/12</f>
        <v>0.39731840846068306</v>
      </c>
      <c r="CN133" s="22">
        <f t="shared" si="120"/>
        <v>39.655203231405295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-8.5265128291212022E-14</v>
      </c>
      <c r="CU133" s="17">
        <f>CT133*VLOOKUP('Données projet'!$B$13,Paramètres!$A$1:$I$89,3,0)*VLOOKUP('Données projet'!$B$13,Paramètres!$A$1:$I$89,5,0)</f>
        <v>-6.9167072069831198E-14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163.16040389635825</v>
      </c>
      <c r="CZ133" s="59">
        <f t="shared" ref="CZ133:CZ196" si="150">$CZ$3</f>
        <v>138.57856782158811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5.3371888181456715</v>
      </c>
      <c r="DH133" s="21">
        <f>EXP(-LN(2)/2)*DH132+(1-EXP(-LN(2)/2))/(LN(2)/2)*DB133*DE133*VLOOKUP('Données projet'!$B$13,Paramètres!$A$1:$I$89,3,0)*0.475*44/12</f>
        <v>2.3884836600523656E-5</v>
      </c>
      <c r="DI133" s="22">
        <f t="shared" si="123"/>
        <v>5.3372127029822716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5.7330000000000014</v>
      </c>
      <c r="DO133" s="12">
        <f>IF('Données projet'!$A$166&gt;35,DO132+DN133-DW132,IF(A133&lt;'Données projet'!$A$166,$DL$205^A133,IF(A133='Données projet'!$A$166,'Données projet'!$B$166,DO132+DN133-DW132)))</f>
        <v>292.62700000000018</v>
      </c>
      <c r="DP133" s="17">
        <f>DO133*VLOOKUP('Données projet'!$B$14,Paramètres!$A$1:$I$89,3,0)*VLOOKUP('Données projet'!$B$14,Paramètres!$A$1:$I$89,5,0)</f>
        <v>136.94943600000008</v>
      </c>
      <c r="DQ133" s="13">
        <f t="shared" ref="DQ133:DQ153" si="151">EXP(-1.0587+0.8836*LN(DP133)+0.284)</f>
        <v>35.59727060496035</v>
      </c>
      <c r="DR133" s="20">
        <f t="shared" si="124"/>
        <v>300.51884733697273</v>
      </c>
      <c r="DS133" s="59">
        <f t="shared" si="125"/>
        <v>592.2502621805229</v>
      </c>
      <c r="DT133" s="59">
        <f ca="1">AVERAGE(OFFSET($DS$3,0,0,'Données projet'!$E$14+1,1))-AVERAGE(OFFSET($H$3,0,0,'Données projet'!$E$14+1,1))</f>
        <v>343.44193069803498</v>
      </c>
      <c r="DU133" s="59">
        <f t="shared" ref="DU133:DU196" si="152">$DU$3</f>
        <v>280.67367019483481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86.01197864261735</v>
      </c>
      <c r="EB133" s="21">
        <f>EXP(-LN(2)/25)*EB132+(1-EXP(-LN(2)/25))/(LN(2)/25)*Calculateur!DW133*Calculateur!DY133*VLOOKUP('Données projet'!$B$14,Paramètres!$A$1:$I$89,3,0)*0.475*44/12</f>
        <v>25.309962936187233</v>
      </c>
      <c r="EC133" s="21">
        <f>EXP(-LN(2)/2)*EC132+(1-EXP(-LN(2)/2))/(LN(2)/2)*DW133*DZ133*VLOOKUP('Données projet'!$B$14,Paramètres!$A$1:$I$89,3,0)*0.475*44/12</f>
        <v>1.116341926901852</v>
      </c>
      <c r="ED133" s="22">
        <f t="shared" si="126"/>
        <v>112.43828350570644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173.07692307692307</v>
      </c>
      <c r="EK133" s="17">
        <f>EJ133*VLOOKUP('Données projet'!$B$15,Paramètres!$A$1:$I$89,3,0)*VLOOKUP('Données projet'!$B$15,Paramètres!$A$1:$I$89,5,0)</f>
        <v>175.5</v>
      </c>
      <c r="EL133" s="13">
        <f t="shared" ref="EL133:EL153" si="153">EXP(-1.0587+0.8836*LN(EK133)+0.284)</f>
        <v>44.319548641773906</v>
      </c>
      <c r="EM133" s="20">
        <f t="shared" si="127"/>
        <v>382.85238055108954</v>
      </c>
      <c r="EN133" s="59">
        <f t="shared" si="128"/>
        <v>674.58379539463965</v>
      </c>
      <c r="EO133" s="59">
        <f ca="1">AVERAGE(OFFSET($EN$3,0,0,'Données projet'!$E$15+1,1))-AVERAGE(OFFSET($H$3,0,0,'Données projet'!$E$15+1,1))</f>
        <v>270.0029254736703</v>
      </c>
      <c r="EP133" s="59">
        <f t="shared" ref="EP133:EP196" si="154">$EP$3</f>
        <v>183.80022202211441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9.2560408980914683</v>
      </c>
      <c r="EW133" s="21">
        <f>EXP(-LN(2)/25)*EW132+(1-EXP(-LN(2)/25))/(LN(2)/25)*Calculateur!ER133*Calculateur!ET133*VLOOKUP('Données projet'!$B$15,Paramètres!$A$1:$I$89,3,0)*0.475*44/12</f>
        <v>9.8633491335577634</v>
      </c>
      <c r="EX133" s="21">
        <f>EXP(-LN(2)/2)*EX132+(1-EXP(-LN(2)/2))/(LN(2)/2)*ER133*EU133*VLOOKUP('Données projet'!$B$15,Paramètres!$A$1:$I$89,3,0)*0.475*44/12</f>
        <v>6.660340164949958E-3</v>
      </c>
      <c r="EY133" s="22">
        <f t="shared" si="129"/>
        <v>19.126050371814181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-1.4897523215040567E-13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328.93328163316073</v>
      </c>
      <c r="FK133" s="59">
        <f t="shared" ref="FK133:FK196" si="156">$FK$3</f>
        <v>320.27831321887072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17.116991527526849</v>
      </c>
      <c r="FR133" s="21">
        <f>EXP(-LN(2)/25)*FR132+(1-EXP(-LN(2)/25))/(LN(2)/25)*Calculateur!FM133*Calculateur!FO133*VLOOKUP('Données projet'!$B$16,Paramètres!$A$1:$I$89,3,0)*0.475*44/12</f>
        <v>11.628804462594978</v>
      </c>
      <c r="FS133" s="21">
        <f>EXP(-LN(2)/2)*FS132+(1-EXP(-LN(2)/2))/(LN(2)/2)*FM133*FP133*VLOOKUP('Données projet'!$B$16,Paramètres!$A$1:$I$89,3,0)*0.475*44/12</f>
        <v>1.7009976213972001E-6</v>
      </c>
      <c r="FT133" s="22">
        <f t="shared" si="132"/>
        <v>28.745797691119449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173.07692307692307</v>
      </c>
      <c r="GA133" s="17">
        <f>FZ133*VLOOKUP('Données projet'!$B$17,Paramètres!$A$1:$I$89,3,0)*VLOOKUP('Données projet'!$B$17,Paramètres!$A$1:$I$89,5,0)</f>
        <v>116.1</v>
      </c>
      <c r="GB133" s="13">
        <f t="shared" ref="GB133:GB153" si="157">EXP(-1.0587+0.8836*LN(GA133)+0.284)</f>
        <v>30.763646636385982</v>
      </c>
      <c r="GC133" s="20">
        <f t="shared" si="133"/>
        <v>255.78751789170556</v>
      </c>
      <c r="GD133" s="59">
        <f t="shared" si="134"/>
        <v>547.5189327352557</v>
      </c>
      <c r="GE133" s="59">
        <f ca="1">AVERAGE(OFFSET($GD$3,0,0,'Données projet'!$E$17+1,1))-AVERAGE(OFFSET($H$3,0,0,'Données projet'!$E$17+1,1))</f>
        <v>192.88444860121191</v>
      </c>
      <c r="GF133" s="59">
        <f t="shared" ref="GF133:GF196" si="158">$GF$3</f>
        <v>136.13737493732751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7.5472333476745757</v>
      </c>
      <c r="GM133" s="21">
        <f>EXP(-LN(2)/25)*GM132+(1-EXP(-LN(2)/25))/(LN(2)/25)*Calculateur!GH133*Calculateur!GJ133*VLOOKUP('Données projet'!$B$17,Paramètres!$A$1:$I$89,3,0)*0.475*44/12</f>
        <v>8.0424231396701753</v>
      </c>
      <c r="GN133" s="21">
        <f>EXP(-LN(2)/2)*GN132+(1-EXP(-LN(2)/2))/(LN(2)/2)*GH133*GK133*VLOOKUP('Données projet'!$B$17,Paramètres!$A$1:$I$89,3,0)*0.475*44/12</f>
        <v>4.4060711860438202E-3</v>
      </c>
      <c r="GO133" s="21">
        <f t="shared" si="135"/>
        <v>15.594062558530794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69.563113139150033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0.85000000000000009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3.1166666666666671</v>
      </c>
      <c r="H134" s="67">
        <f t="shared" si="110"/>
        <v>244.19999999999996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1176.9265383439051</v>
      </c>
      <c r="S134" s="59">
        <f ca="1">AVERAGE(OFFSET($R$3,0,0,'Données projet'!$E$9+1,1))-AVERAGE(OFFSET($H$3,0,0,'Données projet'!$E$9+1,1))</f>
        <v>643.492472896403</v>
      </c>
      <c r="T134" s="59">
        <f t="shared" si="142"/>
        <v>285.0259479655341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-2.8421709430404007E-13</v>
      </c>
      <c r="AJ134" s="13">
        <f>AI134*VLOOKUP('Données projet'!$B$10,Paramètres!$A$1:$I$89,3,0)*VLOOKUP('Données projet'!$B$10,Paramètres!$A$1:$I$89,5,0)</f>
        <v>-2.2168933355715128E-13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289.89907502443873</v>
      </c>
      <c r="AO134" s="59">
        <f t="shared" si="144"/>
        <v>267.42183550360301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11.74108754909423</v>
      </c>
      <c r="AV134" s="21">
        <f>EXP(-LN(2)/25)*AV133+(1-EXP(-LN(2)/25))/(LN(2)/25)*Calculateur!AQ134*Calculateur!AS134*VLOOKUP('Données projet'!$B$10,Paramètres!$A$1:$I$89,3,0)*0.475*44/12</f>
        <v>8.2957409888021374</v>
      </c>
      <c r="AW134" s="21">
        <f>EXP(-LN(2)/2)*AW133+(1-EXP(-LN(2)/2))/(LN(2)/2)*AQ134*AT134*VLOOKUP('Données projet'!$B$10,Paramètres!$A$1:$I$89,3,0)*0.475*44/12</f>
        <v>1.991334507557489E-7</v>
      </c>
      <c r="AX134" s="21">
        <f t="shared" si="114"/>
        <v>20.036828737029818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-9.9475983006414026E-14</v>
      </c>
      <c r="BE134" s="13">
        <f>BD134*VLOOKUP('Données projet'!$B$11,Paramètres!$A$1:$I$89,3,0)*VLOOKUP('Données projet'!$B$11,Paramètres!$A$1:$I$89,5,0)</f>
        <v>-9.6213170763803652E-14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177.54241137663234</v>
      </c>
      <c r="BJ134" s="59">
        <f t="shared" si="146"/>
        <v>114.71095021456071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15.845255259426374</v>
      </c>
      <c r="BQ134" s="21">
        <f>EXP(-LN(2)/25)*BQ133+(1-EXP(-LN(2)/25))/(LN(2)/25)*Calculateur!BL134*Calculateur!BN134*VLOOKUP('Données projet'!$B$11,Paramètres!$A$1:$I$89,3,0)*0.475*44/12</f>
        <v>18.590368589108312</v>
      </c>
      <c r="BR134" s="21">
        <f>EXP(-LN(2)/2)*BR133+(1-EXP(-LN(2)/2))/(LN(2)/2)*BL134*BO134*VLOOKUP('Données projet'!$B$11,Paramètres!$A$1:$I$89,3,0)*0.475*44/12</f>
        <v>0.25244471792164241</v>
      </c>
      <c r="BS134" s="22">
        <f t="shared" si="117"/>
        <v>34.68806856645633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-9.9475983006414026E-14</v>
      </c>
      <c r="BZ134" s="13">
        <f>BY134*VLOOKUP('Données projet'!$B$12,Paramètres!$A$1:$I$89,3,0)*VLOOKUP('Données projet'!$B$12,Paramètres!$A$1:$I$89,5,0)</f>
        <v>-1.0707594810810407E-13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192.88977161349993</v>
      </c>
      <c r="CE134" s="59">
        <f t="shared" si="148"/>
        <v>122.91376861456772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17.634235691942258</v>
      </c>
      <c r="CL134" s="21">
        <f>EXP(-LN(2)/25)*CL133+(1-EXP(-LN(2)/25))/(LN(2)/25)*Calculateur!CG134*Calculateur!CI134*VLOOKUP('Données projet'!$B$12,Paramètres!$A$1:$I$89,3,0)*0.475*44/12</f>
        <v>20.689281171749563</v>
      </c>
      <c r="CM134" s="21">
        <f>EXP(-LN(2)/2)*CM133+(1-EXP(-LN(2)/2))/(LN(2)/2)*CG134*CJ134*VLOOKUP('Données projet'!$B$12,Paramètres!$A$1:$I$89,3,0)*0.475*44/12</f>
        <v>0.28094654091279553</v>
      </c>
      <c r="CN134" s="22">
        <f t="shared" si="120"/>
        <v>38.604463404604616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-8.5265128291212022E-14</v>
      </c>
      <c r="CU134" s="17">
        <f>CT134*VLOOKUP('Données projet'!$B$13,Paramètres!$A$1:$I$89,3,0)*VLOOKUP('Données projet'!$B$13,Paramètres!$A$1:$I$89,5,0)</f>
        <v>-6.9167072069831198E-14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163.16040389635825</v>
      </c>
      <c r="CZ134" s="59">
        <f t="shared" si="150"/>
        <v>138.57856782158811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5.1912431092429161</v>
      </c>
      <c r="DH134" s="21">
        <f>EXP(-LN(2)/2)*DH133+(1-EXP(-LN(2)/2))/(LN(2)/2)*DB134*DE134*VLOOKUP('Données projet'!$B$13,Paramètres!$A$1:$I$89,3,0)*0.475*44/12</f>
        <v>1.6889129927762922E-5</v>
      </c>
      <c r="DI134" s="22">
        <f t="shared" si="123"/>
        <v>5.1912599983728436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298.36</v>
      </c>
      <c r="DM134" s="12">
        <f>VLOOKUP(A134,'Données projet'!$A$165:$I$185,9,0)</f>
        <v>5.7330000000000014</v>
      </c>
      <c r="DN134" s="12">
        <f t="array" ref="DN134">INDEX(DM:DM,MIN(IF(ISNUMBER(DM134:DM330),ROW(DM134:DM330),"")))</f>
        <v>5.7330000000000014</v>
      </c>
      <c r="DO134" s="12">
        <f>IF('Données projet'!$A$166&gt;35,DO133+DN134-DW133,IF(A134&lt;'Données projet'!$A$166,$DL$205^A134,IF(A134='Données projet'!$A$166,'Données projet'!$B$166,DO133+DN134-DW133)))</f>
        <v>298.36000000000018</v>
      </c>
      <c r="DP134" s="17">
        <f>DO134*VLOOKUP('Données projet'!$B$14,Paramètres!$A$1:$I$89,3,0)*VLOOKUP('Données projet'!$B$14,Paramètres!$A$1:$I$89,5,0)</f>
        <v>139.6324800000001</v>
      </c>
      <c r="DQ134" s="13">
        <f t="shared" si="151"/>
        <v>36.212798947921591</v>
      </c>
      <c r="DR134" s="20">
        <f t="shared" si="124"/>
        <v>306.26386083429691</v>
      </c>
      <c r="DS134" s="59">
        <f t="shared" si="125"/>
        <v>598.02306538229152</v>
      </c>
      <c r="DT134" s="59">
        <f ca="1">AVERAGE(OFFSET($DS$3,0,0,'Données projet'!$E$14+1,1))-AVERAGE(OFFSET($H$3,0,0,'Données projet'!$E$14+1,1))</f>
        <v>343.44193069803498</v>
      </c>
      <c r="DU134" s="59">
        <f t="shared" si="152"/>
        <v>280.67367019483481</v>
      </c>
      <c r="DV134" s="15">
        <f>IF(ISNA(VLOOKUP(A134,'Données projet'!$A$165:$I$185,3,0)),0,VLOOKUP(A134,'Données projet'!$A$165:$I$185,3,0))</f>
        <v>8</v>
      </c>
      <c r="DW134" s="15">
        <f>IF(ISNA(VLOOKUP(A134,'Données projet'!$A$165:$I$185,4,0)),0,VLOOKUP(A134,'Données projet'!$A$165:$I$185,4,0))</f>
        <v>298.36</v>
      </c>
      <c r="DX134" s="16">
        <f>IF(ISNA(VLOOKUP(A134,'Données projet'!$A$165:$I$185,5,0)),0%,VLOOKUP(A134,'Données projet'!$A$165:$I$185,5,0)*VLOOKUP('Données projet'!$B$14,Paramètres!$A$1:$I$89,7,0))</f>
        <v>0.33</v>
      </c>
      <c r="DY134" s="16">
        <f>IF(ISNA(VLOOKUP(A134,'Données projet'!$A$165:$I$185,6,0)),0%,VLOOKUP(A134,'Données projet'!$A$165:$I$185,6,0)*VLOOKUP('Données projet'!$B$14,Paramètres!$A$1:$I$89,7,0))</f>
        <v>0.11000000000000001</v>
      </c>
      <c r="DZ134" s="16">
        <f>IF(ISNA(VLOOKUP(A134,'Données projet'!$A$165:$I$185,7,0)),0%,VLOOKUP(A134,'Données projet'!$A$165:$I$185,7,0))</f>
        <v>0.2</v>
      </c>
      <c r="EA134" s="21">
        <f>EXP(-LN(2)/35)*EA133+(1-EXP(-LN(2)/35))/(LN(2)/35)*DW134*DX134*VLOOKUP('Données projet'!$B$14,Paramètres!$A$1:$I$89,3,0)*0.475*44/12</f>
        <v>145.4517261852103</v>
      </c>
      <c r="EB134" s="21">
        <f>EXP(-LN(2)/25)*EB133+(1-EXP(-LN(2)/25))/(LN(2)/25)*Calculateur!DW134*Calculateur!DY134*VLOOKUP('Données projet'!$B$14,Paramètres!$A$1:$I$89,3,0)*0.475*44/12</f>
        <v>44.913098033140628</v>
      </c>
      <c r="EC134" s="21">
        <f>EXP(-LN(2)/2)*EC133+(1-EXP(-LN(2)/2))/(LN(2)/2)*DW134*DZ134*VLOOKUP('Données projet'!$B$14,Paramètres!$A$1:$I$89,3,0)*0.475*44/12</f>
        <v>32.408653674578815</v>
      </c>
      <c r="ED134" s="22">
        <f t="shared" si="126"/>
        <v>222.77347789292975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173.07692307692307</v>
      </c>
      <c r="EK134" s="17">
        <f>EJ134*VLOOKUP('Données projet'!$B$15,Paramètres!$A$1:$I$89,3,0)*VLOOKUP('Données projet'!$B$15,Paramètres!$A$1:$I$89,5,0)</f>
        <v>175.5</v>
      </c>
      <c r="EL134" s="13">
        <f t="shared" si="153"/>
        <v>44.319548641773906</v>
      </c>
      <c r="EM134" s="20">
        <f t="shared" si="127"/>
        <v>382.85238055108954</v>
      </c>
      <c r="EN134" s="59">
        <f t="shared" si="128"/>
        <v>674.6115850990841</v>
      </c>
      <c r="EO134" s="59">
        <f ca="1">AVERAGE(OFFSET($EN$3,0,0,'Données projet'!$E$15+1,1))-AVERAGE(OFFSET($H$3,0,0,'Données projet'!$E$15+1,1))</f>
        <v>270.0029254736703</v>
      </c>
      <c r="EP134" s="59">
        <f t="shared" si="154"/>
        <v>183.80022202211441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9.0745355817073836</v>
      </c>
      <c r="EW134" s="21">
        <f>EXP(-LN(2)/25)*EW133+(1-EXP(-LN(2)/25))/(LN(2)/25)*Calculateur!ER134*Calculateur!ET134*VLOOKUP('Données projet'!$B$15,Paramètres!$A$1:$I$89,3,0)*0.475*44/12</f>
        <v>9.5936353328096384</v>
      </c>
      <c r="EX134" s="21">
        <f>EXP(-LN(2)/2)*EX133+(1-EXP(-LN(2)/2))/(LN(2)/2)*ER134*EU134*VLOOKUP('Données projet'!$B$15,Paramètres!$A$1:$I$89,3,0)*0.475*44/12</f>
        <v>4.7095716956452437E-3</v>
      </c>
      <c r="EY134" s="22">
        <f t="shared" si="129"/>
        <v>18.672880486212666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-1.4897523215040567E-13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328.93328163316073</v>
      </c>
      <c r="FK134" s="59">
        <f t="shared" si="156"/>
        <v>320.27831321887072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16.781337764005983</v>
      </c>
      <c r="FR134" s="21">
        <f>EXP(-LN(2)/25)*FR133+(1-EXP(-LN(2)/25))/(LN(2)/25)*Calculateur!FM134*Calculateur!FO134*VLOOKUP('Données projet'!$B$16,Paramètres!$A$1:$I$89,3,0)*0.475*44/12</f>
        <v>11.310814193033069</v>
      </c>
      <c r="FS134" s="21">
        <f>EXP(-LN(2)/2)*FS133+(1-EXP(-LN(2)/2))/(LN(2)/2)*FM134*FP134*VLOOKUP('Données projet'!$B$16,Paramètres!$A$1:$I$89,3,0)*0.475*44/12</f>
        <v>1.2027869528721477E-6</v>
      </c>
      <c r="FT134" s="22">
        <f t="shared" si="132"/>
        <v>28.092153159826005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173.07692307692307</v>
      </c>
      <c r="GA134" s="17">
        <f>FZ134*VLOOKUP('Données projet'!$B$17,Paramètres!$A$1:$I$89,3,0)*VLOOKUP('Données projet'!$B$17,Paramètres!$A$1:$I$89,5,0)</f>
        <v>116.1</v>
      </c>
      <c r="GB134" s="13">
        <f t="shared" si="157"/>
        <v>30.763646636385982</v>
      </c>
      <c r="GC134" s="20">
        <f t="shared" si="133"/>
        <v>255.78751789170556</v>
      </c>
      <c r="GD134" s="59">
        <f t="shared" si="134"/>
        <v>547.54672243970015</v>
      </c>
      <c r="GE134" s="59">
        <f ca="1">AVERAGE(OFFSET($GD$3,0,0,'Données projet'!$E$17+1,1))-AVERAGE(OFFSET($H$3,0,0,'Données projet'!$E$17+1,1))</f>
        <v>192.88444860121191</v>
      </c>
      <c r="GF134" s="59">
        <f t="shared" si="158"/>
        <v>136.13737493732751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7.3992367050844754</v>
      </c>
      <c r="GM134" s="21">
        <f>EXP(-LN(2)/25)*GM133+(1-EXP(-LN(2)/25))/(LN(2)/25)*Calculateur!GH134*Calculateur!GJ134*VLOOKUP('Données projet'!$B$17,Paramètres!$A$1:$I$89,3,0)*0.475*44/12</f>
        <v>7.8225026559832429</v>
      </c>
      <c r="GN134" s="21">
        <f>EXP(-LN(2)/2)*GN133+(1-EXP(-LN(2)/2))/(LN(2)/2)*GH134*GK134*VLOOKUP('Données projet'!$B$17,Paramètres!$A$1:$I$89,3,0)*0.475*44/12</f>
        <v>3.1155628140422395E-3</v>
      </c>
      <c r="GO134" s="21">
        <f t="shared" si="135"/>
        <v>15.224854923881761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69.57069214945308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0.85000000000000009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3.1166666666666671</v>
      </c>
      <c r="H135" s="67">
        <f t="shared" si="110"/>
        <v>244.19999999999996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1194.0409723144373</v>
      </c>
      <c r="S135" s="59">
        <f ca="1">AVERAGE(OFFSET($R$3,0,0,'Données projet'!$E$9+1,1))-AVERAGE(OFFSET($H$3,0,0,'Données projet'!$E$9+1,1))</f>
        <v>643.492472896403</v>
      </c>
      <c r="T135" s="59">
        <f t="shared" si="142"/>
        <v>285.0259479655341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-2.8421709430404007E-13</v>
      </c>
      <c r="AJ135" s="13">
        <f>AI135*VLOOKUP('Données projet'!$B$10,Paramètres!$A$1:$I$89,3,0)*VLOOKUP('Données projet'!$B$10,Paramètres!$A$1:$I$89,5,0)</f>
        <v>-2.2168933355715128E-13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289.89907502443873</v>
      </c>
      <c r="AO135" s="59">
        <f t="shared" si="144"/>
        <v>267.42183550360301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11.510851983612772</v>
      </c>
      <c r="AV135" s="21">
        <f>EXP(-LN(2)/25)*AV134+(1-EXP(-LN(2)/25))/(LN(2)/25)*Calculateur!AQ135*Calculateur!AS135*VLOOKUP('Données projet'!$B$10,Paramètres!$A$1:$I$89,3,0)*0.475*44/12</f>
        <v>8.0688935152092842</v>
      </c>
      <c r="AW135" s="21">
        <f>EXP(-LN(2)/2)*AW134+(1-EXP(-LN(2)/2))/(LN(2)/2)*AQ135*AT135*VLOOKUP('Données projet'!$B$10,Paramètres!$A$1:$I$89,3,0)*0.475*44/12</f>
        <v>1.4080861339046747E-7</v>
      </c>
      <c r="AX135" s="21">
        <f t="shared" si="114"/>
        <v>19.579745639630669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-9.9475983006414026E-14</v>
      </c>
      <c r="BE135" s="13">
        <f>BD135*VLOOKUP('Données projet'!$B$11,Paramètres!$A$1:$I$89,3,0)*VLOOKUP('Données projet'!$B$11,Paramètres!$A$1:$I$89,5,0)</f>
        <v>-9.6213170763803652E-14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177.54241137663234</v>
      </c>
      <c r="BJ135" s="59">
        <f t="shared" si="146"/>
        <v>114.71095021456071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15.534539468440425</v>
      </c>
      <c r="BQ135" s="21">
        <f>EXP(-LN(2)/25)*BQ134+(1-EXP(-LN(2)/25))/(LN(2)/25)*Calculateur!BL135*Calculateur!BN135*VLOOKUP('Données projet'!$B$11,Paramètres!$A$1:$I$89,3,0)*0.475*44/12</f>
        <v>18.08201398241415</v>
      </c>
      <c r="BR135" s="21">
        <f>EXP(-LN(2)/2)*BR134+(1-EXP(-LN(2)/2))/(LN(2)/2)*BL135*BO135*VLOOKUP('Données projet'!$B$11,Paramètres!$A$1:$I$89,3,0)*0.475*44/12</f>
        <v>0.17850537191711852</v>
      </c>
      <c r="BS135" s="22">
        <f t="shared" si="117"/>
        <v>33.795058822771693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-9.9475983006414026E-14</v>
      </c>
      <c r="BZ135" s="13">
        <f>BY135*VLOOKUP('Données projet'!$B$12,Paramètres!$A$1:$I$89,3,0)*VLOOKUP('Données projet'!$B$12,Paramètres!$A$1:$I$89,5,0)</f>
        <v>-1.0707594810810407E-13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192.88977161349993</v>
      </c>
      <c r="CE135" s="59">
        <f t="shared" si="148"/>
        <v>122.91376861456772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17.288439085844995</v>
      </c>
      <c r="CL135" s="21">
        <f>EXP(-LN(2)/25)*CL134+(1-EXP(-LN(2)/25))/(LN(2)/25)*Calculateur!CG135*Calculateur!CI135*VLOOKUP('Données projet'!$B$12,Paramètres!$A$1:$I$89,3,0)*0.475*44/12</f>
        <v>20.123531690106059</v>
      </c>
      <c r="CM135" s="21">
        <f>EXP(-LN(2)/2)*CM134+(1-EXP(-LN(2)/2))/(LN(2)/2)*CG135*CJ135*VLOOKUP('Données projet'!$B$12,Paramètres!$A$1:$I$89,3,0)*0.475*44/12</f>
        <v>0.19865920423034153</v>
      </c>
      <c r="CN135" s="22">
        <f t="shared" si="120"/>
        <v>37.610629980181393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-8.5265128291212022E-14</v>
      </c>
      <c r="CU135" s="17">
        <f>CT135*VLOOKUP('Données projet'!$B$13,Paramètres!$A$1:$I$89,3,0)*VLOOKUP('Données projet'!$B$13,Paramètres!$A$1:$I$89,5,0)</f>
        <v>-6.9167072069831198E-14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163.16040389635825</v>
      </c>
      <c r="CZ135" s="59">
        <f t="shared" si="150"/>
        <v>138.57856782158811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5.0492882934250582</v>
      </c>
      <c r="DH135" s="21">
        <f>EXP(-LN(2)/2)*DH134+(1-EXP(-LN(2)/2))/(LN(2)/2)*DB135*DE135*VLOOKUP('Données projet'!$B$13,Paramètres!$A$1:$I$89,3,0)*0.475*44/12</f>
        <v>1.1942418300261828E-5</v>
      </c>
      <c r="DI135" s="22">
        <f t="shared" si="123"/>
        <v>5.0493002358433587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1.7053025658242404E-13</v>
      </c>
      <c r="DP135" s="17">
        <f>DO135*VLOOKUP('Données projet'!$B$14,Paramètres!$A$1:$I$89,3,0)*VLOOKUP('Données projet'!$B$14,Paramètres!$A$1:$I$89,5,0)</f>
        <v>7.9808160080574461E-14</v>
      </c>
      <c r="DQ135" s="13">
        <f t="shared" si="151"/>
        <v>1.2308384591775343E-12</v>
      </c>
      <c r="DR135" s="20">
        <f t="shared" si="124"/>
        <v>2.282709528541206E-12</v>
      </c>
      <c r="DS135" s="59">
        <f t="shared" si="125"/>
        <v>291.78651216319776</v>
      </c>
      <c r="DT135" s="59">
        <f ca="1">AVERAGE(OFFSET($DS$3,0,0,'Données projet'!$E$14+1,1))-AVERAGE(OFFSET($H$3,0,0,'Données projet'!$E$14+1,1))</f>
        <v>343.44193069803498</v>
      </c>
      <c r="DU135" s="59">
        <f t="shared" si="152"/>
        <v>280.67367019483481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142.59950655151124</v>
      </c>
      <c r="EB135" s="21">
        <f>EXP(-LN(2)/25)*EB134+(1-EXP(-LN(2)/25))/(LN(2)/25)*Calculateur!DW135*Calculateur!DY135*VLOOKUP('Données projet'!$B$14,Paramètres!$A$1:$I$89,3,0)*0.475*44/12</f>
        <v>43.684947005547222</v>
      </c>
      <c r="EC135" s="21">
        <f>EXP(-LN(2)/2)*EC134+(1-EXP(-LN(2)/2))/(LN(2)/2)*DW135*DZ135*VLOOKUP('Données projet'!$B$14,Paramètres!$A$1:$I$89,3,0)*0.475*44/12</f>
        <v>22.916378782421003</v>
      </c>
      <c r="ED135" s="22">
        <f t="shared" si="126"/>
        <v>209.20083233947946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173.07692307692307</v>
      </c>
      <c r="EK135" s="17">
        <f>EJ135*VLOOKUP('Données projet'!$B$15,Paramètres!$A$1:$I$89,3,0)*VLOOKUP('Données projet'!$B$15,Paramètres!$A$1:$I$89,5,0)</f>
        <v>175.5</v>
      </c>
      <c r="EL135" s="13">
        <f t="shared" si="153"/>
        <v>44.319548641773906</v>
      </c>
      <c r="EM135" s="20">
        <f t="shared" si="127"/>
        <v>382.85238055108954</v>
      </c>
      <c r="EN135" s="59">
        <f t="shared" si="128"/>
        <v>674.63889271428502</v>
      </c>
      <c r="EO135" s="59">
        <f ca="1">AVERAGE(OFFSET($EN$3,0,0,'Données projet'!$E$15+1,1))-AVERAGE(OFFSET($H$3,0,0,'Données projet'!$E$15+1,1))</f>
        <v>270.0029254736703</v>
      </c>
      <c r="EP135" s="59">
        <f t="shared" si="154"/>
        <v>183.80022202211441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8.8965894738702787</v>
      </c>
      <c r="EW135" s="21">
        <f>EXP(-LN(2)/25)*EW134+(1-EXP(-LN(2)/25))/(LN(2)/25)*Calculateur!ER135*Calculateur!ET135*VLOOKUP('Données projet'!$B$15,Paramètres!$A$1:$I$89,3,0)*0.475*44/12</f>
        <v>9.3312968701266037</v>
      </c>
      <c r="EX135" s="21">
        <f>EXP(-LN(2)/2)*EX134+(1-EXP(-LN(2)/2))/(LN(2)/2)*ER135*EU135*VLOOKUP('Données projet'!$B$15,Paramètres!$A$1:$I$89,3,0)*0.475*44/12</f>
        <v>3.330170082474979E-3</v>
      </c>
      <c r="EY135" s="22">
        <f t="shared" si="129"/>
        <v>18.231216514079357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-1.4897523215040567E-13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328.93328163316073</v>
      </c>
      <c r="FK135" s="59">
        <f t="shared" si="156"/>
        <v>320.27831321887072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16.45226596605918</v>
      </c>
      <c r="FR135" s="21">
        <f>EXP(-LN(2)/25)*FR134+(1-EXP(-LN(2)/25))/(LN(2)/25)*Calculateur!FM135*Calculateur!FO135*VLOOKUP('Données projet'!$B$16,Paramètres!$A$1:$I$89,3,0)*0.475*44/12</f>
        <v>11.001519384114713</v>
      </c>
      <c r="FS135" s="21">
        <f>EXP(-LN(2)/2)*FS134+(1-EXP(-LN(2)/2))/(LN(2)/2)*FM135*FP135*VLOOKUP('Données projet'!$B$16,Paramètres!$A$1:$I$89,3,0)*0.475*44/12</f>
        <v>8.5049881069860003E-7</v>
      </c>
      <c r="FT135" s="22">
        <f t="shared" si="132"/>
        <v>27.453786200672706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173.07692307692307</v>
      </c>
      <c r="GA135" s="17">
        <f>FZ135*VLOOKUP('Données projet'!$B$17,Paramètres!$A$1:$I$89,3,0)*VLOOKUP('Données projet'!$B$17,Paramètres!$A$1:$I$89,5,0)</f>
        <v>116.1</v>
      </c>
      <c r="GB135" s="13">
        <f t="shared" si="157"/>
        <v>30.763646636385982</v>
      </c>
      <c r="GC135" s="20">
        <f t="shared" si="133"/>
        <v>255.78751789170556</v>
      </c>
      <c r="GD135" s="59">
        <f t="shared" si="134"/>
        <v>547.57403005490107</v>
      </c>
      <c r="GE135" s="59">
        <f ca="1">AVERAGE(OFFSET($GD$3,0,0,'Données projet'!$E$17+1,1))-AVERAGE(OFFSET($H$3,0,0,'Données projet'!$E$17+1,1))</f>
        <v>192.88444860121191</v>
      </c>
      <c r="GF135" s="59">
        <f t="shared" si="158"/>
        <v>136.13737493732751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7.2541421863865283</v>
      </c>
      <c r="GM135" s="21">
        <f>EXP(-LN(2)/25)*GM134+(1-EXP(-LN(2)/25))/(LN(2)/25)*Calculateur!GH135*Calculateur!GJ135*VLOOKUP('Données projet'!$B$17,Paramètres!$A$1:$I$89,3,0)*0.475*44/12</f>
        <v>7.6085959094878453</v>
      </c>
      <c r="GN135" s="21">
        <f>EXP(-LN(2)/2)*GN134+(1-EXP(-LN(2)/2))/(LN(2)/2)*GH135*GK135*VLOOKUP('Données projet'!$B$17,Paramètres!$A$1:$I$89,3,0)*0.475*44/12</f>
        <v>2.2030355930219101E-3</v>
      </c>
      <c r="GO135" s="21">
        <f t="shared" si="135"/>
        <v>14.864941131467395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69.578139680871502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0.85000000000000009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3.1166666666666671</v>
      </c>
      <c r="H136" s="67">
        <f t="shared" si="110"/>
        <v>244.19999999999996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1211.1484783923447</v>
      </c>
      <c r="S136" s="59">
        <f ca="1">AVERAGE(OFFSET($R$3,0,0,'Données projet'!$E$9+1,1))-AVERAGE(OFFSET($H$3,0,0,'Données projet'!$E$9+1,1))</f>
        <v>643.492472896403</v>
      </c>
      <c r="T136" s="59">
        <f t="shared" si="142"/>
        <v>285.0259479655341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-2.8421709430404007E-13</v>
      </c>
      <c r="AJ136" s="13">
        <f>AI136*VLOOKUP('Données projet'!$B$10,Paramètres!$A$1:$I$89,3,0)*VLOOKUP('Données projet'!$B$10,Paramètres!$A$1:$I$89,5,0)</f>
        <v>-2.2168933355715128E-13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289.89907502443873</v>
      </c>
      <c r="AO136" s="59">
        <f t="shared" si="144"/>
        <v>267.42183550360301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11.285131197140577</v>
      </c>
      <c r="AV136" s="21">
        <f>EXP(-LN(2)/25)*AV135+(1-EXP(-LN(2)/25))/(LN(2)/25)*Calculateur!AQ136*Calculateur!AS136*VLOOKUP('Données projet'!$B$10,Paramètres!$A$1:$I$89,3,0)*0.475*44/12</f>
        <v>7.8482491977112181</v>
      </c>
      <c r="AW136" s="21">
        <f>EXP(-LN(2)/2)*AW135+(1-EXP(-LN(2)/2))/(LN(2)/2)*AQ136*AT136*VLOOKUP('Données projet'!$B$10,Paramètres!$A$1:$I$89,3,0)*0.475*44/12</f>
        <v>9.956672537787445E-8</v>
      </c>
      <c r="AX136" s="21">
        <f t="shared" si="114"/>
        <v>19.133380494418521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-9.9475983006414026E-14</v>
      </c>
      <c r="BE136" s="13">
        <f>BD136*VLOOKUP('Données projet'!$B$11,Paramètres!$A$1:$I$89,3,0)*VLOOKUP('Données projet'!$B$11,Paramètres!$A$1:$I$89,5,0)</f>
        <v>-9.6213170763803652E-14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177.54241137663234</v>
      </c>
      <c r="BJ136" s="59">
        <f t="shared" si="146"/>
        <v>114.71095021456071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15.229916624597791</v>
      </c>
      <c r="BQ136" s="21">
        <f>EXP(-LN(2)/25)*BQ135+(1-EXP(-LN(2)/25))/(LN(2)/25)*Calculateur!BL136*Calculateur!BN136*VLOOKUP('Données projet'!$B$11,Paramètres!$A$1:$I$89,3,0)*0.475*44/12</f>
        <v>17.587560359173246</v>
      </c>
      <c r="BR136" s="21">
        <f>EXP(-LN(2)/2)*BR135+(1-EXP(-LN(2)/2))/(LN(2)/2)*BL136*BO136*VLOOKUP('Données projet'!$B$11,Paramètres!$A$1:$I$89,3,0)*0.475*44/12</f>
        <v>0.12622235896082121</v>
      </c>
      <c r="BS136" s="22">
        <f t="shared" si="117"/>
        <v>32.943699342731861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-9.9475983006414026E-14</v>
      </c>
      <c r="BZ136" s="13">
        <f>BY136*VLOOKUP('Données projet'!$B$12,Paramètres!$A$1:$I$89,3,0)*VLOOKUP('Données projet'!$B$12,Paramètres!$A$1:$I$89,5,0)</f>
        <v>-1.0707594810810407E-13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192.88977161349993</v>
      </c>
      <c r="CE136" s="59">
        <f t="shared" si="148"/>
        <v>122.91376861456772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16.949423340278194</v>
      </c>
      <c r="CL136" s="21">
        <f>EXP(-LN(2)/25)*CL135+(1-EXP(-LN(2)/25))/(LN(2)/25)*Calculateur!CG136*Calculateur!CI136*VLOOKUP('Données projet'!$B$12,Paramètres!$A$1:$I$89,3,0)*0.475*44/12</f>
        <v>19.57325265778957</v>
      </c>
      <c r="CM136" s="21">
        <f>EXP(-LN(2)/2)*CM135+(1-EXP(-LN(2)/2))/(LN(2)/2)*CG136*CJ136*VLOOKUP('Données projet'!$B$12,Paramètres!$A$1:$I$89,3,0)*0.475*44/12</f>
        <v>0.14047327045639776</v>
      </c>
      <c r="CN136" s="22">
        <f t="shared" si="120"/>
        <v>36.663149268524165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-8.5265128291212022E-14</v>
      </c>
      <c r="CU136" s="17">
        <f>CT136*VLOOKUP('Données projet'!$B$13,Paramètres!$A$1:$I$89,3,0)*VLOOKUP('Données projet'!$B$13,Paramètres!$A$1:$I$89,5,0)</f>
        <v>-6.9167072069831198E-14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163.16040389635825</v>
      </c>
      <c r="CZ136" s="59">
        <f t="shared" si="150"/>
        <v>138.57856782158811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4.9112152395108186</v>
      </c>
      <c r="DH136" s="21">
        <f>EXP(-LN(2)/2)*DH135+(1-EXP(-LN(2)/2))/(LN(2)/2)*DB136*DE136*VLOOKUP('Données projet'!$B$13,Paramètres!$A$1:$I$89,3,0)*0.475*44/12</f>
        <v>8.4445649638814611E-6</v>
      </c>
      <c r="DI136" s="22">
        <f t="shared" si="123"/>
        <v>4.9112236840757824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1.7053025658242404E-13</v>
      </c>
      <c r="DP136" s="17">
        <f>DO136*VLOOKUP('Données projet'!$B$14,Paramètres!$A$1:$I$89,3,0)*VLOOKUP('Données projet'!$B$14,Paramètres!$A$1:$I$89,5,0)</f>
        <v>7.9808160080574461E-14</v>
      </c>
      <c r="DQ136" s="13">
        <f t="shared" si="151"/>
        <v>1.2308384591775343E-12</v>
      </c>
      <c r="DR136" s="20">
        <f t="shared" si="124"/>
        <v>2.282709528541206E-12</v>
      </c>
      <c r="DS136" s="59">
        <f t="shared" si="125"/>
        <v>291.81334605232558</v>
      </c>
      <c r="DT136" s="59">
        <f ca="1">AVERAGE(OFFSET($DS$3,0,0,'Données projet'!$E$14+1,1))-AVERAGE(OFFSET($H$3,0,0,'Données projet'!$E$14+1,1))</f>
        <v>343.44193069803498</v>
      </c>
      <c r="DU136" s="59">
        <f t="shared" si="152"/>
        <v>280.67367019483481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139.80321720514684</v>
      </c>
      <c r="EB136" s="21">
        <f>EXP(-LN(2)/25)*EB135+(1-EXP(-LN(2)/25))/(LN(2)/25)*Calculateur!DW136*Calculateur!DY136*VLOOKUP('Données projet'!$B$14,Paramètres!$A$1:$I$89,3,0)*0.475*44/12</f>
        <v>42.490379832389017</v>
      </c>
      <c r="EC136" s="21">
        <f>EXP(-LN(2)/2)*EC135+(1-EXP(-LN(2)/2))/(LN(2)/2)*DW136*DZ136*VLOOKUP('Données projet'!$B$14,Paramètres!$A$1:$I$89,3,0)*0.475*44/12</f>
        <v>16.204326837289408</v>
      </c>
      <c r="ED136" s="22">
        <f t="shared" si="126"/>
        <v>198.49792387482526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173.07692307692307</v>
      </c>
      <c r="EK136" s="17">
        <f>EJ136*VLOOKUP('Données projet'!$B$15,Paramètres!$A$1:$I$89,3,0)*VLOOKUP('Données projet'!$B$15,Paramètres!$A$1:$I$89,5,0)</f>
        <v>175.5</v>
      </c>
      <c r="EL136" s="13">
        <f t="shared" si="153"/>
        <v>44.319548641773906</v>
      </c>
      <c r="EM136" s="20">
        <f t="shared" si="127"/>
        <v>382.85238055108954</v>
      </c>
      <c r="EN136" s="59">
        <f t="shared" si="128"/>
        <v>674.66572660341285</v>
      </c>
      <c r="EO136" s="59">
        <f ca="1">AVERAGE(OFFSET($EN$3,0,0,'Données projet'!$E$15+1,1))-AVERAGE(OFFSET($H$3,0,0,'Données projet'!$E$15+1,1))</f>
        <v>270.0029254736703</v>
      </c>
      <c r="EP136" s="59">
        <f t="shared" si="154"/>
        <v>183.80022202211441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8.7221327806714513</v>
      </c>
      <c r="EW136" s="21">
        <f>EXP(-LN(2)/25)*EW135+(1-EXP(-LN(2)/25))/(LN(2)/25)*Calculateur!ER136*Calculateur!ET136*VLOOKUP('Données projet'!$B$15,Paramètres!$A$1:$I$89,3,0)*0.475*44/12</f>
        <v>9.0761320665014171</v>
      </c>
      <c r="EX136" s="21">
        <f>EXP(-LN(2)/2)*EX135+(1-EXP(-LN(2)/2))/(LN(2)/2)*ER136*EU136*VLOOKUP('Données projet'!$B$15,Paramètres!$A$1:$I$89,3,0)*0.475*44/12</f>
        <v>2.3547858478226219E-3</v>
      </c>
      <c r="EY136" s="22">
        <f t="shared" si="129"/>
        <v>17.800619633020688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-1.4897523215040567E-13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328.93328163316073</v>
      </c>
      <c r="FK136" s="59">
        <f t="shared" si="156"/>
        <v>320.27831321887072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16.129647065356135</v>
      </c>
      <c r="FR136" s="21">
        <f>EXP(-LN(2)/25)*FR135+(1-EXP(-LN(2)/25))/(LN(2)/25)*Calculateur!FM136*Calculateur!FO136*VLOOKUP('Données projet'!$B$16,Paramètres!$A$1:$I$89,3,0)*0.475*44/12</f>
        <v>10.700682258011337</v>
      </c>
      <c r="FS136" s="21">
        <f>EXP(-LN(2)/2)*FS135+(1-EXP(-LN(2)/2))/(LN(2)/2)*FM136*FP136*VLOOKUP('Données projet'!$B$16,Paramètres!$A$1:$I$89,3,0)*0.475*44/12</f>
        <v>6.0139347643607387E-7</v>
      </c>
      <c r="FT136" s="22">
        <f t="shared" si="132"/>
        <v>26.830329924760949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173.07692307692307</v>
      </c>
      <c r="GA136" s="17">
        <f>FZ136*VLOOKUP('Données projet'!$B$17,Paramètres!$A$1:$I$89,3,0)*VLOOKUP('Données projet'!$B$17,Paramètres!$A$1:$I$89,5,0)</f>
        <v>116.1</v>
      </c>
      <c r="GB136" s="13">
        <f t="shared" si="157"/>
        <v>30.763646636385982</v>
      </c>
      <c r="GC136" s="20">
        <f t="shared" si="133"/>
        <v>255.78751789170556</v>
      </c>
      <c r="GD136" s="59">
        <f t="shared" si="134"/>
        <v>547.6008639440289</v>
      </c>
      <c r="GE136" s="59">
        <f ca="1">AVERAGE(OFFSET($GD$3,0,0,'Données projet'!$E$17+1,1))-AVERAGE(OFFSET($H$3,0,0,'Données projet'!$E$17+1,1))</f>
        <v>192.88444860121191</v>
      </c>
      <c r="GF136" s="59">
        <f t="shared" si="158"/>
        <v>136.13737493732751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7.1118928827013299</v>
      </c>
      <c r="GM136" s="21">
        <f>EXP(-LN(2)/25)*GM135+(1-EXP(-LN(2)/25))/(LN(2)/25)*Calculateur!GH136*Calculateur!GJ136*VLOOKUP('Données projet'!$B$17,Paramètres!$A$1:$I$89,3,0)*0.475*44/12</f>
        <v>7.4005384542242307</v>
      </c>
      <c r="GN136" s="21">
        <f>EXP(-LN(2)/2)*GN135+(1-EXP(-LN(2)/2))/(LN(2)/2)*GH136*GK136*VLOOKUP('Données projet'!$B$17,Paramètres!$A$1:$I$89,3,0)*0.475*44/12</f>
        <v>1.5577814070211198E-3</v>
      </c>
      <c r="GO136" s="21">
        <f t="shared" si="135"/>
        <v>14.513989118332582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69.585458014270003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0.85000000000000009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3.1166666666666671</v>
      </c>
      <c r="H137" s="67">
        <f t="shared" si="110"/>
        <v>244.19999999999996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1228.2492014600773</v>
      </c>
      <c r="S137" s="59">
        <f ca="1">AVERAGE(OFFSET($R$3,0,0,'Données projet'!$E$9+1,1))-AVERAGE(OFFSET($H$3,0,0,'Données projet'!$E$9+1,1))</f>
        <v>643.492472896403</v>
      </c>
      <c r="T137" s="59">
        <f t="shared" si="142"/>
        <v>285.0259479655341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-2.8421709430404007E-13</v>
      </c>
      <c r="AJ137" s="13">
        <f>AI137*VLOOKUP('Données projet'!$B$10,Paramètres!$A$1:$I$89,3,0)*VLOOKUP('Données projet'!$B$10,Paramètres!$A$1:$I$89,5,0)</f>
        <v>-2.2168933355715128E-13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289.89907502443873</v>
      </c>
      <c r="AO137" s="59">
        <f t="shared" si="144"/>
        <v>267.42183550360301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11.063836657615017</v>
      </c>
      <c r="AV137" s="21">
        <f>EXP(-LN(2)/25)*AV136+(1-EXP(-LN(2)/25))/(LN(2)/25)*Calculateur!AQ137*Calculateur!AS137*VLOOKUP('Données projet'!$B$10,Paramètres!$A$1:$I$89,3,0)*0.475*44/12</f>
        <v>7.6336384106783166</v>
      </c>
      <c r="AW137" s="21">
        <f>EXP(-LN(2)/2)*AW136+(1-EXP(-LN(2)/2))/(LN(2)/2)*AQ137*AT137*VLOOKUP('Données projet'!$B$10,Paramètres!$A$1:$I$89,3,0)*0.475*44/12</f>
        <v>7.0404306695233735E-8</v>
      </c>
      <c r="AX137" s="21">
        <f t="shared" si="114"/>
        <v>18.697475138697641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-9.9475983006414026E-14</v>
      </c>
      <c r="BE137" s="13">
        <f>BD137*VLOOKUP('Données projet'!$B$11,Paramètres!$A$1:$I$89,3,0)*VLOOKUP('Données projet'!$B$11,Paramètres!$A$1:$I$89,5,0)</f>
        <v>-9.6213170763803652E-14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177.54241137663234</v>
      </c>
      <c r="BJ137" s="59">
        <f t="shared" si="146"/>
        <v>114.71095021456071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14.931267248921325</v>
      </c>
      <c r="BQ137" s="21">
        <f>EXP(-LN(2)/25)*BQ136+(1-EXP(-LN(2)/25))/(LN(2)/25)*Calculateur!BL137*Calculateur!BN137*VLOOKUP('Données projet'!$B$11,Paramètres!$A$1:$I$89,3,0)*0.475*44/12</f>
        <v>17.106627596262051</v>
      </c>
      <c r="BR137" s="21">
        <f>EXP(-LN(2)/2)*BR136+(1-EXP(-LN(2)/2))/(LN(2)/2)*BL137*BO137*VLOOKUP('Données projet'!$B$11,Paramètres!$A$1:$I$89,3,0)*0.475*44/12</f>
        <v>8.9252685958559258E-2</v>
      </c>
      <c r="BS137" s="22">
        <f t="shared" si="117"/>
        <v>32.127147531141929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-9.9475983006414026E-14</v>
      </c>
      <c r="BZ137" s="13">
        <f>BY137*VLOOKUP('Données projet'!$B$12,Paramètres!$A$1:$I$89,3,0)*VLOOKUP('Données projet'!$B$12,Paramètres!$A$1:$I$89,5,0)</f>
        <v>-1.0707594810810407E-13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192.88977161349993</v>
      </c>
      <c r="CE137" s="59">
        <f t="shared" si="148"/>
        <v>122.91376861456772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16.617055486702771</v>
      </c>
      <c r="CL137" s="21">
        <f>EXP(-LN(2)/25)*CL136+(1-EXP(-LN(2)/25))/(LN(2)/25)*Calculateur!CG137*Calculateur!CI137*VLOOKUP('Données projet'!$B$12,Paramètres!$A$1:$I$89,3,0)*0.475*44/12</f>
        <v>19.038021034549693</v>
      </c>
      <c r="CM137" s="21">
        <f>EXP(-LN(2)/2)*CM136+(1-EXP(-LN(2)/2))/(LN(2)/2)*CG137*CJ137*VLOOKUP('Données projet'!$B$12,Paramètres!$A$1:$I$89,3,0)*0.475*44/12</f>
        <v>9.9329602115170765E-2</v>
      </c>
      <c r="CN137" s="22">
        <f t="shared" si="120"/>
        <v>35.754406123367637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-8.5265128291212022E-14</v>
      </c>
      <c r="CU137" s="17">
        <f>CT137*VLOOKUP('Données projet'!$B$13,Paramètres!$A$1:$I$89,3,0)*VLOOKUP('Données projet'!$B$13,Paramètres!$A$1:$I$89,5,0)</f>
        <v>-6.9167072069831198E-14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163.16040389635825</v>
      </c>
      <c r="CZ137" s="59">
        <f t="shared" si="150"/>
        <v>138.57856782158811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4.7769178005168103</v>
      </c>
      <c r="DH137" s="21">
        <f>EXP(-LN(2)/2)*DH136+(1-EXP(-LN(2)/2))/(LN(2)/2)*DB137*DE137*VLOOKUP('Données projet'!$B$13,Paramètres!$A$1:$I$89,3,0)*0.475*44/12</f>
        <v>5.9712091501309141E-6</v>
      </c>
      <c r="DI137" s="22">
        <f t="shared" si="123"/>
        <v>4.7769237717259605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1.7053025658242404E-13</v>
      </c>
      <c r="DP137" s="17">
        <f>DO137*VLOOKUP('Données projet'!$B$14,Paramètres!$A$1:$I$89,3,0)*VLOOKUP('Données projet'!$B$14,Paramètres!$A$1:$I$89,5,0)</f>
        <v>7.9808160080574461E-14</v>
      </c>
      <c r="DQ137" s="13">
        <f t="shared" si="151"/>
        <v>1.2308384591775343E-12</v>
      </c>
      <c r="DR137" s="20">
        <f t="shared" si="124"/>
        <v>2.282709528541206E-12</v>
      </c>
      <c r="DS137" s="59">
        <f t="shared" si="125"/>
        <v>291.83971443346871</v>
      </c>
      <c r="DT137" s="59">
        <f ca="1">AVERAGE(OFFSET($DS$3,0,0,'Données projet'!$E$14+1,1))-AVERAGE(OFFSET($H$3,0,0,'Données projet'!$E$14+1,1))</f>
        <v>343.44193069803498</v>
      </c>
      <c r="DU137" s="59">
        <f t="shared" si="152"/>
        <v>280.67367019483481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137.06176138729654</v>
      </c>
      <c r="EB137" s="21">
        <f>EXP(-LN(2)/25)*EB136+(1-EXP(-LN(2)/25))/(LN(2)/25)*Calculateur!DW137*Calculateur!DY137*VLOOKUP('Données projet'!$B$14,Paramètres!$A$1:$I$89,3,0)*0.475*44/12</f>
        <v>41.328478161400376</v>
      </c>
      <c r="EC137" s="21">
        <f>EXP(-LN(2)/2)*EC136+(1-EXP(-LN(2)/2))/(LN(2)/2)*DW137*DZ137*VLOOKUP('Données projet'!$B$14,Paramètres!$A$1:$I$89,3,0)*0.475*44/12</f>
        <v>11.458189391210501</v>
      </c>
      <c r="ED137" s="22">
        <f t="shared" si="126"/>
        <v>189.84842893990742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173.07692307692307</v>
      </c>
      <c r="EK137" s="17">
        <f>EJ137*VLOOKUP('Données projet'!$B$15,Paramètres!$A$1:$I$89,3,0)*VLOOKUP('Données projet'!$B$15,Paramètres!$A$1:$I$89,5,0)</f>
        <v>175.5</v>
      </c>
      <c r="EL137" s="13">
        <f t="shared" si="153"/>
        <v>44.319548641773906</v>
      </c>
      <c r="EM137" s="20">
        <f t="shared" si="127"/>
        <v>382.85238055108954</v>
      </c>
      <c r="EN137" s="59">
        <f t="shared" si="128"/>
        <v>674.69209498455598</v>
      </c>
      <c r="EO137" s="59">
        <f ca="1">AVERAGE(OFFSET($EN$3,0,0,'Données projet'!$E$15+1,1))-AVERAGE(OFFSET($H$3,0,0,'Données projet'!$E$15+1,1))</f>
        <v>270.0029254736703</v>
      </c>
      <c r="EP137" s="59">
        <f t="shared" si="154"/>
        <v>183.80022202211441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8.5510970768181771</v>
      </c>
      <c r="EW137" s="21">
        <f>EXP(-LN(2)/25)*EW136+(1-EXP(-LN(2)/25))/(LN(2)/25)*Calculateur!ER137*Calculateur!ET137*VLOOKUP('Données projet'!$B$15,Paramètres!$A$1:$I$89,3,0)*0.475*44/12</f>
        <v>8.8279447578498935</v>
      </c>
      <c r="EX137" s="21">
        <f>EXP(-LN(2)/2)*EX136+(1-EXP(-LN(2)/2))/(LN(2)/2)*ER137*EU137*VLOOKUP('Données projet'!$B$15,Paramètres!$A$1:$I$89,3,0)*0.475*44/12</f>
        <v>1.6650850412374895E-3</v>
      </c>
      <c r="EY137" s="22">
        <f t="shared" si="129"/>
        <v>17.380706919709311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-1.4897523215040567E-13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328.93328163316073</v>
      </c>
      <c r="FK137" s="59">
        <f t="shared" si="156"/>
        <v>320.27831321887072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15.813354524517779</v>
      </c>
      <c r="FR137" s="21">
        <f>EXP(-LN(2)/25)*FR136+(1-EXP(-LN(2)/25))/(LN(2)/25)*Calculateur!FM137*Calculateur!FO137*VLOOKUP('Données projet'!$B$16,Paramètres!$A$1:$I$89,3,0)*0.475*44/12</f>
        <v>10.408071538941593</v>
      </c>
      <c r="FS137" s="21">
        <f>EXP(-LN(2)/2)*FS136+(1-EXP(-LN(2)/2))/(LN(2)/2)*FM137*FP137*VLOOKUP('Données projet'!$B$16,Paramètres!$A$1:$I$89,3,0)*0.475*44/12</f>
        <v>4.2524940534930001E-7</v>
      </c>
      <c r="FT137" s="22">
        <f t="shared" si="132"/>
        <v>26.221426488708776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173.07692307692307</v>
      </c>
      <c r="GA137" s="17">
        <f>FZ137*VLOOKUP('Données projet'!$B$17,Paramètres!$A$1:$I$89,3,0)*VLOOKUP('Données projet'!$B$17,Paramètres!$A$1:$I$89,5,0)</f>
        <v>116.1</v>
      </c>
      <c r="GB137" s="13">
        <f t="shared" si="157"/>
        <v>30.763646636385982</v>
      </c>
      <c r="GC137" s="20">
        <f t="shared" si="133"/>
        <v>255.78751789170556</v>
      </c>
      <c r="GD137" s="59">
        <f t="shared" si="134"/>
        <v>547.62723232517203</v>
      </c>
      <c r="GE137" s="59">
        <f ca="1">AVERAGE(OFFSET($GD$3,0,0,'Données projet'!$E$17+1,1))-AVERAGE(OFFSET($H$3,0,0,'Données projet'!$E$17+1,1))</f>
        <v>192.88444860121191</v>
      </c>
      <c r="GF137" s="59">
        <f t="shared" si="158"/>
        <v>136.13737493732751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6.9724330010978903</v>
      </c>
      <c r="GM137" s="21">
        <f>EXP(-LN(2)/25)*GM136+(1-EXP(-LN(2)/25))/(LN(2)/25)*Calculateur!GH137*Calculateur!GJ137*VLOOKUP('Données projet'!$B$17,Paramètres!$A$1:$I$89,3,0)*0.475*44/12</f>
        <v>7.1981703410160662</v>
      </c>
      <c r="GN137" s="21">
        <f>EXP(-LN(2)/2)*GN136+(1-EXP(-LN(2)/2))/(LN(2)/2)*GH137*GK137*VLOOKUP('Données projet'!$B$17,Paramètres!$A$1:$I$89,3,0)*0.475*44/12</f>
        <v>1.1015177965109551E-3</v>
      </c>
      <c r="GO137" s="21">
        <f t="shared" si="135"/>
        <v>14.171704859910468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69.592649390945382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0.85000000000000009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3.1166666666666671</v>
      </c>
      <c r="H138" s="67">
        <f t="shared" si="110"/>
        <v>244.19999999999996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1130.4758265042917</v>
      </c>
      <c r="S138" s="59">
        <f ca="1">AVERAGE(OFFSET($R$3,0,0,'Données projet'!$E$9+1,1))-AVERAGE(OFFSET($H$3,0,0,'Données projet'!$E$9+1,1))</f>
        <v>643.492472896403</v>
      </c>
      <c r="T138" s="59">
        <f t="shared" si="142"/>
        <v>285.0259479655341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-2.8421709430404007E-13</v>
      </c>
      <c r="AJ138" s="13">
        <f>AI138*VLOOKUP('Données projet'!$B$10,Paramètres!$A$1:$I$89,3,0)*VLOOKUP('Données projet'!$B$10,Paramètres!$A$1:$I$89,5,0)</f>
        <v>-2.2168933355715128E-13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289.89907502443873</v>
      </c>
      <c r="AO138" s="59">
        <f t="shared" si="144"/>
        <v>267.42183550360301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10.846881569033211</v>
      </c>
      <c r="AV138" s="21">
        <f>EXP(-LN(2)/25)*AV137+(1-EXP(-LN(2)/25))/(LN(2)/25)*Calculateur!AQ138*Calculateur!AS138*VLOOKUP('Données projet'!$B$10,Paramètres!$A$1:$I$89,3,0)*0.475*44/12</f>
        <v>7.4248961669027214</v>
      </c>
      <c r="AW138" s="21">
        <f>EXP(-LN(2)/2)*AW137+(1-EXP(-LN(2)/2))/(LN(2)/2)*AQ138*AT138*VLOOKUP('Données projet'!$B$10,Paramètres!$A$1:$I$89,3,0)*0.475*44/12</f>
        <v>4.9783362688937225E-8</v>
      </c>
      <c r="AX138" s="21">
        <f t="shared" si="114"/>
        <v>18.271777785719298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-9.9475983006414026E-14</v>
      </c>
      <c r="BE138" s="13">
        <f>BD138*VLOOKUP('Données projet'!$B$11,Paramètres!$A$1:$I$89,3,0)*VLOOKUP('Données projet'!$B$11,Paramètres!$A$1:$I$89,5,0)</f>
        <v>-9.6213170763803652E-14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177.54241137663234</v>
      </c>
      <c r="BJ138" s="59">
        <f t="shared" si="146"/>
        <v>114.71095021456071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14.638474205343741</v>
      </c>
      <c r="BQ138" s="21">
        <f>EXP(-LN(2)/25)*BQ137+(1-EXP(-LN(2)/25))/(LN(2)/25)*Calculateur!BL138*Calculateur!BN138*VLOOKUP('Données projet'!$B$11,Paramètres!$A$1:$I$89,3,0)*0.475*44/12</f>
        <v>16.638845965043817</v>
      </c>
      <c r="BR138" s="21">
        <f>EXP(-LN(2)/2)*BR137+(1-EXP(-LN(2)/2))/(LN(2)/2)*BL138*BO138*VLOOKUP('Données projet'!$B$11,Paramètres!$A$1:$I$89,3,0)*0.475*44/12</f>
        <v>6.3111179480410604E-2</v>
      </c>
      <c r="BS138" s="22">
        <f t="shared" si="117"/>
        <v>31.34043134986797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-9.9475983006414026E-14</v>
      </c>
      <c r="BZ138" s="13">
        <f>BY138*VLOOKUP('Données projet'!$B$12,Paramètres!$A$1:$I$89,3,0)*VLOOKUP('Données projet'!$B$12,Paramètres!$A$1:$I$89,5,0)</f>
        <v>-1.0707594810810407E-13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192.88977161349993</v>
      </c>
      <c r="CE138" s="59">
        <f t="shared" si="148"/>
        <v>122.91376861456772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16.29120516401159</v>
      </c>
      <c r="CL138" s="21">
        <f>EXP(-LN(2)/25)*CL137+(1-EXP(-LN(2)/25))/(LN(2)/25)*Calculateur!CG138*Calculateur!CI138*VLOOKUP('Données projet'!$B$12,Paramètres!$A$1:$I$89,3,0)*0.475*44/12</f>
        <v>18.517425348193918</v>
      </c>
      <c r="CM138" s="21">
        <f>EXP(-LN(2)/2)*CM137+(1-EXP(-LN(2)/2))/(LN(2)/2)*CG138*CJ138*VLOOKUP('Données projet'!$B$12,Paramètres!$A$1:$I$89,3,0)*0.475*44/12</f>
        <v>7.0236635228198882E-2</v>
      </c>
      <c r="CN138" s="22">
        <f t="shared" si="120"/>
        <v>34.878867147433709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-8.5265128291212022E-14</v>
      </c>
      <c r="CU138" s="17">
        <f>CT138*VLOOKUP('Données projet'!$B$13,Paramètres!$A$1:$I$89,3,0)*VLOOKUP('Données projet'!$B$13,Paramètres!$A$1:$I$89,5,0)</f>
        <v>-6.9167072069831198E-14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163.16040389635825</v>
      </c>
      <c r="CZ138" s="59">
        <f t="shared" si="150"/>
        <v>138.57856782158811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4.6462927320544889</v>
      </c>
      <c r="DH138" s="21">
        <f>EXP(-LN(2)/2)*DH137+(1-EXP(-LN(2)/2))/(LN(2)/2)*DB138*DE138*VLOOKUP('Données projet'!$B$13,Paramètres!$A$1:$I$89,3,0)*0.475*44/12</f>
        <v>4.2222824819407305E-6</v>
      </c>
      <c r="DI138" s="22">
        <f t="shared" si="123"/>
        <v>4.6462969543369708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1.7053025658242404E-13</v>
      </c>
      <c r="DP138" s="17">
        <f>DO138*VLOOKUP('Données projet'!$B$14,Paramètres!$A$1:$I$89,3,0)*VLOOKUP('Données projet'!$B$14,Paramètres!$A$1:$I$89,5,0)</f>
        <v>7.9808160080574461E-14</v>
      </c>
      <c r="DQ138" s="13">
        <f t="shared" si="151"/>
        <v>1.2308384591775343E-12</v>
      </c>
      <c r="DR138" s="20">
        <f t="shared" si="124"/>
        <v>2.282709528541206E-12</v>
      </c>
      <c r="DS138" s="59">
        <f t="shared" si="125"/>
        <v>291.86562538214974</v>
      </c>
      <c r="DT138" s="59">
        <f ca="1">AVERAGE(OFFSET($DS$3,0,0,'Données projet'!$E$14+1,1))-AVERAGE(OFFSET($H$3,0,0,'Données projet'!$E$14+1,1))</f>
        <v>343.44193069803498</v>
      </c>
      <c r="DU138" s="59">
        <f t="shared" si="152"/>
        <v>280.67367019483481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134.37406384591134</v>
      </c>
      <c r="EB138" s="21">
        <f>EXP(-LN(2)/25)*EB137+(1-EXP(-LN(2)/25))/(LN(2)/25)*Calculateur!DW138*Calculateur!DY138*VLOOKUP('Données projet'!$B$14,Paramètres!$A$1:$I$89,3,0)*0.475*44/12</f>
        <v>40.198348752706671</v>
      </c>
      <c r="EC138" s="21">
        <f>EXP(-LN(2)/2)*EC137+(1-EXP(-LN(2)/2))/(LN(2)/2)*DW138*DZ138*VLOOKUP('Données projet'!$B$14,Paramètres!$A$1:$I$89,3,0)*0.475*44/12</f>
        <v>8.1021634186447038</v>
      </c>
      <c r="ED138" s="22">
        <f t="shared" si="126"/>
        <v>182.67457601726269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173.07692307692307</v>
      </c>
      <c r="EK138" s="17">
        <f>EJ138*VLOOKUP('Données projet'!$B$15,Paramètres!$A$1:$I$89,3,0)*VLOOKUP('Données projet'!$B$15,Paramètres!$A$1:$I$89,5,0)</f>
        <v>175.5</v>
      </c>
      <c r="EL138" s="13">
        <f t="shared" si="153"/>
        <v>44.319548641773906</v>
      </c>
      <c r="EM138" s="20">
        <f t="shared" si="127"/>
        <v>382.85238055108954</v>
      </c>
      <c r="EN138" s="59">
        <f t="shared" si="128"/>
        <v>674.71800593323701</v>
      </c>
      <c r="EO138" s="59">
        <f ca="1">AVERAGE(OFFSET($EN$3,0,0,'Données projet'!$E$15+1,1))-AVERAGE(OFFSET($H$3,0,0,'Données projet'!$E$15+1,1))</f>
        <v>270.0029254736703</v>
      </c>
      <c r="EP138" s="59">
        <f t="shared" si="154"/>
        <v>183.80022202211441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8.3834152787959866</v>
      </c>
      <c r="EW138" s="21">
        <f>EXP(-LN(2)/25)*EW137+(1-EXP(-LN(2)/25))/(LN(2)/25)*Calculateur!ER138*Calculateur!ET138*VLOOKUP('Données projet'!$B$15,Paramètres!$A$1:$I$89,3,0)*0.475*44/12</f>
        <v>8.5865441442050496</v>
      </c>
      <c r="EX138" s="21">
        <f>EXP(-LN(2)/2)*EX137+(1-EXP(-LN(2)/2))/(LN(2)/2)*ER138*EU138*VLOOKUP('Données projet'!$B$15,Paramètres!$A$1:$I$89,3,0)*0.475*44/12</f>
        <v>1.1773929239113109E-3</v>
      </c>
      <c r="EY138" s="22">
        <f t="shared" si="129"/>
        <v>16.971136815924947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-1.4897523215040567E-13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328.93328163316073</v>
      </c>
      <c r="FK138" s="59">
        <f t="shared" si="156"/>
        <v>320.27831321887072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15.503264287485861</v>
      </c>
      <c r="FR138" s="21">
        <f>EXP(-LN(2)/25)*FR137+(1-EXP(-LN(2)/25))/(LN(2)/25)*Calculateur!FM138*Calculateur!FO138*VLOOKUP('Données projet'!$B$16,Paramètres!$A$1:$I$89,3,0)*0.475*44/12</f>
        <v>10.123462275372541</v>
      </c>
      <c r="FS138" s="21">
        <f>EXP(-LN(2)/2)*FS137+(1-EXP(-LN(2)/2))/(LN(2)/2)*FM138*FP138*VLOOKUP('Données projet'!$B$16,Paramètres!$A$1:$I$89,3,0)*0.475*44/12</f>
        <v>3.0069673821803693E-7</v>
      </c>
      <c r="FT138" s="22">
        <f t="shared" si="132"/>
        <v>25.626726863555138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173.07692307692307</v>
      </c>
      <c r="GA138" s="17">
        <f>FZ138*VLOOKUP('Données projet'!$B$17,Paramètres!$A$1:$I$89,3,0)*VLOOKUP('Données projet'!$B$17,Paramètres!$A$1:$I$89,5,0)</f>
        <v>116.1</v>
      </c>
      <c r="GB138" s="13">
        <f t="shared" si="157"/>
        <v>30.763646636385982</v>
      </c>
      <c r="GC138" s="20">
        <f t="shared" si="133"/>
        <v>255.78751789170556</v>
      </c>
      <c r="GD138" s="59">
        <f t="shared" si="134"/>
        <v>547.65314327385306</v>
      </c>
      <c r="GE138" s="59">
        <f ca="1">AVERAGE(OFFSET($GD$3,0,0,'Données projet'!$E$17+1,1))-AVERAGE(OFFSET($H$3,0,0,'Données projet'!$E$17+1,1))</f>
        <v>192.88444860121191</v>
      </c>
      <c r="GF138" s="59">
        <f t="shared" si="158"/>
        <v>136.13737493732751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6.8357078427105655</v>
      </c>
      <c r="GM138" s="21">
        <f>EXP(-LN(2)/25)*GM137+(1-EXP(-LN(2)/25))/(LN(2)/25)*Calculateur!GH138*Calculateur!GJ138*VLOOKUP('Données projet'!$B$17,Paramètres!$A$1:$I$89,3,0)*0.475*44/12</f>
        <v>7.0013359945056557</v>
      </c>
      <c r="GN138" s="21">
        <f>EXP(-LN(2)/2)*GN137+(1-EXP(-LN(2)/2))/(LN(2)/2)*GH138*GK138*VLOOKUP('Données projet'!$B$17,Paramètres!$A$1:$I$89,3,0)*0.475*44/12</f>
        <v>7.7889070351055988E-4</v>
      </c>
      <c r="GO138" s="21">
        <f t="shared" si="135"/>
        <v>13.837822727919733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69.599716013312943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0.85000000000000009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3.1166666666666671</v>
      </c>
      <c r="H139" s="67">
        <f t="shared" si="110"/>
        <v>244.19999999999996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1147.8360665506855</v>
      </c>
      <c r="S139" s="59">
        <f ca="1">AVERAGE(OFFSET($R$3,0,0,'Données projet'!$E$9+1,1))-AVERAGE(OFFSET($H$3,0,0,'Données projet'!$E$9+1,1))</f>
        <v>643.492472896403</v>
      </c>
      <c r="T139" s="59">
        <f t="shared" si="142"/>
        <v>285.0259479655341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-2.8421709430404007E-13</v>
      </c>
      <c r="AJ139" s="13">
        <f>AI139*VLOOKUP('Données projet'!$B$10,Paramètres!$A$1:$I$89,3,0)*VLOOKUP('Données projet'!$B$10,Paramètres!$A$1:$I$89,5,0)</f>
        <v>-2.2168933355715128E-13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289.89907502443873</v>
      </c>
      <c r="AO139" s="59">
        <f t="shared" si="144"/>
        <v>267.42183550360301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10.634180837408957</v>
      </c>
      <c r="AV139" s="21">
        <f>EXP(-LN(2)/25)*AV138+(1-EXP(-LN(2)/25))/(LN(2)/25)*Calculateur!AQ139*Calculateur!AS139*VLOOKUP('Données projet'!$B$10,Paramètres!$A$1:$I$89,3,0)*0.475*44/12</f>
        <v>7.2218619907604467</v>
      </c>
      <c r="AW139" s="21">
        <f>EXP(-LN(2)/2)*AW138+(1-EXP(-LN(2)/2))/(LN(2)/2)*AQ139*AT139*VLOOKUP('Données projet'!$B$10,Paramètres!$A$1:$I$89,3,0)*0.475*44/12</f>
        <v>3.5202153347616868E-8</v>
      </c>
      <c r="AX139" s="21">
        <f t="shared" si="114"/>
        <v>17.856042863371556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-9.9475983006414026E-14</v>
      </c>
      <c r="BE139" s="13">
        <f>BD139*VLOOKUP('Données projet'!$B$11,Paramètres!$A$1:$I$89,3,0)*VLOOKUP('Données projet'!$B$11,Paramètres!$A$1:$I$89,5,0)</f>
        <v>-9.6213170763803652E-14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177.54241137663234</v>
      </c>
      <c r="BJ139" s="59">
        <f t="shared" si="146"/>
        <v>114.71095021456071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14.35142265476459</v>
      </c>
      <c r="BQ139" s="21">
        <f>EXP(-LN(2)/25)*BQ138+(1-EXP(-LN(2)/25))/(LN(2)/25)*Calculateur!BL139*Calculateur!BN139*VLOOKUP('Données projet'!$B$11,Paramètres!$A$1:$I$89,3,0)*0.475*44/12</f>
        <v>16.183855847130815</v>
      </c>
      <c r="BR139" s="21">
        <f>EXP(-LN(2)/2)*BR138+(1-EXP(-LN(2)/2))/(LN(2)/2)*BL139*BO139*VLOOKUP('Données projet'!$B$11,Paramètres!$A$1:$I$89,3,0)*0.475*44/12</f>
        <v>4.4626342979279629E-2</v>
      </c>
      <c r="BS139" s="22">
        <f t="shared" si="117"/>
        <v>30.579904844874683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-9.9475983006414026E-14</v>
      </c>
      <c r="BZ139" s="13">
        <f>BY139*VLOOKUP('Données projet'!$B$12,Paramètres!$A$1:$I$89,3,0)*VLOOKUP('Données projet'!$B$12,Paramètres!$A$1:$I$89,5,0)</f>
        <v>-1.0707594810810407E-13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192.88977161349993</v>
      </c>
      <c r="CE139" s="59">
        <f t="shared" si="148"/>
        <v>122.91376861456772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15.971744567399309</v>
      </c>
      <c r="CL139" s="21">
        <f>EXP(-LN(2)/25)*CL138+(1-EXP(-LN(2)/25))/(LN(2)/25)*Calculateur!CG139*Calculateur!CI139*VLOOKUP('Données projet'!$B$12,Paramètres!$A$1:$I$89,3,0)*0.475*44/12</f>
        <v>18.011065378258479</v>
      </c>
      <c r="CM139" s="21">
        <f>EXP(-LN(2)/2)*CM138+(1-EXP(-LN(2)/2))/(LN(2)/2)*CG139*CJ139*VLOOKUP('Données projet'!$B$12,Paramètres!$A$1:$I$89,3,0)*0.475*44/12</f>
        <v>4.9664801057585382E-2</v>
      </c>
      <c r="CN139" s="22">
        <f t="shared" si="120"/>
        <v>34.03247474671538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-8.5265128291212022E-14</v>
      </c>
      <c r="CU139" s="17">
        <f>CT139*VLOOKUP('Données projet'!$B$13,Paramètres!$A$1:$I$89,3,0)*VLOOKUP('Données projet'!$B$13,Paramètres!$A$1:$I$89,5,0)</f>
        <v>-6.9167072069831198E-14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163.16040389635825</v>
      </c>
      <c r="CZ139" s="59">
        <f t="shared" si="150"/>
        <v>138.57856782158811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4.5192396129585433</v>
      </c>
      <c r="DH139" s="21">
        <f>EXP(-LN(2)/2)*DH138+(1-EXP(-LN(2)/2))/(LN(2)/2)*DB139*DE139*VLOOKUP('Données projet'!$B$13,Paramètres!$A$1:$I$89,3,0)*0.475*44/12</f>
        <v>2.985604575065457E-6</v>
      </c>
      <c r="DI139" s="22">
        <f t="shared" si="123"/>
        <v>4.5192425985631184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1.7053025658242404E-13</v>
      </c>
      <c r="DP139" s="17">
        <f>DO139*VLOOKUP('Données projet'!$B$14,Paramètres!$A$1:$I$89,3,0)*VLOOKUP('Données projet'!$B$14,Paramètres!$A$1:$I$89,5,0)</f>
        <v>7.9808160080574461E-14</v>
      </c>
      <c r="DQ139" s="13">
        <f t="shared" si="151"/>
        <v>1.2308384591775343E-12</v>
      </c>
      <c r="DR139" s="20">
        <f t="shared" si="124"/>
        <v>2.282709528541206E-12</v>
      </c>
      <c r="DS139" s="59">
        <f t="shared" si="125"/>
        <v>291.89108683379942</v>
      </c>
      <c r="DT139" s="59">
        <f ca="1">AVERAGE(OFFSET($DS$3,0,0,'Données projet'!$E$14+1,1))-AVERAGE(OFFSET($H$3,0,0,'Données projet'!$E$14+1,1))</f>
        <v>343.44193069803498</v>
      </c>
      <c r="DU139" s="59">
        <f t="shared" si="152"/>
        <v>280.67367019483481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131.73907041397908</v>
      </c>
      <c r="EB139" s="21">
        <f>EXP(-LN(2)/25)*EB138+(1-EXP(-LN(2)/25))/(LN(2)/25)*Calculateur!DW139*Calculateur!DY139*VLOOKUP('Données projet'!$B$14,Paramètres!$A$1:$I$89,3,0)*0.475*44/12</f>
        <v>39.099122792124618</v>
      </c>
      <c r="EC139" s="21">
        <f>EXP(-LN(2)/2)*EC138+(1-EXP(-LN(2)/2))/(LN(2)/2)*DW139*DZ139*VLOOKUP('Données projet'!$B$14,Paramètres!$A$1:$I$89,3,0)*0.475*44/12</f>
        <v>5.7290946956052506</v>
      </c>
      <c r="ED139" s="22">
        <f t="shared" si="126"/>
        <v>176.56728790170897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173.07692307692307</v>
      </c>
      <c r="EK139" s="17">
        <f>EJ139*VLOOKUP('Données projet'!$B$15,Paramètres!$A$1:$I$89,3,0)*VLOOKUP('Données projet'!$B$15,Paramètres!$A$1:$I$89,5,0)</f>
        <v>175.5</v>
      </c>
      <c r="EL139" s="13">
        <f t="shared" si="153"/>
        <v>44.319548641773906</v>
      </c>
      <c r="EM139" s="20">
        <f t="shared" si="127"/>
        <v>382.85238055108954</v>
      </c>
      <c r="EN139" s="59">
        <f t="shared" si="128"/>
        <v>674.74346738488669</v>
      </c>
      <c r="EO139" s="59">
        <f ca="1">AVERAGE(OFFSET($EN$3,0,0,'Données projet'!$E$15+1,1))-AVERAGE(OFFSET($H$3,0,0,'Données projet'!$E$15+1,1))</f>
        <v>270.0029254736703</v>
      </c>
      <c r="EP139" s="59">
        <f t="shared" si="154"/>
        <v>183.80022202211441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8.219021618557214</v>
      </c>
      <c r="EW139" s="21">
        <f>EXP(-LN(2)/25)*EW138+(1-EXP(-LN(2)/25))/(LN(2)/25)*Calculateur!ER139*Calculateur!ET139*VLOOKUP('Données projet'!$B$15,Paramètres!$A$1:$I$89,3,0)*0.475*44/12</f>
        <v>8.3517446430350315</v>
      </c>
      <c r="EX139" s="21">
        <f>EXP(-LN(2)/2)*EX138+(1-EXP(-LN(2)/2))/(LN(2)/2)*ER139*EU139*VLOOKUP('Données projet'!$B$15,Paramètres!$A$1:$I$89,3,0)*0.475*44/12</f>
        <v>8.3254252061874476E-4</v>
      </c>
      <c r="EY139" s="22">
        <f t="shared" si="129"/>
        <v>16.571598804112867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-1.4897523215040567E-13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328.93328163316073</v>
      </c>
      <c r="FK139" s="59">
        <f t="shared" si="156"/>
        <v>320.27831321887072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15.19925473086577</v>
      </c>
      <c r="FR139" s="21">
        <f>EXP(-LN(2)/25)*FR138+(1-EXP(-LN(2)/25))/(LN(2)/25)*Calculateur!FM139*Calculateur!FO139*VLOOKUP('Données projet'!$B$16,Paramètres!$A$1:$I$89,3,0)*0.475*44/12</f>
        <v>9.8466356670827349</v>
      </c>
      <c r="FS139" s="21">
        <f>EXP(-LN(2)/2)*FS138+(1-EXP(-LN(2)/2))/(LN(2)/2)*FM139*FP139*VLOOKUP('Données projet'!$B$16,Paramètres!$A$1:$I$89,3,0)*0.475*44/12</f>
        <v>2.1262470267465001E-7</v>
      </c>
      <c r="FT139" s="22">
        <f t="shared" si="132"/>
        <v>25.045890610573206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173.07692307692307</v>
      </c>
      <c r="GA139" s="17">
        <f>FZ139*VLOOKUP('Données projet'!$B$17,Paramètres!$A$1:$I$89,3,0)*VLOOKUP('Données projet'!$B$17,Paramètres!$A$1:$I$89,5,0)</f>
        <v>116.1</v>
      </c>
      <c r="GB139" s="13">
        <f t="shared" si="157"/>
        <v>30.763646636385982</v>
      </c>
      <c r="GC139" s="20">
        <f t="shared" si="133"/>
        <v>255.78751789170556</v>
      </c>
      <c r="GD139" s="59">
        <f t="shared" si="134"/>
        <v>547.67860472550274</v>
      </c>
      <c r="GE139" s="59">
        <f ca="1">AVERAGE(OFFSET($GD$3,0,0,'Données projet'!$E$17+1,1))-AVERAGE(OFFSET($H$3,0,0,'Données projet'!$E$17+1,1))</f>
        <v>192.88444860121191</v>
      </c>
      <c r="GF139" s="59">
        <f t="shared" si="158"/>
        <v>136.13737493732751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6.7016637812851041</v>
      </c>
      <c r="GM139" s="21">
        <f>EXP(-LN(2)/25)*GM138+(1-EXP(-LN(2)/25))/(LN(2)/25)*Calculateur!GH139*Calculateur!GJ139*VLOOKUP('Données projet'!$B$17,Paramètres!$A$1:$I$89,3,0)*0.475*44/12</f>
        <v>6.8098840935516405</v>
      </c>
      <c r="GN139" s="21">
        <f>EXP(-LN(2)/2)*GN138+(1-EXP(-LN(2)/2))/(LN(2)/2)*GH139*GK139*VLOOKUP('Données projet'!$B$17,Paramètres!$A$1:$I$89,3,0)*0.475*44/12</f>
        <v>5.5075889825547753E-4</v>
      </c>
      <c r="GO139" s="21">
        <f t="shared" si="135"/>
        <v>13.512098633734999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69.606660045581037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0.85000000000000009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3.1166666666666671</v>
      </c>
      <c r="H140" s="67">
        <f t="shared" si="110"/>
        <v>244.19999999999996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1165.1888256230091</v>
      </c>
      <c r="S140" s="59">
        <f ca="1">AVERAGE(OFFSET($R$3,0,0,'Données projet'!$E$9+1,1))-AVERAGE(OFFSET($H$3,0,0,'Données projet'!$E$9+1,1))</f>
        <v>643.492472896403</v>
      </c>
      <c r="T140" s="59">
        <f t="shared" si="142"/>
        <v>285.0259479655341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-2.8421709430404007E-13</v>
      </c>
      <c r="AJ140" s="13">
        <f>AI140*VLOOKUP('Données projet'!$B$10,Paramètres!$A$1:$I$89,3,0)*VLOOKUP('Données projet'!$B$10,Paramètres!$A$1:$I$89,5,0)</f>
        <v>-2.2168933355715128E-13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289.89907502443873</v>
      </c>
      <c r="AO140" s="59">
        <f t="shared" si="144"/>
        <v>267.42183550360301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10.425651037397218</v>
      </c>
      <c r="AV140" s="21">
        <f>EXP(-LN(2)/25)*AV139+(1-EXP(-LN(2)/25))/(LN(2)/25)*Calculateur!AQ140*Calculateur!AS140*VLOOKUP('Données projet'!$B$10,Paramètres!$A$1:$I$89,3,0)*0.475*44/12</f>
        <v>7.0243797948418862</v>
      </c>
      <c r="AW140" s="21">
        <f>EXP(-LN(2)/2)*AW139+(1-EXP(-LN(2)/2))/(LN(2)/2)*AQ140*AT140*VLOOKUP('Données projet'!$B$10,Paramètres!$A$1:$I$89,3,0)*0.475*44/12</f>
        <v>2.4891681344468612E-8</v>
      </c>
      <c r="AX140" s="21">
        <f t="shared" si="114"/>
        <v>17.450030857130784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-9.9475983006414026E-14</v>
      </c>
      <c r="BE140" s="13">
        <f>BD140*VLOOKUP('Données projet'!$B$11,Paramètres!$A$1:$I$89,3,0)*VLOOKUP('Données projet'!$B$11,Paramètres!$A$1:$I$89,5,0)</f>
        <v>-9.6213170763803652E-14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177.54241137663234</v>
      </c>
      <c r="BJ140" s="59">
        <f t="shared" si="146"/>
        <v>114.71095021456071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14.07000001000814</v>
      </c>
      <c r="BQ140" s="21">
        <f>EXP(-LN(2)/25)*BQ139+(1-EXP(-LN(2)/25))/(LN(2)/25)*Calculateur!BL140*Calculateur!BN140*VLOOKUP('Données projet'!$B$11,Paramètres!$A$1:$I$89,3,0)*0.475*44/12</f>
        <v>15.741307457919032</v>
      </c>
      <c r="BR140" s="21">
        <f>EXP(-LN(2)/2)*BR139+(1-EXP(-LN(2)/2))/(LN(2)/2)*BL140*BO140*VLOOKUP('Données projet'!$B$11,Paramètres!$A$1:$I$89,3,0)*0.475*44/12</f>
        <v>3.1555589740205302E-2</v>
      </c>
      <c r="BS140" s="22">
        <f t="shared" si="117"/>
        <v>29.842863057667376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-9.9475983006414026E-14</v>
      </c>
      <c r="BZ140" s="13">
        <f>BY140*VLOOKUP('Données projet'!$B$12,Paramètres!$A$1:$I$89,3,0)*VLOOKUP('Données projet'!$B$12,Paramètres!$A$1:$I$89,5,0)</f>
        <v>-1.0707594810810407E-13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192.88977161349993</v>
      </c>
      <c r="CE140" s="59">
        <f t="shared" si="148"/>
        <v>122.91376861456772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15.658548398234872</v>
      </c>
      <c r="CL140" s="21">
        <f>EXP(-LN(2)/25)*CL139+(1-EXP(-LN(2)/25))/(LN(2)/25)*Calculateur!CG140*Calculateur!CI140*VLOOKUP('Données projet'!$B$12,Paramètres!$A$1:$I$89,3,0)*0.475*44/12</f>
        <v>17.518551848329238</v>
      </c>
      <c r="CM140" s="21">
        <f>EXP(-LN(2)/2)*CM139+(1-EXP(-LN(2)/2))/(LN(2)/2)*CG140*CJ140*VLOOKUP('Données projet'!$B$12,Paramètres!$A$1:$I$89,3,0)*0.475*44/12</f>
        <v>3.5118317614099441E-2</v>
      </c>
      <c r="CN140" s="22">
        <f t="shared" si="120"/>
        <v>33.212218564178208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-8.5265128291212022E-14</v>
      </c>
      <c r="CU140" s="17">
        <f>CT140*VLOOKUP('Données projet'!$B$13,Paramètres!$A$1:$I$89,3,0)*VLOOKUP('Données projet'!$B$13,Paramètres!$A$1:$I$89,5,0)</f>
        <v>-6.9167072069831198E-14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163.16040389635825</v>
      </c>
      <c r="CZ140" s="59">
        <f t="shared" si="150"/>
        <v>138.57856782158811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4.3956607680857092</v>
      </c>
      <c r="DH140" s="21">
        <f>EXP(-LN(2)/2)*DH139+(1-EXP(-LN(2)/2))/(LN(2)/2)*DB140*DE140*VLOOKUP('Données projet'!$B$13,Paramètres!$A$1:$I$89,3,0)*0.475*44/12</f>
        <v>2.1111412409703653E-6</v>
      </c>
      <c r="DI140" s="22">
        <f t="shared" si="123"/>
        <v>4.3956628792269505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1.7053025658242404E-13</v>
      </c>
      <c r="DP140" s="17">
        <f>DO140*VLOOKUP('Données projet'!$B$14,Paramètres!$A$1:$I$89,3,0)*VLOOKUP('Données projet'!$B$14,Paramètres!$A$1:$I$89,5,0)</f>
        <v>7.9808160080574461E-14</v>
      </c>
      <c r="DQ140" s="13">
        <f t="shared" si="151"/>
        <v>1.2308384591775343E-12</v>
      </c>
      <c r="DR140" s="20">
        <f t="shared" si="124"/>
        <v>2.282709528541206E-12</v>
      </c>
      <c r="DS140" s="59">
        <f t="shared" si="125"/>
        <v>291.91610658618623</v>
      </c>
      <c r="DT140" s="59">
        <f ca="1">AVERAGE(OFFSET($DS$3,0,0,'Données projet'!$E$14+1,1))-AVERAGE(OFFSET($H$3,0,0,'Données projet'!$E$14+1,1))</f>
        <v>343.44193069803498</v>
      </c>
      <c r="DU140" s="59">
        <f t="shared" si="152"/>
        <v>280.67367019483481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129.15574759605971</v>
      </c>
      <c r="EB140" s="21">
        <f>EXP(-LN(2)/25)*EB139+(1-EXP(-LN(2)/25))/(LN(2)/25)*Calculateur!DW140*Calculateur!DY140*VLOOKUP('Données projet'!$B$14,Paramètres!$A$1:$I$89,3,0)*0.475*44/12</f>
        <v>38.029955223240464</v>
      </c>
      <c r="EC140" s="21">
        <f>EXP(-LN(2)/2)*EC139+(1-EXP(-LN(2)/2))/(LN(2)/2)*DW140*DZ140*VLOOKUP('Données projet'!$B$14,Paramètres!$A$1:$I$89,3,0)*0.475*44/12</f>
        <v>4.0510817093223519</v>
      </c>
      <c r="ED140" s="22">
        <f t="shared" si="126"/>
        <v>171.23678452862251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173.07692307692307</v>
      </c>
      <c r="EK140" s="17">
        <f>EJ140*VLOOKUP('Données projet'!$B$15,Paramètres!$A$1:$I$89,3,0)*VLOOKUP('Données projet'!$B$15,Paramètres!$A$1:$I$89,5,0)</f>
        <v>175.5</v>
      </c>
      <c r="EL140" s="13">
        <f t="shared" si="153"/>
        <v>44.319548641773906</v>
      </c>
      <c r="EM140" s="20">
        <f t="shared" si="127"/>
        <v>382.85238055108954</v>
      </c>
      <c r="EN140" s="59">
        <f t="shared" si="128"/>
        <v>674.7684871372735</v>
      </c>
      <c r="EO140" s="59">
        <f ca="1">AVERAGE(OFFSET($EN$3,0,0,'Données projet'!$E$15+1,1))-AVERAGE(OFFSET($H$3,0,0,'Données projet'!$E$15+1,1))</f>
        <v>270.0029254736703</v>
      </c>
      <c r="EP140" s="59">
        <f t="shared" si="154"/>
        <v>183.80022202211441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8.0578516177254915</v>
      </c>
      <c r="EW140" s="21">
        <f>EXP(-LN(2)/25)*EW139+(1-EXP(-LN(2)/25))/(LN(2)/25)*Calculateur!ER140*Calculateur!ET140*VLOOKUP('Données projet'!$B$15,Paramètres!$A$1:$I$89,3,0)*0.475*44/12</f>
        <v>8.1233657465720768</v>
      </c>
      <c r="EX140" s="21">
        <f>EXP(-LN(2)/2)*EX139+(1-EXP(-LN(2)/2))/(LN(2)/2)*ER140*EU140*VLOOKUP('Données projet'!$B$15,Paramètres!$A$1:$I$89,3,0)*0.475*44/12</f>
        <v>5.8869646195565547E-4</v>
      </c>
      <c r="EY140" s="22">
        <f t="shared" si="129"/>
        <v>16.181806060759524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-1.4897523215040567E-13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328.93328163316073</v>
      </c>
      <c r="FK140" s="59">
        <f t="shared" si="156"/>
        <v>320.27831321887072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14.90120661622348</v>
      </c>
      <c r="FR140" s="21">
        <f>EXP(-LN(2)/25)*FR139+(1-EXP(-LN(2)/25))/(LN(2)/25)*Calculateur!FM140*Calculateur!FO140*VLOOKUP('Données projet'!$B$16,Paramètres!$A$1:$I$89,3,0)*0.475*44/12</f>
        <v>9.5773788969542917</v>
      </c>
      <c r="FS140" s="21">
        <f>EXP(-LN(2)/2)*FS139+(1-EXP(-LN(2)/2))/(LN(2)/2)*FM140*FP140*VLOOKUP('Données projet'!$B$16,Paramètres!$A$1:$I$89,3,0)*0.475*44/12</f>
        <v>1.5034836910901847E-7</v>
      </c>
      <c r="FT140" s="22">
        <f t="shared" si="132"/>
        <v>24.47858566352614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173.07692307692307</v>
      </c>
      <c r="GA140" s="17">
        <f>FZ140*VLOOKUP('Données projet'!$B$17,Paramètres!$A$1:$I$89,3,0)*VLOOKUP('Données projet'!$B$17,Paramètres!$A$1:$I$89,5,0)</f>
        <v>116.1</v>
      </c>
      <c r="GB140" s="13">
        <f t="shared" si="157"/>
        <v>30.763646636385982</v>
      </c>
      <c r="GC140" s="20">
        <f t="shared" si="133"/>
        <v>255.78751789170556</v>
      </c>
      <c r="GD140" s="59">
        <f t="shared" si="134"/>
        <v>547.70362447788955</v>
      </c>
      <c r="GE140" s="59">
        <f ca="1">AVERAGE(OFFSET($GD$3,0,0,'Données projet'!$E$17+1,1))-AVERAGE(OFFSET($H$3,0,0,'Données projet'!$E$17+1,1))</f>
        <v>192.88444860121191</v>
      </c>
      <c r="GF140" s="59">
        <f t="shared" si="158"/>
        <v>136.13737493732751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6.570248242145392</v>
      </c>
      <c r="GM140" s="21">
        <f>EXP(-LN(2)/25)*GM139+(1-EXP(-LN(2)/25))/(LN(2)/25)*Calculateur!GH140*Calculateur!GJ140*VLOOKUP('Données projet'!$B$17,Paramètres!$A$1:$I$89,3,0)*0.475*44/12</f>
        <v>6.6236674548972303</v>
      </c>
      <c r="GN140" s="21">
        <f>EXP(-LN(2)/2)*GN139+(1-EXP(-LN(2)/2))/(LN(2)/2)*GH140*GK140*VLOOKUP('Données projet'!$B$17,Paramètres!$A$1:$I$89,3,0)*0.475*44/12</f>
        <v>3.8944535175527994E-4</v>
      </c>
      <c r="GO140" s="21">
        <f t="shared" si="135"/>
        <v>13.194305142394379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69.613483614413809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0.85000000000000009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3.1166666666666671</v>
      </c>
      <c r="H141" s="67">
        <f t="shared" si="110"/>
        <v>244.19999999999996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1182.5342705755033</v>
      </c>
      <c r="S141" s="59">
        <f ca="1">AVERAGE(OFFSET($R$3,0,0,'Données projet'!$E$9+1,1))-AVERAGE(OFFSET($H$3,0,0,'Données projet'!$E$9+1,1))</f>
        <v>643.492472896403</v>
      </c>
      <c r="T141" s="59">
        <f t="shared" si="142"/>
        <v>285.0259479655341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-2.8421709430404007E-13</v>
      </c>
      <c r="AJ141" s="13">
        <f>AI141*VLOOKUP('Données projet'!$B$10,Paramètres!$A$1:$I$89,3,0)*VLOOKUP('Données projet'!$B$10,Paramètres!$A$1:$I$89,5,0)</f>
        <v>-2.2168933355715128E-13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289.89907502443873</v>
      </c>
      <c r="AO141" s="59">
        <f t="shared" si="144"/>
        <v>267.42183550360301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10.22121037957309</v>
      </c>
      <c r="AV141" s="21">
        <f>EXP(-LN(2)/25)*AV140+(1-EXP(-LN(2)/25))/(LN(2)/25)*Calculateur!AQ141*Calculateur!AS141*VLOOKUP('Données projet'!$B$10,Paramètres!$A$1:$I$89,3,0)*0.475*44/12</f>
        <v>6.8322977599558561</v>
      </c>
      <c r="AW141" s="21">
        <f>EXP(-LN(2)/2)*AW140+(1-EXP(-LN(2)/2))/(LN(2)/2)*AQ141*AT141*VLOOKUP('Données projet'!$B$10,Paramètres!$A$1:$I$89,3,0)*0.475*44/12</f>
        <v>1.7601076673808434E-8</v>
      </c>
      <c r="AX141" s="21">
        <f t="shared" si="114"/>
        <v>17.053508157130025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-9.9475983006414026E-14</v>
      </c>
      <c r="BE141" s="13">
        <f>BD141*VLOOKUP('Données projet'!$B$11,Paramètres!$A$1:$I$89,3,0)*VLOOKUP('Données projet'!$B$11,Paramètres!$A$1:$I$89,5,0)</f>
        <v>-9.6213170763803652E-14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177.54241137663234</v>
      </c>
      <c r="BJ141" s="59">
        <f t="shared" si="146"/>
        <v>114.71095021456071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13.794095891664499</v>
      </c>
      <c r="BQ141" s="21">
        <f>EXP(-LN(2)/25)*BQ140+(1-EXP(-LN(2)/25))/(LN(2)/25)*Calculateur!BL141*Calculateur!BN141*VLOOKUP('Données projet'!$B$11,Paramètres!$A$1:$I$89,3,0)*0.475*44/12</f>
        <v>15.310860577682854</v>
      </c>
      <c r="BR141" s="21">
        <f>EXP(-LN(2)/2)*BR140+(1-EXP(-LN(2)/2))/(LN(2)/2)*BL141*BO141*VLOOKUP('Données projet'!$B$11,Paramètres!$A$1:$I$89,3,0)*0.475*44/12</f>
        <v>2.2313171489639815E-2</v>
      </c>
      <c r="BS141" s="22">
        <f t="shared" si="117"/>
        <v>29.127269640836992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-9.9475983006414026E-14</v>
      </c>
      <c r="BZ141" s="13">
        <f>BY141*VLOOKUP('Données projet'!$B$12,Paramètres!$A$1:$I$89,3,0)*VLOOKUP('Données projet'!$B$12,Paramètres!$A$1:$I$89,5,0)</f>
        <v>-1.0707594810810407E-13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192.88977161349993</v>
      </c>
      <c r="CE141" s="59">
        <f t="shared" si="148"/>
        <v>122.91376861456772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15.35149381491695</v>
      </c>
      <c r="CL141" s="21">
        <f>EXP(-LN(2)/25)*CL140+(1-EXP(-LN(2)/25))/(LN(2)/25)*Calculateur!CG141*Calculateur!CI141*VLOOKUP('Données projet'!$B$12,Paramètres!$A$1:$I$89,3,0)*0.475*44/12</f>
        <v>17.039506126776072</v>
      </c>
      <c r="CM141" s="21">
        <f>EXP(-LN(2)/2)*CM140+(1-EXP(-LN(2)/2))/(LN(2)/2)*CG141*CJ141*VLOOKUP('Données projet'!$B$12,Paramètres!$A$1:$I$89,3,0)*0.475*44/12</f>
        <v>2.4832400528792691E-2</v>
      </c>
      <c r="CN141" s="22">
        <f t="shared" si="120"/>
        <v>32.415832342221819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-8.5265128291212022E-14</v>
      </c>
      <c r="CU141" s="17">
        <f>CT141*VLOOKUP('Données projet'!$B$13,Paramètres!$A$1:$I$89,3,0)*VLOOKUP('Données projet'!$B$13,Paramètres!$A$1:$I$89,5,0)</f>
        <v>-6.9167072069831198E-14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163.16040389635825</v>
      </c>
      <c r="CZ141" s="59">
        <f t="shared" si="150"/>
        <v>138.57856782158811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4.2754611932246522</v>
      </c>
      <c r="DH141" s="21">
        <f>EXP(-LN(2)/2)*DH140+(1-EXP(-LN(2)/2))/(LN(2)/2)*DB141*DE141*VLOOKUP('Données projet'!$B$13,Paramètres!$A$1:$I$89,3,0)*0.475*44/12</f>
        <v>1.4928022875327285E-6</v>
      </c>
      <c r="DI141" s="22">
        <f t="shared" si="123"/>
        <v>4.2754626860269394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1.7053025658242404E-13</v>
      </c>
      <c r="DP141" s="17">
        <f>DO141*VLOOKUP('Données projet'!$B$14,Paramètres!$A$1:$I$89,3,0)*VLOOKUP('Données projet'!$B$14,Paramètres!$A$1:$I$89,5,0)</f>
        <v>7.9808160080574461E-14</v>
      </c>
      <c r="DQ141" s="13">
        <f t="shared" si="151"/>
        <v>1.2308384591775343E-12</v>
      </c>
      <c r="DR141" s="20">
        <f t="shared" si="124"/>
        <v>2.282709528541206E-12</v>
      </c>
      <c r="DS141" s="59">
        <f t="shared" si="125"/>
        <v>291.94069230180497</v>
      </c>
      <c r="DT141" s="59">
        <f ca="1">AVERAGE(OFFSET($DS$3,0,0,'Données projet'!$E$14+1,1))-AVERAGE(OFFSET($H$3,0,0,'Données projet'!$E$14+1,1))</f>
        <v>343.44193069803498</v>
      </c>
      <c r="DU141" s="59">
        <f t="shared" si="152"/>
        <v>280.67367019483481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126.62308216292841</v>
      </c>
      <c r="EB141" s="21">
        <f>EXP(-LN(2)/25)*EB140+(1-EXP(-LN(2)/25))/(LN(2)/25)*Calculateur!DW141*Calculateur!DY141*VLOOKUP('Données projet'!$B$14,Paramètres!$A$1:$I$89,3,0)*0.475*44/12</f>
        <v>36.990024097752524</v>
      </c>
      <c r="EC141" s="21">
        <f>EXP(-LN(2)/2)*EC140+(1-EXP(-LN(2)/2))/(LN(2)/2)*DW141*DZ141*VLOOKUP('Données projet'!$B$14,Paramètres!$A$1:$I$89,3,0)*0.475*44/12</f>
        <v>2.8645473478026253</v>
      </c>
      <c r="ED141" s="22">
        <f t="shared" si="126"/>
        <v>166.47765360848354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173.07692307692307</v>
      </c>
      <c r="EK141" s="17">
        <f>EJ141*VLOOKUP('Données projet'!$B$15,Paramètres!$A$1:$I$89,3,0)*VLOOKUP('Données projet'!$B$15,Paramètres!$A$1:$I$89,5,0)</f>
        <v>175.5</v>
      </c>
      <c r="EL141" s="13">
        <f t="shared" si="153"/>
        <v>44.319548641773906</v>
      </c>
      <c r="EM141" s="20">
        <f t="shared" si="127"/>
        <v>382.85238055108954</v>
      </c>
      <c r="EN141" s="59">
        <f t="shared" si="128"/>
        <v>674.79307285289224</v>
      </c>
      <c r="EO141" s="59">
        <f ca="1">AVERAGE(OFFSET($EN$3,0,0,'Données projet'!$E$15+1,1))-AVERAGE(OFFSET($H$3,0,0,'Données projet'!$E$15+1,1))</f>
        <v>270.0029254736703</v>
      </c>
      <c r="EP141" s="59">
        <f t="shared" si="154"/>
        <v>183.80022202211441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7.8998420623060852</v>
      </c>
      <c r="EW141" s="21">
        <f>EXP(-LN(2)/25)*EW140+(1-EXP(-LN(2)/25))/(LN(2)/25)*Calculateur!ER141*Calculateur!ET141*VLOOKUP('Données projet'!$B$15,Paramètres!$A$1:$I$89,3,0)*0.475*44/12</f>
        <v>7.9012318830428248</v>
      </c>
      <c r="EX141" s="21">
        <f>EXP(-LN(2)/2)*EX140+(1-EXP(-LN(2)/2))/(LN(2)/2)*ER141*EU141*VLOOKUP('Données projet'!$B$15,Paramètres!$A$1:$I$89,3,0)*0.475*44/12</f>
        <v>4.1627126030937238E-4</v>
      </c>
      <c r="EY141" s="22">
        <f t="shared" si="129"/>
        <v>15.801490216609221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-1.4897523215040567E-13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328.93328163316073</v>
      </c>
      <c r="FK141" s="59">
        <f t="shared" si="156"/>
        <v>320.27831321887072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14.609003043317925</v>
      </c>
      <c r="FR141" s="21">
        <f>EXP(-LN(2)/25)*FR140+(1-EXP(-LN(2)/25))/(LN(2)/25)*Calculateur!FM141*Calculateur!FO141*VLOOKUP('Données projet'!$B$16,Paramètres!$A$1:$I$89,3,0)*0.475*44/12</f>
        <v>9.3154849673646094</v>
      </c>
      <c r="FS141" s="21">
        <f>EXP(-LN(2)/2)*FS140+(1-EXP(-LN(2)/2))/(LN(2)/2)*FM141*FP141*VLOOKUP('Données projet'!$B$16,Paramètres!$A$1:$I$89,3,0)*0.475*44/12</f>
        <v>1.06312351337325E-7</v>
      </c>
      <c r="FT141" s="22">
        <f t="shared" si="132"/>
        <v>23.924488116994887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173.07692307692307</v>
      </c>
      <c r="GA141" s="17">
        <f>FZ141*VLOOKUP('Données projet'!$B$17,Paramètres!$A$1:$I$89,3,0)*VLOOKUP('Données projet'!$B$17,Paramètres!$A$1:$I$89,5,0)</f>
        <v>116.1</v>
      </c>
      <c r="GB141" s="13">
        <f t="shared" si="157"/>
        <v>30.763646636385982</v>
      </c>
      <c r="GC141" s="20">
        <f t="shared" si="133"/>
        <v>255.78751789170556</v>
      </c>
      <c r="GD141" s="59">
        <f t="shared" si="134"/>
        <v>547.72821019350829</v>
      </c>
      <c r="GE141" s="59">
        <f ca="1">AVERAGE(OFFSET($GD$3,0,0,'Données projet'!$E$17+1,1))-AVERAGE(OFFSET($H$3,0,0,'Données projet'!$E$17+1,1))</f>
        <v>192.88444860121191</v>
      </c>
      <c r="GF141" s="59">
        <f t="shared" si="158"/>
        <v>136.13737493732751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6.4414096815726456</v>
      </c>
      <c r="GM141" s="21">
        <f>EXP(-LN(2)/25)*GM140+(1-EXP(-LN(2)/25))/(LN(2)/25)*Calculateur!GH141*Calculateur!GJ141*VLOOKUP('Données projet'!$B$17,Paramètres!$A$1:$I$89,3,0)*0.475*44/12</f>
        <v>6.442542920019533</v>
      </c>
      <c r="GN141" s="21">
        <f>EXP(-LN(2)/2)*GN140+(1-EXP(-LN(2)/2))/(LN(2)/2)*GH141*GK141*VLOOKUP('Données projet'!$B$17,Paramètres!$A$1:$I$89,3,0)*0.475*44/12</f>
        <v>2.7537944912773876E-4</v>
      </c>
      <c r="GO141" s="21">
        <f t="shared" si="135"/>
        <v>12.884227981041306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69.620188809582544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0.85000000000000009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3.1166666666666671</v>
      </c>
      <c r="H142" s="67">
        <f t="shared" si="110"/>
        <v>244.19999999999996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1199.8725614397549</v>
      </c>
      <c r="S142" s="59">
        <f ca="1">AVERAGE(OFFSET($R$3,0,0,'Données projet'!$E$9+1,1))-AVERAGE(OFFSET($H$3,0,0,'Données projet'!$E$9+1,1))</f>
        <v>643.492472896403</v>
      </c>
      <c r="T142" s="59">
        <f t="shared" si="142"/>
        <v>285.0259479655341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-2.8421709430404007E-13</v>
      </c>
      <c r="AJ142" s="13">
        <f>AI142*VLOOKUP('Données projet'!$B$10,Paramètres!$A$1:$I$89,3,0)*VLOOKUP('Données projet'!$B$10,Paramètres!$A$1:$I$89,5,0)</f>
        <v>-2.2168933355715128E-13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289.89907502443873</v>
      </c>
      <c r="AO142" s="59">
        <f t="shared" si="144"/>
        <v>267.42183550360301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10.020778678352405</v>
      </c>
      <c r="AV142" s="21">
        <f>EXP(-LN(2)/25)*AV141+(1-EXP(-LN(2)/25))/(LN(2)/25)*Calculateur!AQ142*Calculateur!AS142*VLOOKUP('Données projet'!$B$10,Paramètres!$A$1:$I$89,3,0)*0.475*44/12</f>
        <v>6.6454682184149396</v>
      </c>
      <c r="AW142" s="21">
        <f>EXP(-LN(2)/2)*AW141+(1-EXP(-LN(2)/2))/(LN(2)/2)*AQ142*AT142*VLOOKUP('Données projet'!$B$10,Paramètres!$A$1:$I$89,3,0)*0.475*44/12</f>
        <v>1.2445840672234306E-8</v>
      </c>
      <c r="AX142" s="21">
        <f t="shared" si="114"/>
        <v>16.666246909213186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-9.9475983006414026E-14</v>
      </c>
      <c r="BE142" s="13">
        <f>BD142*VLOOKUP('Données projet'!$B$11,Paramètres!$A$1:$I$89,3,0)*VLOOKUP('Données projet'!$B$11,Paramètres!$A$1:$I$89,5,0)</f>
        <v>-9.6213170763803652E-14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177.54241137663234</v>
      </c>
      <c r="BJ142" s="59">
        <f t="shared" si="146"/>
        <v>114.71095021456071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13.523602084796682</v>
      </c>
      <c r="BQ142" s="21">
        <f>EXP(-LN(2)/25)*BQ141+(1-EXP(-LN(2)/25))/(LN(2)/25)*Calculateur!BL142*Calculateur!BN142*VLOOKUP('Données projet'!$B$11,Paramètres!$A$1:$I$89,3,0)*0.475*44/12</f>
        <v>14.892184290022952</v>
      </c>
      <c r="BR142" s="21">
        <f>EXP(-LN(2)/2)*BR141+(1-EXP(-LN(2)/2))/(LN(2)/2)*BL142*BO142*VLOOKUP('Données projet'!$B$11,Paramètres!$A$1:$I$89,3,0)*0.475*44/12</f>
        <v>1.5777794870102651E-2</v>
      </c>
      <c r="BS142" s="22">
        <f t="shared" si="117"/>
        <v>28.431564169689736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-9.9475983006414026E-14</v>
      </c>
      <c r="BZ142" s="13">
        <f>BY142*VLOOKUP('Données projet'!$B$12,Paramètres!$A$1:$I$89,3,0)*VLOOKUP('Données projet'!$B$12,Paramètres!$A$1:$I$89,5,0)</f>
        <v>-1.0707594810810407E-13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192.88977161349993</v>
      </c>
      <c r="CE142" s="59">
        <f t="shared" si="148"/>
        <v>122.91376861456772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15.050460384693087</v>
      </c>
      <c r="CL142" s="21">
        <f>EXP(-LN(2)/25)*CL141+(1-EXP(-LN(2)/25))/(LN(2)/25)*Calculateur!CG142*Calculateur!CI142*VLOOKUP('Données projet'!$B$12,Paramètres!$A$1:$I$89,3,0)*0.475*44/12</f>
        <v>16.573559935670698</v>
      </c>
      <c r="CM142" s="21">
        <f>EXP(-LN(2)/2)*CM141+(1-EXP(-LN(2)/2))/(LN(2)/2)*CG142*CJ142*VLOOKUP('Données projet'!$B$12,Paramètres!$A$1:$I$89,3,0)*0.475*44/12</f>
        <v>1.7559158807049721E-2</v>
      </c>
      <c r="CN142" s="22">
        <f t="shared" si="120"/>
        <v>31.641579479170833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-8.5265128291212022E-14</v>
      </c>
      <c r="CU142" s="17">
        <f>CT142*VLOOKUP('Données projet'!$B$13,Paramètres!$A$1:$I$89,3,0)*VLOOKUP('Données projet'!$B$13,Paramètres!$A$1:$I$89,5,0)</f>
        <v>-6.9167072069831198E-14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163.16040389635825</v>
      </c>
      <c r="CZ142" s="59">
        <f t="shared" si="150"/>
        <v>138.57856782158811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4.1585484820591914</v>
      </c>
      <c r="DH142" s="21">
        <f>EXP(-LN(2)/2)*DH141+(1-EXP(-LN(2)/2))/(LN(2)/2)*DB142*DE142*VLOOKUP('Données projet'!$B$13,Paramètres!$A$1:$I$89,3,0)*0.475*44/12</f>
        <v>1.0555706204851826E-6</v>
      </c>
      <c r="DI142" s="22">
        <f t="shared" si="123"/>
        <v>4.1585495376298116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1.7053025658242404E-13</v>
      </c>
      <c r="DP142" s="17">
        <f>DO142*VLOOKUP('Données projet'!$B$14,Paramètres!$A$1:$I$89,3,0)*VLOOKUP('Données projet'!$B$14,Paramètres!$A$1:$I$89,5,0)</f>
        <v>7.9808160080574461E-14</v>
      </c>
      <c r="DQ142" s="13">
        <f t="shared" si="151"/>
        <v>1.2308384591775343E-12</v>
      </c>
      <c r="DR142" s="20">
        <f t="shared" si="124"/>
        <v>2.282709528541206E-12</v>
      </c>
      <c r="DS142" s="59">
        <f t="shared" si="125"/>
        <v>291.96485151022307</v>
      </c>
      <c r="DT142" s="59">
        <f ca="1">AVERAGE(OFFSET($DS$3,0,0,'Données projet'!$E$14+1,1))-AVERAGE(OFFSET($H$3,0,0,'Données projet'!$E$14+1,1))</f>
        <v>343.44193069803498</v>
      </c>
      <c r="DU142" s="59">
        <f t="shared" si="152"/>
        <v>280.67367019483481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124.14008075416743</v>
      </c>
      <c r="EB142" s="21">
        <f>EXP(-LN(2)/25)*EB141+(1-EXP(-LN(2)/25))/(LN(2)/25)*Calculateur!DW142*Calculateur!DY142*VLOOKUP('Données projet'!$B$14,Paramètres!$A$1:$I$89,3,0)*0.475*44/12</f>
        <v>35.978529943578657</v>
      </c>
      <c r="EC142" s="21">
        <f>EXP(-LN(2)/2)*EC141+(1-EXP(-LN(2)/2))/(LN(2)/2)*DW142*DZ142*VLOOKUP('Données projet'!$B$14,Paramètres!$A$1:$I$89,3,0)*0.475*44/12</f>
        <v>2.0255408546611759</v>
      </c>
      <c r="ED142" s="22">
        <f t="shared" si="126"/>
        <v>162.14415155240727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173.07692307692307</v>
      </c>
      <c r="EK142" s="17">
        <f>EJ142*VLOOKUP('Données projet'!$B$15,Paramètres!$A$1:$I$89,3,0)*VLOOKUP('Données projet'!$B$15,Paramètres!$A$1:$I$89,5,0)</f>
        <v>175.5</v>
      </c>
      <c r="EL142" s="13">
        <f t="shared" si="153"/>
        <v>44.319548641773906</v>
      </c>
      <c r="EM142" s="20">
        <f t="shared" si="127"/>
        <v>382.85238055108954</v>
      </c>
      <c r="EN142" s="59">
        <f t="shared" si="128"/>
        <v>674.81723206131028</v>
      </c>
      <c r="EO142" s="59">
        <f ca="1">AVERAGE(OFFSET($EN$3,0,0,'Données projet'!$E$15+1,1))-AVERAGE(OFFSET($H$3,0,0,'Données projet'!$E$15+1,1))</f>
        <v>270.0029254736703</v>
      </c>
      <c r="EP142" s="59">
        <f t="shared" si="154"/>
        <v>183.80022202211441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7.7449309778921407</v>
      </c>
      <c r="EW142" s="21">
        <f>EXP(-LN(2)/25)*EW141+(1-EXP(-LN(2)/25))/(LN(2)/25)*Calculateur!ER142*Calculateur!ET142*VLOOKUP('Données projet'!$B$15,Paramètres!$A$1:$I$89,3,0)*0.475*44/12</f>
        <v>7.6851722816932924</v>
      </c>
      <c r="EX142" s="21">
        <f>EXP(-LN(2)/2)*EX141+(1-EXP(-LN(2)/2))/(LN(2)/2)*ER142*EU142*VLOOKUP('Données projet'!$B$15,Paramètres!$A$1:$I$89,3,0)*0.475*44/12</f>
        <v>2.9434823097782773E-4</v>
      </c>
      <c r="EY142" s="22">
        <f t="shared" si="129"/>
        <v>15.430397607816412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-1.4897523215040567E-13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328.93328163316073</v>
      </c>
      <c r="FK142" s="59">
        <f t="shared" si="156"/>
        <v>320.27831321887072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14.322529404250467</v>
      </c>
      <c r="FR142" s="21">
        <f>EXP(-LN(2)/25)*FR141+(1-EXP(-LN(2)/25))/(LN(2)/25)*Calculateur!FM142*Calculateur!FO142*VLOOKUP('Données projet'!$B$16,Paramètres!$A$1:$I$89,3,0)*0.475*44/12</f>
        <v>9.0607525410519614</v>
      </c>
      <c r="FS142" s="21">
        <f>EXP(-LN(2)/2)*FS141+(1-EXP(-LN(2)/2))/(LN(2)/2)*FM142*FP142*VLOOKUP('Données projet'!$B$16,Paramètres!$A$1:$I$89,3,0)*0.475*44/12</f>
        <v>7.5174184554509233E-8</v>
      </c>
      <c r="FT142" s="22">
        <f t="shared" si="132"/>
        <v>23.383282020476614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173.07692307692307</v>
      </c>
      <c r="GA142" s="17">
        <f>FZ142*VLOOKUP('Données projet'!$B$17,Paramètres!$A$1:$I$89,3,0)*VLOOKUP('Données projet'!$B$17,Paramètres!$A$1:$I$89,5,0)</f>
        <v>116.1</v>
      </c>
      <c r="GB142" s="13">
        <f t="shared" si="157"/>
        <v>30.763646636385982</v>
      </c>
      <c r="GC142" s="20">
        <f t="shared" si="133"/>
        <v>255.78751789170556</v>
      </c>
      <c r="GD142" s="59">
        <f t="shared" si="134"/>
        <v>547.75236940192633</v>
      </c>
      <c r="GE142" s="59">
        <f ca="1">AVERAGE(OFFSET($GD$3,0,0,'Données projet'!$E$17+1,1))-AVERAGE(OFFSET($H$3,0,0,'Données projet'!$E$17+1,1))</f>
        <v>192.88444860121191</v>
      </c>
      <c r="GF142" s="59">
        <f t="shared" si="158"/>
        <v>136.13737493732751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6.3150975665889675</v>
      </c>
      <c r="GM142" s="21">
        <f>EXP(-LN(2)/25)*GM141+(1-EXP(-LN(2)/25))/(LN(2)/25)*Calculateur!GH142*Calculateur!GJ142*VLOOKUP('Données projet'!$B$17,Paramètres!$A$1:$I$89,3,0)*0.475*44/12</f>
        <v>6.2663712450729916</v>
      </c>
      <c r="GN142" s="21">
        <f>EXP(-LN(2)/2)*GN141+(1-EXP(-LN(2)/2))/(LN(2)/2)*GH142*GK142*VLOOKUP('Données projet'!$B$17,Paramètres!$A$1:$I$89,3,0)*0.475*44/12</f>
        <v>1.9472267587763997E-4</v>
      </c>
      <c r="GO142" s="21">
        <f t="shared" si="135"/>
        <v>12.581663534337837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69.626777684605671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0.85000000000000009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3.1166666666666671</v>
      </c>
      <c r="H143" s="67">
        <f t="shared" si="110"/>
        <v>244.19999999999996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1217.2038518329191</v>
      </c>
      <c r="S143" s="59">
        <f ca="1">AVERAGE(OFFSET($R$3,0,0,'Données projet'!$E$9+1,1))-AVERAGE(OFFSET($H$3,0,0,'Données projet'!$E$9+1,1))</f>
        <v>643.492472896403</v>
      </c>
      <c r="T143" s="59">
        <f t="shared" si="142"/>
        <v>285.0259479655341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-2.8421709430404007E-13</v>
      </c>
      <c r="AJ143" s="13">
        <f>AI143*VLOOKUP('Données projet'!$B$10,Paramètres!$A$1:$I$89,3,0)*VLOOKUP('Données projet'!$B$10,Paramètres!$A$1:$I$89,5,0)</f>
        <v>-2.2168933355715128E-13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289.89907502443873</v>
      </c>
      <c r="AO143" s="59">
        <f t="shared" si="144"/>
        <v>267.42183550360301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9.8242773205413911</v>
      </c>
      <c r="AV143" s="21">
        <f>EXP(-LN(2)/25)*AV142+(1-EXP(-LN(2)/25))/(LN(2)/25)*Calculateur!AQ143*Calculateur!AS143*VLOOKUP('Données projet'!$B$10,Paramètres!$A$1:$I$89,3,0)*0.475*44/12</f>
        <v>6.4637475405123981</v>
      </c>
      <c r="AW143" s="21">
        <f>EXP(-LN(2)/2)*AW142+(1-EXP(-LN(2)/2))/(LN(2)/2)*AQ143*AT143*VLOOKUP('Données projet'!$B$10,Paramètres!$A$1:$I$89,3,0)*0.475*44/12</f>
        <v>8.8005383369042169E-9</v>
      </c>
      <c r="AX143" s="21">
        <f t="shared" si="114"/>
        <v>16.288024869854326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-9.9475983006414026E-14</v>
      </c>
      <c r="BE143" s="13">
        <f>BD143*VLOOKUP('Données projet'!$B$11,Paramètres!$A$1:$I$89,3,0)*VLOOKUP('Données projet'!$B$11,Paramètres!$A$1:$I$89,5,0)</f>
        <v>-9.6213170763803652E-14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177.54241137663234</v>
      </c>
      <c r="BJ143" s="59">
        <f t="shared" si="146"/>
        <v>114.71095021456071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13.258412496496611</v>
      </c>
      <c r="BQ143" s="21">
        <f>EXP(-LN(2)/25)*BQ142+(1-EXP(-LN(2)/25))/(LN(2)/25)*Calculateur!BL143*Calculateur!BN143*VLOOKUP('Données projet'!$B$11,Paramètres!$A$1:$I$89,3,0)*0.475*44/12</f>
        <v>14.484956727466338</v>
      </c>
      <c r="BR143" s="21">
        <f>EXP(-LN(2)/2)*BR142+(1-EXP(-LN(2)/2))/(LN(2)/2)*BL143*BO143*VLOOKUP('Données projet'!$B$11,Paramètres!$A$1:$I$89,3,0)*0.475*44/12</f>
        <v>1.1156585744819907E-2</v>
      </c>
      <c r="BS143" s="22">
        <f t="shared" si="117"/>
        <v>27.754525809707772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-9.9475983006414026E-14</v>
      </c>
      <c r="BZ143" s="13">
        <f>BY143*VLOOKUP('Données projet'!$B$12,Paramètres!$A$1:$I$89,3,0)*VLOOKUP('Données projet'!$B$12,Paramètres!$A$1:$I$89,5,0)</f>
        <v>-1.0707594810810407E-13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192.88977161349993</v>
      </c>
      <c r="CE143" s="59">
        <f t="shared" si="148"/>
        <v>122.91376861456772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14.755330036423652</v>
      </c>
      <c r="CL143" s="21">
        <f>EXP(-LN(2)/25)*CL142+(1-EXP(-LN(2)/25))/(LN(2)/25)*Calculateur!CG143*Calculateur!CI143*VLOOKUP('Données projet'!$B$12,Paramètres!$A$1:$I$89,3,0)*0.475*44/12</f>
        <v>16.120355067664146</v>
      </c>
      <c r="CM143" s="21">
        <f>EXP(-LN(2)/2)*CM142+(1-EXP(-LN(2)/2))/(LN(2)/2)*CG143*CJ143*VLOOKUP('Données projet'!$B$12,Paramètres!$A$1:$I$89,3,0)*0.475*44/12</f>
        <v>1.2416200264396346E-2</v>
      </c>
      <c r="CN143" s="22">
        <f t="shared" si="120"/>
        <v>30.888101304352197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-8.5265128291212022E-14</v>
      </c>
      <c r="CU143" s="17">
        <f>CT143*VLOOKUP('Données projet'!$B$13,Paramètres!$A$1:$I$89,3,0)*VLOOKUP('Données projet'!$B$13,Paramètres!$A$1:$I$89,5,0)</f>
        <v>-6.9167072069831198E-14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163.16040389635825</v>
      </c>
      <c r="CZ143" s="59">
        <f t="shared" si="150"/>
        <v>138.57856782158811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4.0448327551287226</v>
      </c>
      <c r="DH143" s="21">
        <f>EXP(-LN(2)/2)*DH142+(1-EXP(-LN(2)/2))/(LN(2)/2)*DB143*DE143*VLOOKUP('Données projet'!$B$13,Paramètres!$A$1:$I$89,3,0)*0.475*44/12</f>
        <v>7.4640114376636426E-7</v>
      </c>
      <c r="DI143" s="22">
        <f t="shared" si="123"/>
        <v>4.0448335015298662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1.7053025658242404E-13</v>
      </c>
      <c r="DP143" s="17">
        <f>DO143*VLOOKUP('Données projet'!$B$14,Paramètres!$A$1:$I$89,3,0)*VLOOKUP('Données projet'!$B$14,Paramètres!$A$1:$I$89,5,0)</f>
        <v>7.9808160080574461E-14</v>
      </c>
      <c r="DQ143" s="13">
        <f t="shared" si="151"/>
        <v>1.2308384591775343E-12</v>
      </c>
      <c r="DR143" s="20">
        <f t="shared" si="124"/>
        <v>2.282709528541206E-12</v>
      </c>
      <c r="DS143" s="59">
        <f t="shared" si="125"/>
        <v>291.98859161038712</v>
      </c>
      <c r="DT143" s="59">
        <f ca="1">AVERAGE(OFFSET($DS$3,0,0,'Données projet'!$E$14+1,1))-AVERAGE(OFFSET($H$3,0,0,'Données projet'!$E$14+1,1))</f>
        <v>343.44193069803498</v>
      </c>
      <c r="DU143" s="59">
        <f t="shared" si="152"/>
        <v>280.67367019483481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121.70576948855094</v>
      </c>
      <c r="EB143" s="21">
        <f>EXP(-LN(2)/25)*EB142+(1-EXP(-LN(2)/25))/(LN(2)/25)*Calculateur!DW143*Calculateur!DY143*VLOOKUP('Données projet'!$B$14,Paramètres!$A$1:$I$89,3,0)*0.475*44/12</f>
        <v>34.99469515024284</v>
      </c>
      <c r="EC143" s="21">
        <f>EXP(-LN(2)/2)*EC142+(1-EXP(-LN(2)/2))/(LN(2)/2)*DW143*DZ143*VLOOKUP('Données projet'!$B$14,Paramètres!$A$1:$I$89,3,0)*0.475*44/12</f>
        <v>1.4322736739013127</v>
      </c>
      <c r="ED143" s="22">
        <f t="shared" si="126"/>
        <v>158.1327383126951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173.07692307692307</v>
      </c>
      <c r="EK143" s="17">
        <f>EJ143*VLOOKUP('Données projet'!$B$15,Paramètres!$A$1:$I$89,3,0)*VLOOKUP('Données projet'!$B$15,Paramètres!$A$1:$I$89,5,0)</f>
        <v>175.5</v>
      </c>
      <c r="EL143" s="13">
        <f t="shared" si="153"/>
        <v>44.319548641773906</v>
      </c>
      <c r="EM143" s="20">
        <f t="shared" si="127"/>
        <v>382.85238055108954</v>
      </c>
      <c r="EN143" s="59">
        <f t="shared" si="128"/>
        <v>674.84097216147438</v>
      </c>
      <c r="EO143" s="59">
        <f ca="1">AVERAGE(OFFSET($EN$3,0,0,'Données projet'!$E$15+1,1))-AVERAGE(OFFSET($H$3,0,0,'Données projet'!$E$15+1,1))</f>
        <v>270.0029254736703</v>
      </c>
      <c r="EP143" s="59">
        <f t="shared" si="154"/>
        <v>183.80022202211441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7.5930576053571217</v>
      </c>
      <c r="EW143" s="21">
        <f>EXP(-LN(2)/25)*EW142+(1-EXP(-LN(2)/25))/(LN(2)/25)*Calculateur!ER143*Calculateur!ET143*VLOOKUP('Données projet'!$B$15,Paramètres!$A$1:$I$89,3,0)*0.475*44/12</f>
        <v>7.4750208415047439</v>
      </c>
      <c r="EX143" s="21">
        <f>EXP(-LN(2)/2)*EX142+(1-EXP(-LN(2)/2))/(LN(2)/2)*ER143*EU143*VLOOKUP('Données projet'!$B$15,Paramètres!$A$1:$I$89,3,0)*0.475*44/12</f>
        <v>2.0813563015468619E-4</v>
      </c>
      <c r="EY143" s="22">
        <f t="shared" si="129"/>
        <v>15.06828658249202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-1.4897523215040567E-13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328.93328163316073</v>
      </c>
      <c r="FK143" s="59">
        <f t="shared" si="156"/>
        <v>320.27831321887072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14.041673338513455</v>
      </c>
      <c r="FR143" s="21">
        <f>EXP(-LN(2)/25)*FR142+(1-EXP(-LN(2)/25))/(LN(2)/25)*Calculateur!FM143*Calculateur!FO143*VLOOKUP('Données projet'!$B$16,Paramètres!$A$1:$I$89,3,0)*0.475*44/12</f>
        <v>8.8129857863326286</v>
      </c>
      <c r="FS143" s="21">
        <f>EXP(-LN(2)/2)*FS142+(1-EXP(-LN(2)/2))/(LN(2)/2)*FM143*FP143*VLOOKUP('Données projet'!$B$16,Paramètres!$A$1:$I$89,3,0)*0.475*44/12</f>
        <v>5.3156175668662502E-8</v>
      </c>
      <c r="FT143" s="22">
        <f t="shared" si="132"/>
        <v>22.854659178002258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173.07692307692307</v>
      </c>
      <c r="GA143" s="17">
        <f>FZ143*VLOOKUP('Données projet'!$B$17,Paramètres!$A$1:$I$89,3,0)*VLOOKUP('Données projet'!$B$17,Paramètres!$A$1:$I$89,5,0)</f>
        <v>116.1</v>
      </c>
      <c r="GB143" s="13">
        <f t="shared" si="157"/>
        <v>30.763646636385982</v>
      </c>
      <c r="GC143" s="20">
        <f t="shared" si="133"/>
        <v>255.78751789170556</v>
      </c>
      <c r="GD143" s="59">
        <f t="shared" si="134"/>
        <v>547.77610950209043</v>
      </c>
      <c r="GE143" s="59">
        <f ca="1">AVERAGE(OFFSET($GD$3,0,0,'Données projet'!$E$17+1,1))-AVERAGE(OFFSET($H$3,0,0,'Données projet'!$E$17+1,1))</f>
        <v>192.88444860121191</v>
      </c>
      <c r="GF143" s="59">
        <f t="shared" si="158"/>
        <v>136.13737493732751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6.1912623551373365</v>
      </c>
      <c r="GM143" s="21">
        <f>EXP(-LN(2)/25)*GM142+(1-EXP(-LN(2)/25))/(LN(2)/25)*Calculateur!GH143*Calculateur!GJ143*VLOOKUP('Données projet'!$B$17,Paramètres!$A$1:$I$89,3,0)*0.475*44/12</f>
        <v>6.0950169938423286</v>
      </c>
      <c r="GN143" s="21">
        <f>EXP(-LN(2)/2)*GN142+(1-EXP(-LN(2)/2))/(LN(2)/2)*GH143*GK143*VLOOKUP('Données projet'!$B$17,Paramètres!$A$1:$I$89,3,0)*0.475*44/12</f>
        <v>1.3768972456386938E-4</v>
      </c>
      <c r="GO143" s="21">
        <f t="shared" si="135"/>
        <v>12.286417038704229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69.633252257377677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0.85000000000000009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3.1166666666666671</v>
      </c>
      <c r="H144" s="67">
        <f t="shared" si="110"/>
        <v>244.19999999999996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1234.528289333992</v>
      </c>
      <c r="S144" s="59">
        <f ca="1">AVERAGE(OFFSET($R$3,0,0,'Données projet'!$E$9+1,1))-AVERAGE(OFFSET($H$3,0,0,'Données projet'!$E$9+1,1))</f>
        <v>643.492472896403</v>
      </c>
      <c r="T144" s="59">
        <f t="shared" si="142"/>
        <v>285.0259479655341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-2.8421709430404007E-13</v>
      </c>
      <c r="AJ144" s="13">
        <f>AI144*VLOOKUP('Données projet'!$B$10,Paramètres!$A$1:$I$89,3,0)*VLOOKUP('Données projet'!$B$10,Paramètres!$A$1:$I$89,5,0)</f>
        <v>-2.2168933355715128E-13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289.89907502443873</v>
      </c>
      <c r="AO144" s="59">
        <f t="shared" si="144"/>
        <v>267.42183550360301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9.6316292345030572</v>
      </c>
      <c r="AV144" s="21">
        <f>EXP(-LN(2)/25)*AV143+(1-EXP(-LN(2)/25))/(LN(2)/25)*Calculateur!AQ144*Calculateur!AS144*VLOOKUP('Données projet'!$B$10,Paramètres!$A$1:$I$89,3,0)*0.475*44/12</f>
        <v>6.2869960241033764</v>
      </c>
      <c r="AW144" s="21">
        <f>EXP(-LN(2)/2)*AW143+(1-EXP(-LN(2)/2))/(LN(2)/2)*AQ144*AT144*VLOOKUP('Données projet'!$B$10,Paramètres!$A$1:$I$89,3,0)*0.475*44/12</f>
        <v>6.2229203361171531E-9</v>
      </c>
      <c r="AX144" s="21">
        <f t="shared" si="114"/>
        <v>15.918625264829354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-9.9475983006414026E-14</v>
      </c>
      <c r="BE144" s="13">
        <f>BD144*VLOOKUP('Données projet'!$B$11,Paramètres!$A$1:$I$89,3,0)*VLOOKUP('Données projet'!$B$11,Paramètres!$A$1:$I$89,5,0)</f>
        <v>-9.6213170763803652E-14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177.54241137663234</v>
      </c>
      <c r="BJ144" s="59">
        <f t="shared" si="146"/>
        <v>114.71095021456071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12.998423114273427</v>
      </c>
      <c r="BQ144" s="21">
        <f>EXP(-LN(2)/25)*BQ143+(1-EXP(-LN(2)/25))/(LN(2)/25)*Calculateur!BL144*Calculateur!BN144*VLOOKUP('Données projet'!$B$11,Paramètres!$A$1:$I$89,3,0)*0.475*44/12</f>
        <v>14.088864824023002</v>
      </c>
      <c r="BR144" s="21">
        <f>EXP(-LN(2)/2)*BR143+(1-EXP(-LN(2)/2))/(LN(2)/2)*BL144*BO144*VLOOKUP('Données projet'!$B$11,Paramètres!$A$1:$I$89,3,0)*0.475*44/12</f>
        <v>7.8888974350513254E-3</v>
      </c>
      <c r="BS144" s="22">
        <f t="shared" si="117"/>
        <v>27.095176835731479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-9.9475983006414026E-14</v>
      </c>
      <c r="BZ144" s="13">
        <f>BY144*VLOOKUP('Données projet'!$B$12,Paramètres!$A$1:$I$89,3,0)*VLOOKUP('Données projet'!$B$12,Paramètres!$A$1:$I$89,5,0)</f>
        <v>-1.0707594810810407E-13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192.88977161349993</v>
      </c>
      <c r="CE144" s="59">
        <f t="shared" si="148"/>
        <v>122.91376861456772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14.465987014272045</v>
      </c>
      <c r="CL144" s="21">
        <f>EXP(-LN(2)/25)*CL143+(1-EXP(-LN(2)/25))/(LN(2)/25)*Calculateur!CG144*Calculateur!CI144*VLOOKUP('Données projet'!$B$12,Paramètres!$A$1:$I$89,3,0)*0.475*44/12</f>
        <v>15.679543110606241</v>
      </c>
      <c r="CM144" s="21">
        <f>EXP(-LN(2)/2)*CM143+(1-EXP(-LN(2)/2))/(LN(2)/2)*CG144*CJ144*VLOOKUP('Données projet'!$B$12,Paramètres!$A$1:$I$89,3,0)*0.475*44/12</f>
        <v>8.7795794035248603E-3</v>
      </c>
      <c r="CN144" s="22">
        <f t="shared" si="120"/>
        <v>30.154309704281811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-8.5265128291212022E-14</v>
      </c>
      <c r="CU144" s="17">
        <f>CT144*VLOOKUP('Données projet'!$B$13,Paramètres!$A$1:$I$89,3,0)*VLOOKUP('Données projet'!$B$13,Paramètres!$A$1:$I$89,5,0)</f>
        <v>-6.9167072069831198E-14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163.16040389635825</v>
      </c>
      <c r="CZ144" s="59">
        <f t="shared" si="150"/>
        <v>138.57856782158811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3.9342265907312179</v>
      </c>
      <c r="DH144" s="21">
        <f>EXP(-LN(2)/2)*DH143+(1-EXP(-LN(2)/2))/(LN(2)/2)*DB144*DE144*VLOOKUP('Données projet'!$B$13,Paramètres!$A$1:$I$89,3,0)*0.475*44/12</f>
        <v>5.2778531024259132E-7</v>
      </c>
      <c r="DI144" s="22">
        <f t="shared" si="123"/>
        <v>3.9342271185165281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1.7053025658242404E-13</v>
      </c>
      <c r="DP144" s="17">
        <f>DO144*VLOOKUP('Données projet'!$B$14,Paramètres!$A$1:$I$89,3,0)*VLOOKUP('Données projet'!$B$14,Paramètres!$A$1:$I$89,5,0)</f>
        <v>7.9808160080574461E-14</v>
      </c>
      <c r="DQ144" s="13">
        <f t="shared" si="151"/>
        <v>1.2308384591775343E-12</v>
      </c>
      <c r="DR144" s="20">
        <f t="shared" si="124"/>
        <v>2.282709528541206E-12</v>
      </c>
      <c r="DS144" s="59">
        <f t="shared" si="125"/>
        <v>292.01191987288814</v>
      </c>
      <c r="DT144" s="59">
        <f ca="1">AVERAGE(OFFSET($DS$3,0,0,'Données projet'!$E$14+1,1))-AVERAGE(OFFSET($H$3,0,0,'Données projet'!$E$14+1,1))</f>
        <v>343.44193069803498</v>
      </c>
      <c r="DU144" s="59">
        <f t="shared" si="152"/>
        <v>280.67367019483481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119.31919358206993</v>
      </c>
      <c r="EB144" s="21">
        <f>EXP(-LN(2)/25)*EB143+(1-EXP(-LN(2)/25))/(LN(2)/25)*Calculateur!DW144*Calculateur!DY144*VLOOKUP('Données projet'!$B$14,Paramètres!$A$1:$I$89,3,0)*0.475*44/12</f>
        <v>34.037763371068415</v>
      </c>
      <c r="EC144" s="21">
        <f>EXP(-LN(2)/2)*EC143+(1-EXP(-LN(2)/2))/(LN(2)/2)*DW144*DZ144*VLOOKUP('Données projet'!$B$14,Paramètres!$A$1:$I$89,3,0)*0.475*44/12</f>
        <v>1.012770427330588</v>
      </c>
      <c r="ED144" s="22">
        <f t="shared" si="126"/>
        <v>154.36972738046893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173.07692307692307</v>
      </c>
      <c r="EK144" s="17">
        <f>EJ144*VLOOKUP('Données projet'!$B$15,Paramètres!$A$1:$I$89,3,0)*VLOOKUP('Données projet'!$B$15,Paramètres!$A$1:$I$89,5,0)</f>
        <v>175.5</v>
      </c>
      <c r="EL144" s="13">
        <f t="shared" si="153"/>
        <v>44.319548641773906</v>
      </c>
      <c r="EM144" s="20">
        <f t="shared" si="127"/>
        <v>382.85238055108954</v>
      </c>
      <c r="EN144" s="59">
        <f t="shared" si="128"/>
        <v>674.86430042397546</v>
      </c>
      <c r="EO144" s="59">
        <f ca="1">AVERAGE(OFFSET($EN$3,0,0,'Données projet'!$E$15+1,1))-AVERAGE(OFFSET($H$3,0,0,'Données projet'!$E$15+1,1))</f>
        <v>270.0029254736703</v>
      </c>
      <c r="EP144" s="59">
        <f t="shared" si="154"/>
        <v>183.80022202211441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7.444162377023904</v>
      </c>
      <c r="EW144" s="21">
        <f>EXP(-LN(2)/25)*EW143+(1-EXP(-LN(2)/25))/(LN(2)/25)*Calculateur!ER144*Calculateur!ET144*VLOOKUP('Données projet'!$B$15,Paramètres!$A$1:$I$89,3,0)*0.475*44/12</f>
        <v>7.2706160034995353</v>
      </c>
      <c r="EX144" s="21">
        <f>EXP(-LN(2)/2)*EX143+(1-EXP(-LN(2)/2))/(LN(2)/2)*ER144*EU144*VLOOKUP('Données projet'!$B$15,Paramètres!$A$1:$I$89,3,0)*0.475*44/12</f>
        <v>1.4717411548891387E-4</v>
      </c>
      <c r="EY144" s="22">
        <f t="shared" si="129"/>
        <v>14.714925554638928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-1.4897523215040567E-13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328.93328163316073</v>
      </c>
      <c r="FK144" s="59">
        <f t="shared" si="156"/>
        <v>320.27831321887072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13.76632468892026</v>
      </c>
      <c r="FR144" s="21">
        <f>EXP(-LN(2)/25)*FR143+(1-EXP(-LN(2)/25))/(LN(2)/25)*Calculateur!FM144*Calculateur!FO144*VLOOKUP('Données projet'!$B$16,Paramètres!$A$1:$I$89,3,0)*0.475*44/12</f>
        <v>8.5719942265505829</v>
      </c>
      <c r="FS144" s="21">
        <f>EXP(-LN(2)/2)*FS143+(1-EXP(-LN(2)/2))/(LN(2)/2)*FM144*FP144*VLOOKUP('Données projet'!$B$16,Paramètres!$A$1:$I$89,3,0)*0.475*44/12</f>
        <v>3.7587092277254617E-8</v>
      </c>
      <c r="FT144" s="22">
        <f t="shared" si="132"/>
        <v>22.338318953057936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173.07692307692307</v>
      </c>
      <c r="GA144" s="17">
        <f>FZ144*VLOOKUP('Données projet'!$B$17,Paramètres!$A$1:$I$89,3,0)*VLOOKUP('Données projet'!$B$17,Paramètres!$A$1:$I$89,5,0)</f>
        <v>116.1</v>
      </c>
      <c r="GB144" s="13">
        <f t="shared" si="157"/>
        <v>30.763646636385982</v>
      </c>
      <c r="GC144" s="20">
        <f t="shared" si="133"/>
        <v>255.78751789170556</v>
      </c>
      <c r="GD144" s="59">
        <f t="shared" si="134"/>
        <v>547.7994377645914</v>
      </c>
      <c r="GE144" s="59">
        <f ca="1">AVERAGE(OFFSET($GD$3,0,0,'Données projet'!$E$17+1,1))-AVERAGE(OFFSET($H$3,0,0,'Données projet'!$E$17+1,1))</f>
        <v>192.88444860121191</v>
      </c>
      <c r="GF144" s="59">
        <f t="shared" si="158"/>
        <v>136.13737493732751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6.0698554766502513</v>
      </c>
      <c r="GM144" s="21">
        <f>EXP(-LN(2)/25)*GM143+(1-EXP(-LN(2)/25))/(LN(2)/25)*Calculateur!GH144*Calculateur!GJ144*VLOOKUP('Données projet'!$B$17,Paramètres!$A$1:$I$89,3,0)*0.475*44/12</f>
        <v>5.9283484336226966</v>
      </c>
      <c r="GN144" s="21">
        <f>EXP(-LN(2)/2)*GN143+(1-EXP(-LN(2)/2))/(LN(2)/2)*GH144*GK144*VLOOKUP('Données projet'!$B$17,Paramètres!$A$1:$I$89,3,0)*0.475*44/12</f>
        <v>9.7361337938819986E-5</v>
      </c>
      <c r="GO144" s="21">
        <f t="shared" si="135"/>
        <v>11.998301271610888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69.639614510787055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0.85000000000000009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3.1166666666666671</v>
      </c>
      <c r="H145" s="67">
        <f t="shared" si="110"/>
        <v>244.19999999999996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1251.8460158311864</v>
      </c>
      <c r="S145" s="59">
        <f ca="1">AVERAGE(OFFSET($R$3,0,0,'Données projet'!$E$9+1,1))-AVERAGE(OFFSET($H$3,0,0,'Données projet'!$E$9+1,1))</f>
        <v>643.492472896403</v>
      </c>
      <c r="T145" s="59">
        <f t="shared" si="142"/>
        <v>285.0259479655341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-2.8421709430404007E-13</v>
      </c>
      <c r="AJ145" s="13">
        <f>AI145*VLOOKUP('Données projet'!$B$10,Paramètres!$A$1:$I$89,3,0)*VLOOKUP('Données projet'!$B$10,Paramètres!$A$1:$I$89,5,0)</f>
        <v>-2.2168933355715128E-13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289.89907502443873</v>
      </c>
      <c r="AO145" s="59">
        <f t="shared" si="144"/>
        <v>267.42183550360301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9.4427588599282046</v>
      </c>
      <c r="AV145" s="21">
        <f>EXP(-LN(2)/25)*AV144+(1-EXP(-LN(2)/25))/(LN(2)/25)*Calculateur!AQ145*Calculateur!AS145*VLOOKUP('Données projet'!$B$10,Paramètres!$A$1:$I$89,3,0)*0.475*44/12</f>
        <v>6.115077787205518</v>
      </c>
      <c r="AW145" s="21">
        <f>EXP(-LN(2)/2)*AW144+(1-EXP(-LN(2)/2))/(LN(2)/2)*AQ145*AT145*VLOOKUP('Données projet'!$B$10,Paramètres!$A$1:$I$89,3,0)*0.475*44/12</f>
        <v>4.4002691684521085E-9</v>
      </c>
      <c r="AX145" s="21">
        <f t="shared" si="114"/>
        <v>15.557836651533991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-9.9475983006414026E-14</v>
      </c>
      <c r="BE145" s="13">
        <f>BD145*VLOOKUP('Données projet'!$B$11,Paramètres!$A$1:$I$89,3,0)*VLOOKUP('Données projet'!$B$11,Paramètres!$A$1:$I$89,5,0)</f>
        <v>-9.6213170763803652E-14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177.54241137663234</v>
      </c>
      <c r="BJ145" s="59">
        <f t="shared" si="146"/>
        <v>114.71095021456071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12.743531965257775</v>
      </c>
      <c r="BQ145" s="21">
        <f>EXP(-LN(2)/25)*BQ144+(1-EXP(-LN(2)/25))/(LN(2)/25)*Calculateur!BL145*Calculateur!BN145*VLOOKUP('Données projet'!$B$11,Paramètres!$A$1:$I$89,3,0)*0.475*44/12</f>
        <v>13.703604074508892</v>
      </c>
      <c r="BR145" s="21">
        <f>EXP(-LN(2)/2)*BR144+(1-EXP(-LN(2)/2))/(LN(2)/2)*BL145*BO145*VLOOKUP('Données projet'!$B$11,Paramètres!$A$1:$I$89,3,0)*0.475*44/12</f>
        <v>5.5782928724099536E-3</v>
      </c>
      <c r="BS145" s="22">
        <f t="shared" si="117"/>
        <v>26.452714332639079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-9.9475983006414026E-14</v>
      </c>
      <c r="BZ145" s="13">
        <f>BY145*VLOOKUP('Données projet'!$B$12,Paramètres!$A$1:$I$89,3,0)*VLOOKUP('Données projet'!$B$12,Paramètres!$A$1:$I$89,5,0)</f>
        <v>-1.0707594810810407E-13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192.88977161349993</v>
      </c>
      <c r="CE145" s="59">
        <f t="shared" si="148"/>
        <v>122.91376861456772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14.182317832303012</v>
      </c>
      <c r="CL145" s="21">
        <f>EXP(-LN(2)/25)*CL144+(1-EXP(-LN(2)/25))/(LN(2)/25)*Calculateur!CG145*Calculateur!CI145*VLOOKUP('Données projet'!$B$12,Paramètres!$A$1:$I$89,3,0)*0.475*44/12</f>
        <v>15.250785179695377</v>
      </c>
      <c r="CM145" s="21">
        <f>EXP(-LN(2)/2)*CM144+(1-EXP(-LN(2)/2))/(LN(2)/2)*CG145*CJ145*VLOOKUP('Données projet'!$B$12,Paramètres!$A$1:$I$89,3,0)*0.475*44/12</f>
        <v>6.2081001321981728E-3</v>
      </c>
      <c r="CN145" s="22">
        <f t="shared" si="120"/>
        <v>29.439311112130589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-8.5265128291212022E-14</v>
      </c>
      <c r="CU145" s="17">
        <f>CT145*VLOOKUP('Données projet'!$B$13,Paramètres!$A$1:$I$89,3,0)*VLOOKUP('Données projet'!$B$13,Paramètres!$A$1:$I$89,5,0)</f>
        <v>-6.9167072069831198E-14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163.16040389635825</v>
      </c>
      <c r="CZ145" s="59">
        <f t="shared" si="150"/>
        <v>138.57856782158811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3.826644957715688</v>
      </c>
      <c r="DH145" s="21">
        <f>EXP(-LN(2)/2)*DH144+(1-EXP(-LN(2)/2))/(LN(2)/2)*DB145*DE145*VLOOKUP('Données projet'!$B$13,Paramètres!$A$1:$I$89,3,0)*0.475*44/12</f>
        <v>3.7320057188318213E-7</v>
      </c>
      <c r="DI145" s="22">
        <f t="shared" si="123"/>
        <v>3.8266453309162598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1.7053025658242404E-13</v>
      </c>
      <c r="DP145" s="17">
        <f>DO145*VLOOKUP('Données projet'!$B$14,Paramètres!$A$1:$I$89,3,0)*VLOOKUP('Données projet'!$B$14,Paramètres!$A$1:$I$89,5,0)</f>
        <v>7.9808160080574461E-14</v>
      </c>
      <c r="DQ145" s="13">
        <f t="shared" si="151"/>
        <v>1.2308384591775343E-12</v>
      </c>
      <c r="DR145" s="20">
        <f t="shared" si="124"/>
        <v>2.282709528541206E-12</v>
      </c>
      <c r="DS145" s="59">
        <f t="shared" si="125"/>
        <v>292.03484344218896</v>
      </c>
      <c r="DT145" s="59">
        <f ca="1">AVERAGE(OFFSET($DS$3,0,0,'Données projet'!$E$14+1,1))-AVERAGE(OFFSET($H$3,0,0,'Données projet'!$E$14+1,1))</f>
        <v>343.44193069803498</v>
      </c>
      <c r="DU145" s="59">
        <f t="shared" si="152"/>
        <v>280.67367019483481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116.97941697344744</v>
      </c>
      <c r="EB145" s="21">
        <f>EXP(-LN(2)/25)*EB144+(1-EXP(-LN(2)/25))/(LN(2)/25)*Calculateur!DW145*Calculateur!DY145*VLOOKUP('Données projet'!$B$14,Paramètres!$A$1:$I$89,3,0)*0.475*44/12</f>
        <v>33.106998941718366</v>
      </c>
      <c r="EC145" s="21">
        <f>EXP(-LN(2)/2)*EC144+(1-EXP(-LN(2)/2))/(LN(2)/2)*DW145*DZ145*VLOOKUP('Données projet'!$B$14,Paramètres!$A$1:$I$89,3,0)*0.475*44/12</f>
        <v>0.71613683695065633</v>
      </c>
      <c r="ED145" s="22">
        <f t="shared" si="126"/>
        <v>150.80255275211647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173.07692307692307</v>
      </c>
      <c r="EK145" s="17">
        <f>EJ145*VLOOKUP('Données projet'!$B$15,Paramètres!$A$1:$I$89,3,0)*VLOOKUP('Données projet'!$B$15,Paramètres!$A$1:$I$89,5,0)</f>
        <v>175.5</v>
      </c>
      <c r="EL145" s="13">
        <f t="shared" si="153"/>
        <v>44.319548641773906</v>
      </c>
      <c r="EM145" s="20">
        <f t="shared" si="127"/>
        <v>382.85238055108954</v>
      </c>
      <c r="EN145" s="59">
        <f t="shared" si="128"/>
        <v>674.88722399327617</v>
      </c>
      <c r="EO145" s="59">
        <f ca="1">AVERAGE(OFFSET($EN$3,0,0,'Données projet'!$E$15+1,1))-AVERAGE(OFFSET($H$3,0,0,'Données projet'!$E$15+1,1))</f>
        <v>270.0029254736703</v>
      </c>
      <c r="EP145" s="59">
        <f t="shared" si="154"/>
        <v>183.80022202211441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7.2981868933011791</v>
      </c>
      <c r="EW145" s="21">
        <f>EXP(-LN(2)/25)*EW144+(1-EXP(-LN(2)/25))/(LN(2)/25)*Calculateur!ER145*Calculateur!ET145*VLOOKUP('Données projet'!$B$15,Paramètres!$A$1:$I$89,3,0)*0.475*44/12</f>
        <v>7.0718006265387618</v>
      </c>
      <c r="EX145" s="21">
        <f>EXP(-LN(2)/2)*EX144+(1-EXP(-LN(2)/2))/(LN(2)/2)*ER145*EU145*VLOOKUP('Données projet'!$B$15,Paramètres!$A$1:$I$89,3,0)*0.475*44/12</f>
        <v>1.0406781507734309E-4</v>
      </c>
      <c r="EY145" s="22">
        <f t="shared" si="129"/>
        <v>14.370091587655018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-1.4897523215040567E-13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328.93328163316073</v>
      </c>
      <c r="FK145" s="59">
        <f t="shared" si="156"/>
        <v>320.27831321887072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13.496375458399497</v>
      </c>
      <c r="FR145" s="21">
        <f>EXP(-LN(2)/25)*FR144+(1-EXP(-LN(2)/25))/(LN(2)/25)*Calculateur!FM145*Calculateur!FO145*VLOOKUP('Données projet'!$B$16,Paramètres!$A$1:$I$89,3,0)*0.475*44/12</f>
        <v>8.3375925936439721</v>
      </c>
      <c r="FS145" s="21">
        <f>EXP(-LN(2)/2)*FS144+(1-EXP(-LN(2)/2))/(LN(2)/2)*FM145*FP145*VLOOKUP('Données projet'!$B$16,Paramètres!$A$1:$I$89,3,0)*0.475*44/12</f>
        <v>2.6578087834331251E-8</v>
      </c>
      <c r="FT145" s="22">
        <f t="shared" si="132"/>
        <v>21.833968078621556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173.07692307692307</v>
      </c>
      <c r="GA145" s="17">
        <f>FZ145*VLOOKUP('Données projet'!$B$17,Paramètres!$A$1:$I$89,3,0)*VLOOKUP('Données projet'!$B$17,Paramètres!$A$1:$I$89,5,0)</f>
        <v>116.1</v>
      </c>
      <c r="GB145" s="13">
        <f t="shared" si="157"/>
        <v>30.763646636385982</v>
      </c>
      <c r="GC145" s="20">
        <f t="shared" si="133"/>
        <v>255.78751789170556</v>
      </c>
      <c r="GD145" s="59">
        <f t="shared" si="134"/>
        <v>547.82236133389222</v>
      </c>
      <c r="GE145" s="59">
        <f ca="1">AVERAGE(OFFSET($GD$3,0,0,'Données projet'!$E$17+1,1))-AVERAGE(OFFSET($H$3,0,0,'Données projet'!$E$17+1,1))</f>
        <v>192.88444860121191</v>
      </c>
      <c r="GF145" s="59">
        <f t="shared" si="158"/>
        <v>136.13737493732751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5.9508293129994145</v>
      </c>
      <c r="GM145" s="21">
        <f>EXP(-LN(2)/25)*GM144+(1-EXP(-LN(2)/25))/(LN(2)/25)*Calculateur!GH145*Calculateur!GJ145*VLOOKUP('Données projet'!$B$17,Paramètres!$A$1:$I$89,3,0)*0.475*44/12</f>
        <v>5.7662374339469888</v>
      </c>
      <c r="GN145" s="21">
        <f>EXP(-LN(2)/2)*GN144+(1-EXP(-LN(2)/2))/(LN(2)/2)*GH145*GK145*VLOOKUP('Données projet'!$B$17,Paramètres!$A$1:$I$89,3,0)*0.475*44/12</f>
        <v>6.8844862281934691E-5</v>
      </c>
      <c r="GO145" s="21">
        <f t="shared" si="135"/>
        <v>11.717135591808686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69.645866393323644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0.85000000000000009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3.1166666666666671</v>
      </c>
      <c r="H146" s="67">
        <f t="shared" si="110"/>
        <v>244.19999999999996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1269.1571678431328</v>
      </c>
      <c r="S146" s="59">
        <f ca="1">AVERAGE(OFFSET($R$3,0,0,'Données projet'!$E$9+1,1))-AVERAGE(OFFSET($H$3,0,0,'Données projet'!$E$9+1,1))</f>
        <v>643.492472896403</v>
      </c>
      <c r="T146" s="59">
        <f t="shared" si="142"/>
        <v>285.0259479655341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-2.8421709430404007E-13</v>
      </c>
      <c r="AJ146" s="13">
        <f>AI146*VLOOKUP('Données projet'!$B$10,Paramètres!$A$1:$I$89,3,0)*VLOOKUP('Données projet'!$B$10,Paramètres!$A$1:$I$89,5,0)</f>
        <v>-2.2168933355715128E-13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289.89907502443873</v>
      </c>
      <c r="AO146" s="59">
        <f t="shared" si="144"/>
        <v>267.42183550360301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9.2575921181992129</v>
      </c>
      <c r="AV146" s="21">
        <f>EXP(-LN(2)/25)*AV145+(1-EXP(-LN(2)/25))/(LN(2)/25)*Calculateur!AQ146*Calculateur!AS146*VLOOKUP('Données projet'!$B$10,Paramètres!$A$1:$I$89,3,0)*0.475*44/12</f>
        <v>5.9478606635364182</v>
      </c>
      <c r="AW146" s="21">
        <f>EXP(-LN(2)/2)*AW145+(1-EXP(-LN(2)/2))/(LN(2)/2)*AQ146*AT146*VLOOKUP('Données projet'!$B$10,Paramètres!$A$1:$I$89,3,0)*0.475*44/12</f>
        <v>3.1114601680585766E-9</v>
      </c>
      <c r="AX146" s="21">
        <f t="shared" si="114"/>
        <v>15.20545278484709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-9.9475983006414026E-14</v>
      </c>
      <c r="BE146" s="13">
        <f>BD146*VLOOKUP('Données projet'!$B$11,Paramètres!$A$1:$I$89,3,0)*VLOOKUP('Données projet'!$B$11,Paramètres!$A$1:$I$89,5,0)</f>
        <v>-9.6213170763803652E-14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177.54241137663234</v>
      </c>
      <c r="BJ146" s="59">
        <f t="shared" si="146"/>
        <v>114.71095021456071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12.493639076206071</v>
      </c>
      <c r="BQ146" s="21">
        <f>EXP(-LN(2)/25)*BQ145+(1-EXP(-LN(2)/25))/(LN(2)/25)*Calculateur!BL146*Calculateur!BN146*VLOOKUP('Données projet'!$B$11,Paramètres!$A$1:$I$89,3,0)*0.475*44/12</f>
        <v>13.328878300450228</v>
      </c>
      <c r="BR146" s="21">
        <f>EXP(-LN(2)/2)*BR145+(1-EXP(-LN(2)/2))/(LN(2)/2)*BL146*BO146*VLOOKUP('Données projet'!$B$11,Paramètres!$A$1:$I$89,3,0)*0.475*44/12</f>
        <v>3.9444487175256627E-3</v>
      </c>
      <c r="BS146" s="22">
        <f t="shared" si="117"/>
        <v>25.826461825373826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-9.9475983006414026E-14</v>
      </c>
      <c r="BZ146" s="13">
        <f>BY146*VLOOKUP('Données projet'!$B$12,Paramètres!$A$1:$I$89,3,0)*VLOOKUP('Données projet'!$B$12,Paramètres!$A$1:$I$89,5,0)</f>
        <v>-1.0707594810810407E-13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192.88977161349993</v>
      </c>
      <c r="CE146" s="59">
        <f t="shared" si="148"/>
        <v>122.91376861456772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13.904211229971276</v>
      </c>
      <c r="CL146" s="21">
        <f>EXP(-LN(2)/25)*CL145+(1-EXP(-LN(2)/25))/(LN(2)/25)*Calculateur!CG146*Calculateur!CI146*VLOOKUP('Données projet'!$B$12,Paramètres!$A$1:$I$89,3,0)*0.475*44/12</f>
        <v>14.833751656952671</v>
      </c>
      <c r="CM146" s="21">
        <f>EXP(-LN(2)/2)*CM145+(1-EXP(-LN(2)/2))/(LN(2)/2)*CG146*CJ146*VLOOKUP('Données projet'!$B$12,Paramètres!$A$1:$I$89,3,0)*0.475*44/12</f>
        <v>4.3897897017624301E-3</v>
      </c>
      <c r="CN146" s="22">
        <f t="shared" si="120"/>
        <v>28.742352676625707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-8.5265128291212022E-14</v>
      </c>
      <c r="CU146" s="17">
        <f>CT146*VLOOKUP('Données projet'!$B$13,Paramètres!$A$1:$I$89,3,0)*VLOOKUP('Données projet'!$B$13,Paramètres!$A$1:$I$89,5,0)</f>
        <v>-6.9167072069831198E-14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163.16040389635825</v>
      </c>
      <c r="CZ146" s="59">
        <f t="shared" si="150"/>
        <v>138.57856782158811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3.72200515011244</v>
      </c>
      <c r="DH146" s="21">
        <f>EXP(-LN(2)/2)*DH145+(1-EXP(-LN(2)/2))/(LN(2)/2)*DB146*DE146*VLOOKUP('Données projet'!$B$13,Paramètres!$A$1:$I$89,3,0)*0.475*44/12</f>
        <v>2.6389265512129566E-7</v>
      </c>
      <c r="DI146" s="22">
        <f t="shared" si="123"/>
        <v>3.7220054140050953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1.7053025658242404E-13</v>
      </c>
      <c r="DP146" s="17">
        <f>DO146*VLOOKUP('Données projet'!$B$14,Paramètres!$A$1:$I$89,3,0)*VLOOKUP('Données projet'!$B$14,Paramètres!$A$1:$I$89,5,0)</f>
        <v>7.9808160080574461E-14</v>
      </c>
      <c r="DQ146" s="13">
        <f t="shared" si="151"/>
        <v>1.2308384591775343E-12</v>
      </c>
      <c r="DR146" s="20">
        <f t="shared" si="124"/>
        <v>2.282709528541206E-12</v>
      </c>
      <c r="DS146" s="59">
        <f t="shared" si="125"/>
        <v>292.05736933881184</v>
      </c>
      <c r="DT146" s="59">
        <f ca="1">AVERAGE(OFFSET($DS$3,0,0,'Données projet'!$E$14+1,1))-AVERAGE(OFFSET($H$3,0,0,'Données projet'!$E$14+1,1))</f>
        <v>343.44193069803498</v>
      </c>
      <c r="DU146" s="59">
        <f t="shared" si="152"/>
        <v>280.67367019483481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114.68552195699722</v>
      </c>
      <c r="EB146" s="21">
        <f>EXP(-LN(2)/25)*EB145+(1-EXP(-LN(2)/25))/(LN(2)/25)*Calculateur!DW146*Calculateur!DY146*VLOOKUP('Données projet'!$B$14,Paramètres!$A$1:$I$89,3,0)*0.475*44/12</f>
        <v>32.201686314635673</v>
      </c>
      <c r="EC146" s="21">
        <f>EXP(-LN(2)/2)*EC145+(1-EXP(-LN(2)/2))/(LN(2)/2)*DW146*DZ146*VLOOKUP('Données projet'!$B$14,Paramètres!$A$1:$I$89,3,0)*0.475*44/12</f>
        <v>0.50638521366529399</v>
      </c>
      <c r="ED146" s="22">
        <f t="shared" si="126"/>
        <v>147.39359348529817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173.07692307692307</v>
      </c>
      <c r="EK146" s="17">
        <f>EJ146*VLOOKUP('Données projet'!$B$15,Paramètres!$A$1:$I$89,3,0)*VLOOKUP('Données projet'!$B$15,Paramètres!$A$1:$I$89,5,0)</f>
        <v>175.5</v>
      </c>
      <c r="EL146" s="13">
        <f t="shared" si="153"/>
        <v>44.319548641773906</v>
      </c>
      <c r="EM146" s="20">
        <f t="shared" si="127"/>
        <v>382.85238055108954</v>
      </c>
      <c r="EN146" s="59">
        <f t="shared" si="128"/>
        <v>674.9097498898991</v>
      </c>
      <c r="EO146" s="59">
        <f ca="1">AVERAGE(OFFSET($EN$3,0,0,'Données projet'!$E$15+1,1))-AVERAGE(OFFSET($H$3,0,0,'Données projet'!$E$15+1,1))</f>
        <v>270.0029254736703</v>
      </c>
      <c r="EP146" s="59">
        <f t="shared" si="154"/>
        <v>183.80022202211441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7.155073899778003</v>
      </c>
      <c r="EW146" s="21">
        <f>EXP(-LN(2)/25)*EW145+(1-EXP(-LN(2)/25))/(LN(2)/25)*Calculateur!ER146*Calculateur!ET146*VLOOKUP('Données projet'!$B$15,Paramètres!$A$1:$I$89,3,0)*0.475*44/12</f>
        <v>6.8784218665162271</v>
      </c>
      <c r="EX146" s="21">
        <f>EXP(-LN(2)/2)*EX145+(1-EXP(-LN(2)/2))/(LN(2)/2)*ER146*EU146*VLOOKUP('Données projet'!$B$15,Paramètres!$A$1:$I$89,3,0)*0.475*44/12</f>
        <v>7.3587057744456933E-5</v>
      </c>
      <c r="EY146" s="22">
        <f t="shared" si="129"/>
        <v>14.033569353351975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-1.4897523215040567E-13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328.93328163316073</v>
      </c>
      <c r="FK146" s="59">
        <f t="shared" si="156"/>
        <v>320.27831321887072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13.231719767636472</v>
      </c>
      <c r="FR146" s="21">
        <f>EXP(-LN(2)/25)*FR145+(1-EXP(-LN(2)/25))/(LN(2)/25)*Calculateur!FM146*Calculateur!FO146*VLOOKUP('Données projet'!$B$16,Paramètres!$A$1:$I$89,3,0)*0.475*44/12</f>
        <v>8.1096006857158383</v>
      </c>
      <c r="FS146" s="21">
        <f>EXP(-LN(2)/2)*FS145+(1-EXP(-LN(2)/2))/(LN(2)/2)*FM146*FP146*VLOOKUP('Données projet'!$B$16,Paramètres!$A$1:$I$89,3,0)*0.475*44/12</f>
        <v>1.8793546138627308E-8</v>
      </c>
      <c r="FT146" s="22">
        <f t="shared" si="132"/>
        <v>21.341320472145856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173.07692307692307</v>
      </c>
      <c r="GA146" s="17">
        <f>FZ146*VLOOKUP('Données projet'!$B$17,Paramètres!$A$1:$I$89,3,0)*VLOOKUP('Données projet'!$B$17,Paramètres!$A$1:$I$89,5,0)</f>
        <v>116.1</v>
      </c>
      <c r="GB146" s="13">
        <f t="shared" si="157"/>
        <v>30.763646636385982</v>
      </c>
      <c r="GC146" s="20">
        <f t="shared" si="133"/>
        <v>255.78751789170556</v>
      </c>
      <c r="GD146" s="59">
        <f t="shared" si="134"/>
        <v>547.84488723051516</v>
      </c>
      <c r="GE146" s="59">
        <f ca="1">AVERAGE(OFFSET($GD$3,0,0,'Données projet'!$E$17+1,1))-AVERAGE(OFFSET($H$3,0,0,'Données projet'!$E$17+1,1))</f>
        <v>192.88444860121191</v>
      </c>
      <c r="GF146" s="59">
        <f t="shared" si="158"/>
        <v>136.13737493732751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5.8341371798189794</v>
      </c>
      <c r="GM146" s="21">
        <f>EXP(-LN(2)/25)*GM145+(1-EXP(-LN(2)/25))/(LN(2)/25)*Calculateur!GH146*Calculateur!GJ146*VLOOKUP('Données projet'!$B$17,Paramètres!$A$1:$I$89,3,0)*0.475*44/12</f>
        <v>5.608559368082461</v>
      </c>
      <c r="GN146" s="21">
        <f>EXP(-LN(2)/2)*GN145+(1-EXP(-LN(2)/2))/(LN(2)/2)*GH146*GK146*VLOOKUP('Données projet'!$B$17,Paramètres!$A$1:$I$89,3,0)*0.475*44/12</f>
        <v>4.8680668969409993E-5</v>
      </c>
      <c r="GO146" s="21">
        <f t="shared" si="135"/>
        <v>11.442745228570411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69.652009819675342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0.85000000000000009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3.1166666666666671</v>
      </c>
      <c r="H147" s="67">
        <f t="shared" si="110"/>
        <v>244.19999999999996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1286.4618768163214</v>
      </c>
      <c r="S147" s="59">
        <f ca="1">AVERAGE(OFFSET($R$3,0,0,'Données projet'!$E$9+1,1))-AVERAGE(OFFSET($H$3,0,0,'Données projet'!$E$9+1,1))</f>
        <v>643.492472896403</v>
      </c>
      <c r="T147" s="59">
        <f t="shared" si="142"/>
        <v>285.0259479655341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-2.8421709430404007E-13</v>
      </c>
      <c r="AJ147" s="13">
        <f>AI147*VLOOKUP('Données projet'!$B$10,Paramètres!$A$1:$I$89,3,0)*VLOOKUP('Données projet'!$B$10,Paramètres!$A$1:$I$89,5,0)</f>
        <v>-2.2168933355715128E-13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289.89907502443873</v>
      </c>
      <c r="AO147" s="59">
        <f t="shared" si="144"/>
        <v>267.42183550360301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9.076056383334965</v>
      </c>
      <c r="AV147" s="21">
        <f>EXP(-LN(2)/25)*AV146+(1-EXP(-LN(2)/25))/(LN(2)/25)*Calculateur!AQ147*Calculateur!AS147*VLOOKUP('Données projet'!$B$10,Paramètres!$A$1:$I$89,3,0)*0.475*44/12</f>
        <v>5.7852161009076166</v>
      </c>
      <c r="AW147" s="21">
        <f>EXP(-LN(2)/2)*AW146+(1-EXP(-LN(2)/2))/(LN(2)/2)*AQ147*AT147*VLOOKUP('Données projet'!$B$10,Paramètres!$A$1:$I$89,3,0)*0.475*44/12</f>
        <v>2.2001345842260542E-9</v>
      </c>
      <c r="AX147" s="21">
        <f t="shared" si="114"/>
        <v>14.861272486442717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-9.9475983006414026E-14</v>
      </c>
      <c r="BE147" s="13">
        <f>BD147*VLOOKUP('Données projet'!$B$11,Paramètres!$A$1:$I$89,3,0)*VLOOKUP('Données projet'!$B$11,Paramètres!$A$1:$I$89,5,0)</f>
        <v>-9.6213170763803652E-14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177.54241137663234</v>
      </c>
      <c r="BJ147" s="59">
        <f t="shared" si="146"/>
        <v>114.71095021456071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12.248646434289057</v>
      </c>
      <c r="BQ147" s="21">
        <f>EXP(-LN(2)/25)*BQ146+(1-EXP(-LN(2)/25))/(LN(2)/25)*Calculateur!BL147*Calculateur!BN147*VLOOKUP('Données projet'!$B$11,Paramètres!$A$1:$I$89,3,0)*0.475*44/12</f>
        <v>12.964399422389169</v>
      </c>
      <c r="BR147" s="21">
        <f>EXP(-LN(2)/2)*BR146+(1-EXP(-LN(2)/2))/(LN(2)/2)*BL147*BO147*VLOOKUP('Données projet'!$B$11,Paramètres!$A$1:$I$89,3,0)*0.475*44/12</f>
        <v>2.7891464362049768E-3</v>
      </c>
      <c r="BS147" s="22">
        <f t="shared" si="117"/>
        <v>25.215835003114432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-9.9475983006414026E-14</v>
      </c>
      <c r="BZ147" s="13">
        <f>BY147*VLOOKUP('Données projet'!$B$12,Paramètres!$A$1:$I$89,3,0)*VLOOKUP('Données projet'!$B$12,Paramètres!$A$1:$I$89,5,0)</f>
        <v>-1.0707594810810407E-13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192.88977161349993</v>
      </c>
      <c r="CE147" s="59">
        <f t="shared" si="148"/>
        <v>122.91376861456772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13.631558128482986</v>
      </c>
      <c r="CL147" s="21">
        <f>EXP(-LN(2)/25)*CL146+(1-EXP(-LN(2)/25))/(LN(2)/25)*Calculateur!CG147*Calculateur!CI147*VLOOKUP('Données projet'!$B$12,Paramètres!$A$1:$I$89,3,0)*0.475*44/12</f>
        <v>14.428121937820205</v>
      </c>
      <c r="CM147" s="21">
        <f>EXP(-LN(2)/2)*CM146+(1-EXP(-LN(2)/2))/(LN(2)/2)*CG147*CJ147*VLOOKUP('Données projet'!$B$12,Paramètres!$A$1:$I$89,3,0)*0.475*44/12</f>
        <v>3.1040500660990864E-3</v>
      </c>
      <c r="CN147" s="22">
        <f t="shared" si="120"/>
        <v>28.06278411636929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-8.5265128291212022E-14</v>
      </c>
      <c r="CU147" s="17">
        <f>CT147*VLOOKUP('Données projet'!$B$13,Paramètres!$A$1:$I$89,3,0)*VLOOKUP('Données projet'!$B$13,Paramètres!$A$1:$I$89,5,0)</f>
        <v>-6.9167072069831198E-14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163.16040389635825</v>
      </c>
      <c r="CZ147" s="59">
        <f t="shared" si="150"/>
        <v>138.57856782158811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3.6202267235508714</v>
      </c>
      <c r="DH147" s="21">
        <f>EXP(-LN(2)/2)*DH146+(1-EXP(-LN(2)/2))/(LN(2)/2)*DB147*DE147*VLOOKUP('Données projet'!$B$13,Paramètres!$A$1:$I$89,3,0)*0.475*44/12</f>
        <v>1.8660028594159106E-7</v>
      </c>
      <c r="DI147" s="22">
        <f t="shared" si="123"/>
        <v>3.6202269101511573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1.7053025658242404E-13</v>
      </c>
      <c r="DP147" s="17">
        <f>DO147*VLOOKUP('Données projet'!$B$14,Paramètres!$A$1:$I$89,3,0)*VLOOKUP('Données projet'!$B$14,Paramètres!$A$1:$I$89,5,0)</f>
        <v>7.9808160080574461E-14</v>
      </c>
      <c r="DQ147" s="13">
        <f t="shared" si="151"/>
        <v>1.2308384591775343E-12</v>
      </c>
      <c r="DR147" s="20">
        <f t="shared" si="124"/>
        <v>2.282709528541206E-12</v>
      </c>
      <c r="DS147" s="59">
        <f t="shared" si="125"/>
        <v>292.07950446148874</v>
      </c>
      <c r="DT147" s="59">
        <f ca="1">AVERAGE(OFFSET($DS$3,0,0,'Données projet'!$E$14+1,1))-AVERAGE(OFFSET($H$3,0,0,'Données projet'!$E$14+1,1))</f>
        <v>343.44193069803498</v>
      </c>
      <c r="DU147" s="59">
        <f t="shared" si="152"/>
        <v>280.67367019483481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112.43660882268179</v>
      </c>
      <c r="EB147" s="21">
        <f>EXP(-LN(2)/25)*EB146+(1-EXP(-LN(2)/25))/(LN(2)/25)*Calculateur!DW147*Calculateur!DY147*VLOOKUP('Données projet'!$B$14,Paramètres!$A$1:$I$89,3,0)*0.475*44/12</f>
        <v>31.321129508948875</v>
      </c>
      <c r="EC147" s="21">
        <f>EXP(-LN(2)/2)*EC146+(1-EXP(-LN(2)/2))/(LN(2)/2)*DW147*DZ147*VLOOKUP('Données projet'!$B$14,Paramètres!$A$1:$I$89,3,0)*0.475*44/12</f>
        <v>0.35806841847532817</v>
      </c>
      <c r="ED147" s="22">
        <f t="shared" si="126"/>
        <v>144.115806750106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173.07692307692307</v>
      </c>
      <c r="EK147" s="17">
        <f>EJ147*VLOOKUP('Données projet'!$B$15,Paramètres!$A$1:$I$89,3,0)*VLOOKUP('Données projet'!$B$15,Paramètres!$A$1:$I$89,5,0)</f>
        <v>175.5</v>
      </c>
      <c r="EL147" s="13">
        <f t="shared" si="153"/>
        <v>44.319548641773906</v>
      </c>
      <c r="EM147" s="20">
        <f t="shared" si="127"/>
        <v>382.85238055108954</v>
      </c>
      <c r="EN147" s="59">
        <f t="shared" si="128"/>
        <v>674.931885012576</v>
      </c>
      <c r="EO147" s="59">
        <f ca="1">AVERAGE(OFFSET($EN$3,0,0,'Données projet'!$E$15+1,1))-AVERAGE(OFFSET($H$3,0,0,'Données projet'!$E$15+1,1))</f>
        <v>270.0029254736703</v>
      </c>
      <c r="EP147" s="59">
        <f t="shared" si="154"/>
        <v>183.80022202211441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7.0147672647675101</v>
      </c>
      <c r="EW147" s="21">
        <f>EXP(-LN(2)/25)*EW146+(1-EXP(-LN(2)/25))/(LN(2)/25)*Calculateur!ER147*Calculateur!ET147*VLOOKUP('Données projet'!$B$15,Paramètres!$A$1:$I$89,3,0)*0.475*44/12</f>
        <v>6.6903310588558558</v>
      </c>
      <c r="EX147" s="21">
        <f>EXP(-LN(2)/2)*EX146+(1-EXP(-LN(2)/2))/(LN(2)/2)*ER147*EU147*VLOOKUP('Données projet'!$B$15,Paramètres!$A$1:$I$89,3,0)*0.475*44/12</f>
        <v>5.2033907538671547E-5</v>
      </c>
      <c r="EY147" s="22">
        <f t="shared" si="129"/>
        <v>13.705150357530904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-1.4897523215040567E-13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328.93328163316073</v>
      </c>
      <c r="FK147" s="59">
        <f t="shared" si="156"/>
        <v>320.27831321887072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12.972253813545278</v>
      </c>
      <c r="FR147" s="21">
        <f>EXP(-LN(2)/25)*FR146+(1-EXP(-LN(2)/25))/(LN(2)/25)*Calculateur!FM147*Calculateur!FO147*VLOOKUP('Données projet'!$B$16,Paramètres!$A$1:$I$89,3,0)*0.475*44/12</f>
        <v>7.8878432284995732</v>
      </c>
      <c r="FS147" s="21">
        <f>EXP(-LN(2)/2)*FS146+(1-EXP(-LN(2)/2))/(LN(2)/2)*FM147*FP147*VLOOKUP('Données projet'!$B$16,Paramètres!$A$1:$I$89,3,0)*0.475*44/12</f>
        <v>1.3289043917165625E-8</v>
      </c>
      <c r="FT147" s="22">
        <f t="shared" si="132"/>
        <v>20.860097055333892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173.07692307692307</v>
      </c>
      <c r="GA147" s="17">
        <f>FZ147*VLOOKUP('Données projet'!$B$17,Paramètres!$A$1:$I$89,3,0)*VLOOKUP('Données projet'!$B$17,Paramètres!$A$1:$I$89,5,0)</f>
        <v>116.1</v>
      </c>
      <c r="GB147" s="13">
        <f t="shared" si="157"/>
        <v>30.763646636385982</v>
      </c>
      <c r="GC147" s="20">
        <f t="shared" si="133"/>
        <v>255.78751789170556</v>
      </c>
      <c r="GD147" s="59">
        <f t="shared" si="134"/>
        <v>547.86702235319206</v>
      </c>
      <c r="GE147" s="59">
        <f ca="1">AVERAGE(OFFSET($GD$3,0,0,'Données projet'!$E$17+1,1))-AVERAGE(OFFSET($H$3,0,0,'Données projet'!$E$17+1,1))</f>
        <v>192.88444860121191</v>
      </c>
      <c r="GF147" s="59">
        <f t="shared" si="158"/>
        <v>136.13737493732751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5.719733308195039</v>
      </c>
      <c r="GM147" s="21">
        <f>EXP(-LN(2)/25)*GM146+(1-EXP(-LN(2)/25))/(LN(2)/25)*Calculateur!GH147*Calculateur!GJ147*VLOOKUP('Données projet'!$B$17,Paramètres!$A$1:$I$89,3,0)*0.475*44/12</f>
        <v>5.4551930172209273</v>
      </c>
      <c r="GN147" s="21">
        <f>EXP(-LN(2)/2)*GN146+(1-EXP(-LN(2)/2))/(LN(2)/2)*GH147*GK147*VLOOKUP('Données projet'!$B$17,Paramètres!$A$1:$I$89,3,0)*0.475*44/12</f>
        <v>3.4422431140967346E-5</v>
      </c>
      <c r="GO147" s="21">
        <f t="shared" si="135"/>
        <v>11.174960747847107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69.65804667131448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0.85000000000000009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3.1166666666666671</v>
      </c>
      <c r="H148" s="67">
        <f t="shared" si="110"/>
        <v>244.19999999999996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1187.2379767972782</v>
      </c>
      <c r="S148" s="59">
        <f ca="1">AVERAGE(OFFSET($R$3,0,0,'Données projet'!$E$9+1,1))-AVERAGE(OFFSET($H$3,0,0,'Données projet'!$E$9+1,1))</f>
        <v>643.492472896403</v>
      </c>
      <c r="T148" s="59">
        <f t="shared" si="142"/>
        <v>285.0259479655341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-2.8421709430404007E-13</v>
      </c>
      <c r="AJ148" s="13">
        <f>AI148*VLOOKUP('Données projet'!$B$10,Paramètres!$A$1:$I$89,3,0)*VLOOKUP('Données projet'!$B$10,Paramètres!$A$1:$I$89,5,0)</f>
        <v>-2.2168933355715128E-13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289.89907502443873</v>
      </c>
      <c r="AO148" s="59">
        <f t="shared" si="144"/>
        <v>267.42183550360301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8.8980804535055409</v>
      </c>
      <c r="AV148" s="21">
        <f>EXP(-LN(2)/25)*AV147+(1-EXP(-LN(2)/25))/(LN(2)/25)*Calculateur!AQ148*Calculateur!AS148*VLOOKUP('Données projet'!$B$10,Paramètres!$A$1:$I$89,3,0)*0.475*44/12</f>
        <v>5.6270190623970056</v>
      </c>
      <c r="AW148" s="21">
        <f>EXP(-LN(2)/2)*AW147+(1-EXP(-LN(2)/2))/(LN(2)/2)*AQ148*AT148*VLOOKUP('Données projet'!$B$10,Paramètres!$A$1:$I$89,3,0)*0.475*44/12</f>
        <v>1.5557300840292883E-9</v>
      </c>
      <c r="AX148" s="21">
        <f t="shared" si="114"/>
        <v>14.525099517458276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-9.9475983006414026E-14</v>
      </c>
      <c r="BE148" s="13">
        <f>BD148*VLOOKUP('Données projet'!$B$11,Paramètres!$A$1:$I$89,3,0)*VLOOKUP('Données projet'!$B$11,Paramètres!$A$1:$I$89,5,0)</f>
        <v>-9.6213170763803652E-14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177.54241137663234</v>
      </c>
      <c r="BJ148" s="59">
        <f t="shared" si="146"/>
        <v>114.71095021456071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12.00845794864928</v>
      </c>
      <c r="BQ148" s="21">
        <f>EXP(-LN(2)/25)*BQ147+(1-EXP(-LN(2)/25))/(LN(2)/25)*Calculateur!BL148*Calculateur!BN148*VLOOKUP('Données projet'!$B$11,Paramètres!$A$1:$I$89,3,0)*0.475*44/12</f>
        <v>12.609887238415803</v>
      </c>
      <c r="BR148" s="21">
        <f>EXP(-LN(2)/2)*BR147+(1-EXP(-LN(2)/2))/(LN(2)/2)*BL148*BO148*VLOOKUP('Données projet'!$B$11,Paramètres!$A$1:$I$89,3,0)*0.475*44/12</f>
        <v>1.9722243587628314E-3</v>
      </c>
      <c r="BS148" s="22">
        <f t="shared" si="117"/>
        <v>24.620317411423844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-9.9475983006414026E-14</v>
      </c>
      <c r="BZ148" s="13">
        <f>BY148*VLOOKUP('Données projet'!$B$12,Paramètres!$A$1:$I$89,3,0)*VLOOKUP('Données projet'!$B$12,Paramètres!$A$1:$I$89,5,0)</f>
        <v>-1.0707594810810407E-13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192.88977161349993</v>
      </c>
      <c r="CE148" s="59">
        <f t="shared" si="148"/>
        <v>122.91376861456772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13.364251588012911</v>
      </c>
      <c r="CL148" s="21">
        <f>EXP(-LN(2)/25)*CL147+(1-EXP(-LN(2)/25))/(LN(2)/25)*Calculateur!CG148*Calculateur!CI148*VLOOKUP('Données projet'!$B$12,Paramètres!$A$1:$I$89,3,0)*0.475*44/12</f>
        <v>14.033584184688554</v>
      </c>
      <c r="CM148" s="21">
        <f>EXP(-LN(2)/2)*CM147+(1-EXP(-LN(2)/2))/(LN(2)/2)*CG148*CJ148*VLOOKUP('Données projet'!$B$12,Paramètres!$A$1:$I$89,3,0)*0.475*44/12</f>
        <v>2.1948948508812151E-3</v>
      </c>
      <c r="CN148" s="22">
        <f t="shared" si="120"/>
        <v>27.400030667552343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-8.5265128291212022E-14</v>
      </c>
      <c r="CU148" s="17">
        <f>CT148*VLOOKUP('Données projet'!$B$13,Paramètres!$A$1:$I$89,3,0)*VLOOKUP('Données projet'!$B$13,Paramètres!$A$1:$I$89,5,0)</f>
        <v>-6.9167072069831198E-14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163.16040389635825</v>
      </c>
      <c r="CZ148" s="59">
        <f t="shared" si="150"/>
        <v>138.57856782158811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3.5212314334159234</v>
      </c>
      <c r="DH148" s="21">
        <f>EXP(-LN(2)/2)*DH147+(1-EXP(-LN(2)/2))/(LN(2)/2)*DB148*DE148*VLOOKUP('Données projet'!$B$13,Paramètres!$A$1:$I$89,3,0)*0.475*44/12</f>
        <v>1.3194632756064783E-7</v>
      </c>
      <c r="DI148" s="22">
        <f t="shared" si="123"/>
        <v>3.521231565362251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1.7053025658242404E-13</v>
      </c>
      <c r="DP148" s="17">
        <f>DO148*VLOOKUP('Données projet'!$B$14,Paramètres!$A$1:$I$89,3,0)*VLOOKUP('Données projet'!$B$14,Paramètres!$A$1:$I$89,5,0)</f>
        <v>7.9808160080574461E-14</v>
      </c>
      <c r="DQ148" s="13">
        <f t="shared" si="151"/>
        <v>1.2308384591775343E-12</v>
      </c>
      <c r="DR148" s="20">
        <f t="shared" si="124"/>
        <v>2.282709528541206E-12</v>
      </c>
      <c r="DS148" s="59">
        <f t="shared" si="125"/>
        <v>292.10125558927388</v>
      </c>
      <c r="DT148" s="59">
        <f ca="1">AVERAGE(OFFSET($DS$3,0,0,'Données projet'!$E$14+1,1))-AVERAGE(OFFSET($H$3,0,0,'Données projet'!$E$14+1,1))</f>
        <v>343.44193069803498</v>
      </c>
      <c r="DU148" s="59">
        <f t="shared" si="152"/>
        <v>280.67367019483481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110.23179550322871</v>
      </c>
      <c r="EB148" s="21">
        <f>EXP(-LN(2)/25)*EB147+(1-EXP(-LN(2)/25))/(LN(2)/25)*Calculateur!DW148*Calculateur!DY148*VLOOKUP('Données projet'!$B$14,Paramètres!$A$1:$I$89,3,0)*0.475*44/12</f>
        <v>30.464651575420053</v>
      </c>
      <c r="EC148" s="21">
        <f>EXP(-LN(2)/2)*EC147+(1-EXP(-LN(2)/2))/(LN(2)/2)*DW148*DZ148*VLOOKUP('Données projet'!$B$14,Paramètres!$A$1:$I$89,3,0)*0.475*44/12</f>
        <v>0.25319260683264699</v>
      </c>
      <c r="ED148" s="22">
        <f t="shared" si="126"/>
        <v>140.9496396854814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173.07692307692307</v>
      </c>
      <c r="EK148" s="17">
        <f>EJ148*VLOOKUP('Données projet'!$B$15,Paramètres!$A$1:$I$89,3,0)*VLOOKUP('Données projet'!$B$15,Paramètres!$A$1:$I$89,5,0)</f>
        <v>175.5</v>
      </c>
      <c r="EL148" s="13">
        <f t="shared" si="153"/>
        <v>44.319548641773906</v>
      </c>
      <c r="EM148" s="20">
        <f t="shared" si="127"/>
        <v>382.85238055108954</v>
      </c>
      <c r="EN148" s="59">
        <f t="shared" si="128"/>
        <v>674.95363614036114</v>
      </c>
      <c r="EO148" s="59">
        <f ca="1">AVERAGE(OFFSET($EN$3,0,0,'Données projet'!$E$15+1,1))-AVERAGE(OFFSET($H$3,0,0,'Données projet'!$E$15+1,1))</f>
        <v>270.0029254736703</v>
      </c>
      <c r="EP148" s="59">
        <f t="shared" si="154"/>
        <v>183.80022202211441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6.8772119572909753</v>
      </c>
      <c r="EW148" s="21">
        <f>EXP(-LN(2)/25)*EW147+(1-EXP(-LN(2)/25))/(LN(2)/25)*Calculateur!ER148*Calculateur!ET148*VLOOKUP('Données projet'!$B$15,Paramètres!$A$1:$I$89,3,0)*0.475*44/12</f>
        <v>6.5073836042222233</v>
      </c>
      <c r="EX148" s="21">
        <f>EXP(-LN(2)/2)*EX147+(1-EXP(-LN(2)/2))/(LN(2)/2)*ER148*EU148*VLOOKUP('Données projet'!$B$15,Paramètres!$A$1:$I$89,3,0)*0.475*44/12</f>
        <v>3.6793528872228467E-5</v>
      </c>
      <c r="EY148" s="22">
        <f t="shared" si="129"/>
        <v>13.38463235504207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-1.4897523215040567E-13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328.93328163316073</v>
      </c>
      <c r="FK148" s="59">
        <f t="shared" si="156"/>
        <v>320.27831321887072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12.717875828555206</v>
      </c>
      <c r="FR148" s="21">
        <f>EXP(-LN(2)/25)*FR147+(1-EXP(-LN(2)/25))/(LN(2)/25)*Calculateur!FM148*Calculateur!FO148*VLOOKUP('Données projet'!$B$16,Paramètres!$A$1:$I$89,3,0)*0.475*44/12</f>
        <v>7.6721497406126051</v>
      </c>
      <c r="FS148" s="21">
        <f>EXP(-LN(2)/2)*FS147+(1-EXP(-LN(2)/2))/(LN(2)/2)*FM148*FP148*VLOOKUP('Données projet'!$B$16,Paramètres!$A$1:$I$89,3,0)*0.475*44/12</f>
        <v>9.3967730693136542E-9</v>
      </c>
      <c r="FT148" s="22">
        <f t="shared" si="132"/>
        <v>20.390025578564583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173.07692307692307</v>
      </c>
      <c r="GA148" s="17">
        <f>FZ148*VLOOKUP('Données projet'!$B$17,Paramètres!$A$1:$I$89,3,0)*VLOOKUP('Données projet'!$B$17,Paramètres!$A$1:$I$89,5,0)</f>
        <v>116.1</v>
      </c>
      <c r="GB148" s="13">
        <f t="shared" si="157"/>
        <v>30.763646636385982</v>
      </c>
      <c r="GC148" s="20">
        <f t="shared" si="133"/>
        <v>255.78751789170556</v>
      </c>
      <c r="GD148" s="59">
        <f t="shared" si="134"/>
        <v>547.88877348097719</v>
      </c>
      <c r="GE148" s="59">
        <f ca="1">AVERAGE(OFFSET($GD$3,0,0,'Données projet'!$E$17+1,1))-AVERAGE(OFFSET($H$3,0,0,'Données projet'!$E$17+1,1))</f>
        <v>192.88444860121191</v>
      </c>
      <c r="GF148" s="59">
        <f t="shared" si="158"/>
        <v>136.13737493732751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5.6075728267141729</v>
      </c>
      <c r="GM148" s="21">
        <f>EXP(-LN(2)/25)*GM147+(1-EXP(-LN(2)/25))/(LN(2)/25)*Calculateur!GH148*Calculateur!GJ148*VLOOKUP('Données projet'!$B$17,Paramètres!$A$1:$I$89,3,0)*0.475*44/12</f>
        <v>5.3060204772888886</v>
      </c>
      <c r="GN148" s="21">
        <f>EXP(-LN(2)/2)*GN147+(1-EXP(-LN(2)/2))/(LN(2)/2)*GH148*GK148*VLOOKUP('Données projet'!$B$17,Paramètres!$A$1:$I$89,3,0)*0.475*44/12</f>
        <v>2.4340334484704996E-5</v>
      </c>
      <c r="GO148" s="21">
        <f t="shared" si="135"/>
        <v>10.913617644337545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69.663978797074066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0.85000000000000009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3.1166666666666671</v>
      </c>
      <c r="H149" s="67">
        <f t="shared" si="110"/>
        <v>244.19999999999996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1204.9332928751753</v>
      </c>
      <c r="S149" s="59">
        <f ca="1">AVERAGE(OFFSET($R$3,0,0,'Données projet'!$E$9+1,1))-AVERAGE(OFFSET($H$3,0,0,'Données projet'!$E$9+1,1))</f>
        <v>643.492472896403</v>
      </c>
      <c r="T149" s="59">
        <f t="shared" si="142"/>
        <v>285.0259479655341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-2.8421709430404007E-13</v>
      </c>
      <c r="AJ149" s="13">
        <f>AI149*VLOOKUP('Données projet'!$B$10,Paramètres!$A$1:$I$89,3,0)*VLOOKUP('Données projet'!$B$10,Paramètres!$A$1:$I$89,5,0)</f>
        <v>-2.2168933355715128E-13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289.89907502443873</v>
      </c>
      <c r="AO149" s="59">
        <f t="shared" si="144"/>
        <v>267.42183550360301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8.7235945231054739</v>
      </c>
      <c r="AV149" s="21">
        <f>EXP(-LN(2)/25)*AV148+(1-EXP(-LN(2)/25))/(LN(2)/25)*Calculateur!AQ149*Calculateur!AS149*VLOOKUP('Données projet'!$B$10,Paramètres!$A$1:$I$89,3,0)*0.475*44/12</f>
        <v>5.4731479302236874</v>
      </c>
      <c r="AW149" s="21">
        <f>EXP(-LN(2)/2)*AW148+(1-EXP(-LN(2)/2))/(LN(2)/2)*AQ149*AT149*VLOOKUP('Données projet'!$B$10,Paramètres!$A$1:$I$89,3,0)*0.475*44/12</f>
        <v>1.1000672921130271E-9</v>
      </c>
      <c r="AX149" s="21">
        <f t="shared" si="114"/>
        <v>14.196742454429229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-9.9475983006414026E-14</v>
      </c>
      <c r="BE149" s="13">
        <f>BD149*VLOOKUP('Données projet'!$B$11,Paramètres!$A$1:$I$89,3,0)*VLOOKUP('Données projet'!$B$11,Paramètres!$A$1:$I$89,5,0)</f>
        <v>-9.6213170763803652E-14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177.54241137663234</v>
      </c>
      <c r="BJ149" s="59">
        <f t="shared" si="146"/>
        <v>114.71095021456071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11.772979412712388</v>
      </c>
      <c r="BQ149" s="21">
        <f>EXP(-LN(2)/25)*BQ148+(1-EXP(-LN(2)/25))/(LN(2)/25)*Calculateur!BL149*Calculateur!BN149*VLOOKUP('Données projet'!$B$11,Paramètres!$A$1:$I$89,3,0)*0.475*44/12</f>
        <v>12.265069208756174</v>
      </c>
      <c r="BR149" s="21">
        <f>EXP(-LN(2)/2)*BR148+(1-EXP(-LN(2)/2))/(LN(2)/2)*BL149*BO149*VLOOKUP('Données projet'!$B$11,Paramètres!$A$1:$I$89,3,0)*0.475*44/12</f>
        <v>1.3945732181024884E-3</v>
      </c>
      <c r="BS149" s="22">
        <f t="shared" si="117"/>
        <v>24.039443194686665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-9.9475983006414026E-14</v>
      </c>
      <c r="BZ149" s="13">
        <f>BY149*VLOOKUP('Données projet'!$B$12,Paramètres!$A$1:$I$89,3,0)*VLOOKUP('Données projet'!$B$12,Paramètres!$A$1:$I$89,5,0)</f>
        <v>-1.0707594810810407E-13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192.88977161349993</v>
      </c>
      <c r="CE149" s="59">
        <f t="shared" si="148"/>
        <v>122.91376861456772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13.102186765760564</v>
      </c>
      <c r="CL149" s="21">
        <f>EXP(-LN(2)/25)*CL148+(1-EXP(-LN(2)/25))/(LN(2)/25)*Calculateur!CG149*Calculateur!CI149*VLOOKUP('Données projet'!$B$12,Paramètres!$A$1:$I$89,3,0)*0.475*44/12</f>
        <v>13.649835087164128</v>
      </c>
      <c r="CM149" s="21">
        <f>EXP(-LN(2)/2)*CM148+(1-EXP(-LN(2)/2))/(LN(2)/2)*CG149*CJ149*VLOOKUP('Données projet'!$B$12,Paramètres!$A$1:$I$89,3,0)*0.475*44/12</f>
        <v>1.5520250330495432E-3</v>
      </c>
      <c r="CN149" s="22">
        <f t="shared" si="120"/>
        <v>26.753573877957741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-8.5265128291212022E-14</v>
      </c>
      <c r="CU149" s="17">
        <f>CT149*VLOOKUP('Données projet'!$B$13,Paramètres!$A$1:$I$89,3,0)*VLOOKUP('Données projet'!$B$13,Paramètres!$A$1:$I$89,5,0)</f>
        <v>-6.9167072069831198E-14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163.16040389635825</v>
      </c>
      <c r="CZ149" s="59">
        <f t="shared" si="150"/>
        <v>138.57856782158811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3.4249431746956516</v>
      </c>
      <c r="DH149" s="21">
        <f>EXP(-LN(2)/2)*DH148+(1-EXP(-LN(2)/2))/(LN(2)/2)*DB149*DE149*VLOOKUP('Données projet'!$B$13,Paramètres!$A$1:$I$89,3,0)*0.475*44/12</f>
        <v>9.3300142970795532E-8</v>
      </c>
      <c r="DI149" s="22">
        <f t="shared" si="123"/>
        <v>3.4249432679957947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1.7053025658242404E-13</v>
      </c>
      <c r="DP149" s="17">
        <f>DO149*VLOOKUP('Données projet'!$B$14,Paramètres!$A$1:$I$89,3,0)*VLOOKUP('Données projet'!$B$14,Paramètres!$A$1:$I$89,5,0)</f>
        <v>7.9808160080574461E-14</v>
      </c>
      <c r="DQ149" s="13">
        <f t="shared" si="151"/>
        <v>1.2308384591775343E-12</v>
      </c>
      <c r="DR149" s="20">
        <f t="shared" si="124"/>
        <v>2.282709528541206E-12</v>
      </c>
      <c r="DS149" s="59">
        <f t="shared" si="125"/>
        <v>292.12262938362011</v>
      </c>
      <c r="DT149" s="59">
        <f ca="1">AVERAGE(OFFSET($DS$3,0,0,'Données projet'!$E$14+1,1))-AVERAGE(OFFSET($H$3,0,0,'Données projet'!$E$14+1,1))</f>
        <v>343.44193069803498</v>
      </c>
      <c r="DU149" s="59">
        <f t="shared" si="152"/>
        <v>280.67367019483481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108.07021722816677</v>
      </c>
      <c r="EB149" s="21">
        <f>EXP(-LN(2)/25)*EB148+(1-EXP(-LN(2)/25))/(LN(2)/25)*Calculateur!DW149*Calculateur!DY149*VLOOKUP('Données projet'!$B$14,Paramètres!$A$1:$I$89,3,0)*0.475*44/12</f>
        <v>29.631594076023791</v>
      </c>
      <c r="EC149" s="21">
        <f>EXP(-LN(2)/2)*EC148+(1-EXP(-LN(2)/2))/(LN(2)/2)*DW149*DZ149*VLOOKUP('Données projet'!$B$14,Paramètres!$A$1:$I$89,3,0)*0.475*44/12</f>
        <v>0.17903420923766408</v>
      </c>
      <c r="ED149" s="22">
        <f t="shared" si="126"/>
        <v>137.88084551342823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173.07692307692307</v>
      </c>
      <c r="EK149" s="17">
        <f>EJ149*VLOOKUP('Données projet'!$B$15,Paramètres!$A$1:$I$89,3,0)*VLOOKUP('Données projet'!$B$15,Paramètres!$A$1:$I$89,5,0)</f>
        <v>175.5</v>
      </c>
      <c r="EL149" s="13">
        <f t="shared" si="153"/>
        <v>44.319548641773906</v>
      </c>
      <c r="EM149" s="20">
        <f t="shared" si="127"/>
        <v>382.85238055108954</v>
      </c>
      <c r="EN149" s="59">
        <f t="shared" si="128"/>
        <v>674.97500993470737</v>
      </c>
      <c r="EO149" s="59">
        <f ca="1">AVERAGE(OFFSET($EN$3,0,0,'Données projet'!$E$15+1,1))-AVERAGE(OFFSET($H$3,0,0,'Données projet'!$E$15+1,1))</f>
        <v>270.0029254736703</v>
      </c>
      <c r="EP149" s="59">
        <f t="shared" si="154"/>
        <v>183.80022202211441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6.7423540254936025</v>
      </c>
      <c r="EW149" s="21">
        <f>EXP(-LN(2)/25)*EW148+(1-EXP(-LN(2)/25))/(LN(2)/25)*Calculateur!ER149*Calculateur!ET149*VLOOKUP('Données projet'!$B$15,Paramètres!$A$1:$I$89,3,0)*0.475*44/12</f>
        <v>6.3294388573563358</v>
      </c>
      <c r="EX149" s="21">
        <f>EXP(-LN(2)/2)*EX148+(1-EXP(-LN(2)/2))/(LN(2)/2)*ER149*EU149*VLOOKUP('Données projet'!$B$15,Paramètres!$A$1:$I$89,3,0)*0.475*44/12</f>
        <v>2.6016953769335774E-5</v>
      </c>
      <c r="EY149" s="22">
        <f t="shared" si="129"/>
        <v>13.071818899803707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-1.4897523215040567E-13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328.93328163316073</v>
      </c>
      <c r="FK149" s="59">
        <f t="shared" si="156"/>
        <v>320.27831321887072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12.46848604069554</v>
      </c>
      <c r="FR149" s="21">
        <f>EXP(-LN(2)/25)*FR148+(1-EXP(-LN(2)/25))/(LN(2)/25)*Calculateur!FM149*Calculateur!FO149*VLOOKUP('Données projet'!$B$16,Paramètres!$A$1:$I$89,3,0)*0.475*44/12</f>
        <v>7.4623544024947339</v>
      </c>
      <c r="FS149" s="21">
        <f>EXP(-LN(2)/2)*FS148+(1-EXP(-LN(2)/2))/(LN(2)/2)*FM149*FP149*VLOOKUP('Données projet'!$B$16,Paramètres!$A$1:$I$89,3,0)*0.475*44/12</f>
        <v>6.6445219585828127E-9</v>
      </c>
      <c r="FT149" s="22">
        <f t="shared" si="132"/>
        <v>19.930840449834797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173.07692307692307</v>
      </c>
      <c r="GA149" s="17">
        <f>FZ149*VLOOKUP('Données projet'!$B$17,Paramètres!$A$1:$I$89,3,0)*VLOOKUP('Données projet'!$B$17,Paramètres!$A$1:$I$89,5,0)</f>
        <v>116.1</v>
      </c>
      <c r="GB149" s="13">
        <f t="shared" si="157"/>
        <v>30.763646636385982</v>
      </c>
      <c r="GC149" s="20">
        <f t="shared" si="133"/>
        <v>255.78751789170556</v>
      </c>
      <c r="GD149" s="59">
        <f t="shared" si="134"/>
        <v>547.91014727532342</v>
      </c>
      <c r="GE149" s="59">
        <f ca="1">AVERAGE(OFFSET($GD$3,0,0,'Données projet'!$E$17+1,1))-AVERAGE(OFFSET($H$3,0,0,'Données projet'!$E$17+1,1))</f>
        <v>192.88444860121191</v>
      </c>
      <c r="GF149" s="59">
        <f t="shared" si="158"/>
        <v>136.13737493732751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5.4976117438640077</v>
      </c>
      <c r="GM149" s="21">
        <f>EXP(-LN(2)/25)*GM148+(1-EXP(-LN(2)/25))/(LN(2)/25)*Calculateur!GH149*Calculateur!GJ149*VLOOKUP('Données projet'!$B$17,Paramètres!$A$1:$I$89,3,0)*0.475*44/12</f>
        <v>5.1609270683059343</v>
      </c>
      <c r="GN149" s="21">
        <f>EXP(-LN(2)/2)*GN148+(1-EXP(-LN(2)/2))/(LN(2)/2)*GH149*GK149*VLOOKUP('Données projet'!$B$17,Paramètres!$A$1:$I$89,3,0)*0.475*44/12</f>
        <v>1.7211215570483673E-5</v>
      </c>
      <c r="GO149" s="21">
        <f t="shared" si="135"/>
        <v>10.658556023385513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69.669808013713961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0.85000000000000009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3.1166666666666671</v>
      </c>
      <c r="H150" s="67">
        <f t="shared" si="110"/>
        <v>244.19999999999996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1222.6214209951295</v>
      </c>
      <c r="S150" s="59">
        <f ca="1">AVERAGE(OFFSET($R$3,0,0,'Données projet'!$E$9+1,1))-AVERAGE(OFFSET($H$3,0,0,'Données projet'!$E$9+1,1))</f>
        <v>643.492472896403</v>
      </c>
      <c r="T150" s="59">
        <f t="shared" si="142"/>
        <v>285.0259479655341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-2.8421709430404007E-13</v>
      </c>
      <c r="AJ150" s="13">
        <f>AI150*VLOOKUP('Données projet'!$B$10,Paramètres!$A$1:$I$89,3,0)*VLOOKUP('Données projet'!$B$10,Paramètres!$A$1:$I$89,5,0)</f>
        <v>-2.2168933355715128E-13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289.89907502443873</v>
      </c>
      <c r="AO150" s="59">
        <f t="shared" si="144"/>
        <v>267.42183550360301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8.552530155374642</v>
      </c>
      <c r="AV150" s="21">
        <f>EXP(-LN(2)/25)*AV149+(1-EXP(-LN(2)/25))/(LN(2)/25)*Calculateur!AQ150*Calculateur!AS150*VLOOKUP('Données projet'!$B$10,Paramètres!$A$1:$I$89,3,0)*0.475*44/12</f>
        <v>5.3234844122513802</v>
      </c>
      <c r="AW150" s="21">
        <f>EXP(-LN(2)/2)*AW149+(1-EXP(-LN(2)/2))/(LN(2)/2)*AQ150*AT150*VLOOKUP('Données projet'!$B$10,Paramètres!$A$1:$I$89,3,0)*0.475*44/12</f>
        <v>7.7786504201464414E-10</v>
      </c>
      <c r="AX150" s="21">
        <f t="shared" si="114"/>
        <v>13.876014568403887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-9.9475983006414026E-14</v>
      </c>
      <c r="BE150" s="13">
        <f>BD150*VLOOKUP('Données projet'!$B$11,Paramètres!$A$1:$I$89,3,0)*VLOOKUP('Données projet'!$B$11,Paramètres!$A$1:$I$89,5,0)</f>
        <v>-9.6213170763803652E-14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177.54241137663234</v>
      </c>
      <c r="BJ150" s="59">
        <f t="shared" si="146"/>
        <v>114.71095021456071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11.542118467237493</v>
      </c>
      <c r="BQ150" s="21">
        <f>EXP(-LN(2)/25)*BQ149+(1-EXP(-LN(2)/25))/(LN(2)/25)*Calculateur!BL150*Calculateur!BN150*VLOOKUP('Données projet'!$B$11,Paramètres!$A$1:$I$89,3,0)*0.475*44/12</f>
        <v>11.929680246250779</v>
      </c>
      <c r="BR150" s="21">
        <f>EXP(-LN(2)/2)*BR149+(1-EXP(-LN(2)/2))/(LN(2)/2)*BL150*BO150*VLOOKUP('Données projet'!$B$11,Paramètres!$A$1:$I$89,3,0)*0.475*44/12</f>
        <v>9.8611217938141568E-4</v>
      </c>
      <c r="BS150" s="22">
        <f t="shared" si="117"/>
        <v>23.472784825667652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-9.9475983006414026E-14</v>
      </c>
      <c r="BZ150" s="13">
        <f>BY150*VLOOKUP('Données projet'!$B$12,Paramètres!$A$1:$I$89,3,0)*VLOOKUP('Données projet'!$B$12,Paramètres!$A$1:$I$89,5,0)</f>
        <v>-1.0707594810810407E-13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192.88977161349993</v>
      </c>
      <c r="CE150" s="59">
        <f t="shared" si="148"/>
        <v>122.91376861456772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12.845260874828828</v>
      </c>
      <c r="CL150" s="21">
        <f>EXP(-LN(2)/25)*CL149+(1-EXP(-LN(2)/25))/(LN(2)/25)*Calculateur!CG150*Calculateur!CI150*VLOOKUP('Données projet'!$B$12,Paramètres!$A$1:$I$89,3,0)*0.475*44/12</f>
        <v>13.276579628891994</v>
      </c>
      <c r="CM150" s="21">
        <f>EXP(-LN(2)/2)*CM149+(1-EXP(-LN(2)/2))/(LN(2)/2)*CG150*CJ150*VLOOKUP('Données projet'!$B$12,Paramètres!$A$1:$I$89,3,0)*0.475*44/12</f>
        <v>1.0974474254406075E-3</v>
      </c>
      <c r="CN150" s="22">
        <f t="shared" si="120"/>
        <v>26.122937951146262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-8.5265128291212022E-14</v>
      </c>
      <c r="CU150" s="17">
        <f>CT150*VLOOKUP('Données projet'!$B$13,Paramètres!$A$1:$I$89,3,0)*VLOOKUP('Données projet'!$B$13,Paramètres!$A$1:$I$89,5,0)</f>
        <v>-6.9167072069831198E-14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163.16040389635825</v>
      </c>
      <c r="CZ150" s="59">
        <f t="shared" si="150"/>
        <v>138.57856782158811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3.3312879234736652</v>
      </c>
      <c r="DH150" s="21">
        <f>EXP(-LN(2)/2)*DH149+(1-EXP(-LN(2)/2))/(LN(2)/2)*DB150*DE150*VLOOKUP('Données projet'!$B$13,Paramètres!$A$1:$I$89,3,0)*0.475*44/12</f>
        <v>6.5973163780323915E-8</v>
      </c>
      <c r="DI150" s="22">
        <f t="shared" si="123"/>
        <v>3.331287989446829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1.7053025658242404E-13</v>
      </c>
      <c r="DP150" s="17">
        <f>DO150*VLOOKUP('Données projet'!$B$14,Paramètres!$A$1:$I$89,3,0)*VLOOKUP('Données projet'!$B$14,Paramètres!$A$1:$I$89,5,0)</f>
        <v>7.9808160080574461E-14</v>
      </c>
      <c r="DQ150" s="13">
        <f t="shared" si="151"/>
        <v>1.2308384591775343E-12</v>
      </c>
      <c r="DR150" s="20">
        <f t="shared" si="124"/>
        <v>2.282709528541206E-12</v>
      </c>
      <c r="DS150" s="59">
        <f t="shared" si="125"/>
        <v>292.1436323904191</v>
      </c>
      <c r="DT150" s="59">
        <f ca="1">AVERAGE(OFFSET($DS$3,0,0,'Données projet'!$E$14+1,1))-AVERAGE(OFFSET($H$3,0,0,'Données projet'!$E$14+1,1))</f>
        <v>343.44193069803498</v>
      </c>
      <c r="DU150" s="59">
        <f t="shared" si="152"/>
        <v>280.67367019483481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105.95102618464622</v>
      </c>
      <c r="EB150" s="21">
        <f>EXP(-LN(2)/25)*EB149+(1-EXP(-LN(2)/25))/(LN(2)/25)*Calculateur!DW150*Calculateur!DY150*VLOOKUP('Données projet'!$B$14,Paramètres!$A$1:$I$89,3,0)*0.475*44/12</f>
        <v>28.821316577757113</v>
      </c>
      <c r="EC150" s="21">
        <f>EXP(-LN(2)/2)*EC149+(1-EXP(-LN(2)/2))/(LN(2)/2)*DW150*DZ150*VLOOKUP('Données projet'!$B$14,Paramètres!$A$1:$I$89,3,0)*0.475*44/12</f>
        <v>0.1265963034163235</v>
      </c>
      <c r="ED150" s="22">
        <f t="shared" si="126"/>
        <v>134.89893906581966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173.07692307692307</v>
      </c>
      <c r="EK150" s="17">
        <f>EJ150*VLOOKUP('Données projet'!$B$15,Paramètres!$A$1:$I$89,3,0)*VLOOKUP('Données projet'!$B$15,Paramètres!$A$1:$I$89,5,0)</f>
        <v>175.5</v>
      </c>
      <c r="EL150" s="13">
        <f t="shared" si="153"/>
        <v>44.319548641773906</v>
      </c>
      <c r="EM150" s="20">
        <f t="shared" si="127"/>
        <v>382.85238055108954</v>
      </c>
      <c r="EN150" s="59">
        <f t="shared" si="128"/>
        <v>674.99601294150636</v>
      </c>
      <c r="EO150" s="59">
        <f ca="1">AVERAGE(OFFSET($EN$3,0,0,'Données projet'!$E$15+1,1))-AVERAGE(OFFSET($H$3,0,0,'Données projet'!$E$15+1,1))</f>
        <v>270.0029254736703</v>
      </c>
      <c r="EP150" s="59">
        <f t="shared" si="154"/>
        <v>183.80022202211441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6.6101405754835598</v>
      </c>
      <c r="EW150" s="21">
        <f>EXP(-LN(2)/25)*EW149+(1-EXP(-LN(2)/25))/(LN(2)/25)*Calculateur!ER150*Calculateur!ET150*VLOOKUP('Données projet'!$B$15,Paramètres!$A$1:$I$89,3,0)*0.475*44/12</f>
        <v>6.1563600189512035</v>
      </c>
      <c r="EX150" s="21">
        <f>EXP(-LN(2)/2)*EX149+(1-EXP(-LN(2)/2))/(LN(2)/2)*ER150*EU150*VLOOKUP('Données projet'!$B$15,Paramètres!$A$1:$I$89,3,0)*0.475*44/12</f>
        <v>1.8396764436114233E-5</v>
      </c>
      <c r="EY150" s="22">
        <f t="shared" si="129"/>
        <v>12.766518991199199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-1.4897523215040567E-13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328.93328163316073</v>
      </c>
      <c r="FK150" s="59">
        <f t="shared" si="156"/>
        <v>320.27831321887072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12.223986634463051</v>
      </c>
      <c r="FR150" s="21">
        <f>EXP(-LN(2)/25)*FR149+(1-EXP(-LN(2)/25))/(LN(2)/25)*Calculateur!FM150*Calculateur!FO150*VLOOKUP('Données projet'!$B$16,Paramètres!$A$1:$I$89,3,0)*0.475*44/12</f>
        <v>7.2582959289303526</v>
      </c>
      <c r="FS150" s="21">
        <f>EXP(-LN(2)/2)*FS149+(1-EXP(-LN(2)/2))/(LN(2)/2)*FM150*FP150*VLOOKUP('Données projet'!$B$16,Paramètres!$A$1:$I$89,3,0)*0.475*44/12</f>
        <v>4.6983865346568271E-9</v>
      </c>
      <c r="FT150" s="22">
        <f t="shared" si="132"/>
        <v>19.48228256809179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173.07692307692307</v>
      </c>
      <c r="GA150" s="17">
        <f>FZ150*VLOOKUP('Données projet'!$B$17,Paramètres!$A$1:$I$89,3,0)*VLOOKUP('Données projet'!$B$17,Paramètres!$A$1:$I$89,5,0)</f>
        <v>116.1</v>
      </c>
      <c r="GB150" s="13">
        <f t="shared" si="157"/>
        <v>30.763646636385982</v>
      </c>
      <c r="GC150" s="20">
        <f t="shared" si="133"/>
        <v>255.78751789170556</v>
      </c>
      <c r="GD150" s="59">
        <f t="shared" si="134"/>
        <v>547.93115028212242</v>
      </c>
      <c r="GE150" s="59">
        <f ca="1">AVERAGE(OFFSET($GD$3,0,0,'Données projet'!$E$17+1,1))-AVERAGE(OFFSET($H$3,0,0,'Données projet'!$E$17+1,1))</f>
        <v>192.88444860121191</v>
      </c>
      <c r="GF150" s="59">
        <f t="shared" si="158"/>
        <v>136.13737493732751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5.3898069307788958</v>
      </c>
      <c r="GM150" s="21">
        <f>EXP(-LN(2)/25)*GM149+(1-EXP(-LN(2)/25))/(LN(2)/25)*Calculateur!GH150*Calculateur!GJ150*VLOOKUP('Données projet'!$B$17,Paramètres!$A$1:$I$89,3,0)*0.475*44/12</f>
        <v>5.0198012462217498</v>
      </c>
      <c r="GN150" s="21">
        <f>EXP(-LN(2)/2)*GN149+(1-EXP(-LN(2)/2))/(LN(2)/2)*GH150*GK150*VLOOKUP('Données projet'!$B$17,Paramètres!$A$1:$I$89,3,0)*0.475*44/12</f>
        <v>1.2170167242352498E-5</v>
      </c>
      <c r="GO150" s="21">
        <f t="shared" si="135"/>
        <v>10.409620347167888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69.675536106477324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0.85000000000000009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3.1166666666666671</v>
      </c>
      <c r="H151" s="67">
        <f t="shared" si="110"/>
        <v>244.19999999999996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1240.3025151013562</v>
      </c>
      <c r="S151" s="59">
        <f ca="1">AVERAGE(OFFSET($R$3,0,0,'Données projet'!$E$9+1,1))-AVERAGE(OFFSET($H$3,0,0,'Données projet'!$E$9+1,1))</f>
        <v>643.492472896403</v>
      </c>
      <c r="T151" s="59">
        <f t="shared" si="142"/>
        <v>285.0259479655341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-2.8421709430404007E-13</v>
      </c>
      <c r="AJ151" s="13">
        <f>AI151*VLOOKUP('Données projet'!$B$10,Paramètres!$A$1:$I$89,3,0)*VLOOKUP('Données projet'!$B$10,Paramètres!$A$1:$I$89,5,0)</f>
        <v>-2.2168933355715128E-13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289.89907502443873</v>
      </c>
      <c r="AO151" s="59">
        <f t="shared" si="144"/>
        <v>267.42183550360301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8.3848202555560505</v>
      </c>
      <c r="AV151" s="21">
        <f>EXP(-LN(2)/25)*AV150+(1-EXP(-LN(2)/25))/(LN(2)/25)*Calculateur!AQ151*Calculateur!AS151*VLOOKUP('Données projet'!$B$10,Paramètres!$A$1:$I$89,3,0)*0.475*44/12</f>
        <v>5.1779134510484877</v>
      </c>
      <c r="AW151" s="21">
        <f>EXP(-LN(2)/2)*AW150+(1-EXP(-LN(2)/2))/(LN(2)/2)*AQ151*AT151*VLOOKUP('Données projet'!$B$10,Paramètres!$A$1:$I$89,3,0)*0.475*44/12</f>
        <v>5.5003364605651356E-10</v>
      </c>
      <c r="AX151" s="21">
        <f t="shared" si="114"/>
        <v>13.562733707154571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-9.9475983006414026E-14</v>
      </c>
      <c r="BE151" s="13">
        <f>BD151*VLOOKUP('Données projet'!$B$11,Paramètres!$A$1:$I$89,3,0)*VLOOKUP('Données projet'!$B$11,Paramètres!$A$1:$I$89,5,0)</f>
        <v>-9.6213170763803652E-14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177.54241137663234</v>
      </c>
      <c r="BJ151" s="59">
        <f t="shared" si="146"/>
        <v>114.71095021456071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11.315784564092089</v>
      </c>
      <c r="BQ151" s="21">
        <f>EXP(-LN(2)/25)*BQ150+(1-EXP(-LN(2)/25))/(LN(2)/25)*Calculateur!BL151*Calculateur!BN151*VLOOKUP('Données projet'!$B$11,Paramètres!$A$1:$I$89,3,0)*0.475*44/12</f>
        <v>11.603462512562434</v>
      </c>
      <c r="BR151" s="21">
        <f>EXP(-LN(2)/2)*BR150+(1-EXP(-LN(2)/2))/(LN(2)/2)*BL151*BO151*VLOOKUP('Données projet'!$B$11,Paramètres!$A$1:$I$89,3,0)*0.475*44/12</f>
        <v>6.972866090512442E-4</v>
      </c>
      <c r="BS151" s="22">
        <f t="shared" si="117"/>
        <v>22.919944363263571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-9.9475983006414026E-14</v>
      </c>
      <c r="BZ151" s="13">
        <f>BY151*VLOOKUP('Données projet'!$B$12,Paramètres!$A$1:$I$89,3,0)*VLOOKUP('Données projet'!$B$12,Paramètres!$A$1:$I$89,5,0)</f>
        <v>-1.0707594810810407E-13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192.88977161349993</v>
      </c>
      <c r="CE151" s="59">
        <f t="shared" si="148"/>
        <v>122.91376861456772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12.593373143908943</v>
      </c>
      <c r="CL151" s="21">
        <f>EXP(-LN(2)/25)*CL150+(1-EXP(-LN(2)/25))/(LN(2)/25)*Calculateur!CG151*Calculateur!CI151*VLOOKUP('Données projet'!$B$12,Paramètres!$A$1:$I$89,3,0)*0.475*44/12</f>
        <v>12.913530860754964</v>
      </c>
      <c r="CM151" s="21">
        <f>EXP(-LN(2)/2)*CM150+(1-EXP(-LN(2)/2))/(LN(2)/2)*CG151*CJ151*VLOOKUP('Données projet'!$B$12,Paramètres!$A$1:$I$89,3,0)*0.475*44/12</f>
        <v>7.760125165247716E-4</v>
      </c>
      <c r="CN151" s="22">
        <f t="shared" si="120"/>
        <v>25.507680017180434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-8.5265128291212022E-14</v>
      </c>
      <c r="CU151" s="17">
        <f>CT151*VLOOKUP('Données projet'!$B$13,Paramètres!$A$1:$I$89,3,0)*VLOOKUP('Données projet'!$B$13,Paramètres!$A$1:$I$89,5,0)</f>
        <v>-6.9167072069831198E-14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163.16040389635825</v>
      </c>
      <c r="CZ151" s="59">
        <f t="shared" si="150"/>
        <v>138.57856782158811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3.2401936800214597</v>
      </c>
      <c r="DH151" s="21">
        <f>EXP(-LN(2)/2)*DH150+(1-EXP(-LN(2)/2))/(LN(2)/2)*DB151*DE151*VLOOKUP('Données projet'!$B$13,Paramètres!$A$1:$I$89,3,0)*0.475*44/12</f>
        <v>4.6650071485397766E-8</v>
      </c>
      <c r="DI151" s="22">
        <f t="shared" si="123"/>
        <v>3.240193726671531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1.7053025658242404E-13</v>
      </c>
      <c r="DP151" s="17">
        <f>DO151*VLOOKUP('Données projet'!$B$14,Paramètres!$A$1:$I$89,3,0)*VLOOKUP('Données projet'!$B$14,Paramètres!$A$1:$I$89,5,0)</f>
        <v>7.9808160080574461E-14</v>
      </c>
      <c r="DQ151" s="13">
        <f t="shared" si="151"/>
        <v>1.2308384591775343E-12</v>
      </c>
      <c r="DR151" s="20">
        <f t="shared" si="124"/>
        <v>2.282709528541206E-12</v>
      </c>
      <c r="DS151" s="59">
        <f t="shared" si="125"/>
        <v>292.16427104200591</v>
      </c>
      <c r="DT151" s="59">
        <f ca="1">AVERAGE(OFFSET($DS$3,0,0,'Données projet'!$E$14+1,1))-AVERAGE(OFFSET($H$3,0,0,'Données projet'!$E$14+1,1))</f>
        <v>343.44193069803498</v>
      </c>
      <c r="DU151" s="59">
        <f t="shared" si="152"/>
        <v>280.67367019483481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103.87339118491022</v>
      </c>
      <c r="EB151" s="21">
        <f>EXP(-LN(2)/25)*EB150+(1-EXP(-LN(2)/25))/(LN(2)/25)*Calculateur!DW151*Calculateur!DY151*VLOOKUP('Données projet'!$B$14,Paramètres!$A$1:$I$89,3,0)*0.475*44/12</f>
        <v>28.033196160291176</v>
      </c>
      <c r="EC151" s="21">
        <f>EXP(-LN(2)/2)*EC150+(1-EXP(-LN(2)/2))/(LN(2)/2)*DW151*DZ151*VLOOKUP('Données projet'!$B$14,Paramètres!$A$1:$I$89,3,0)*0.475*44/12</f>
        <v>8.9517104618832041E-2</v>
      </c>
      <c r="ED151" s="22">
        <f t="shared" si="126"/>
        <v>131.99610444982022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173.07692307692307</v>
      </c>
      <c r="EK151" s="17">
        <f>EJ151*VLOOKUP('Données projet'!$B$15,Paramètres!$A$1:$I$89,3,0)*VLOOKUP('Données projet'!$B$15,Paramètres!$A$1:$I$89,5,0)</f>
        <v>175.5</v>
      </c>
      <c r="EL151" s="13">
        <f t="shared" si="153"/>
        <v>44.319548641773906</v>
      </c>
      <c r="EM151" s="20">
        <f t="shared" si="127"/>
        <v>382.85238055108954</v>
      </c>
      <c r="EN151" s="59">
        <f t="shared" si="128"/>
        <v>675.01665159309323</v>
      </c>
      <c r="EO151" s="59">
        <f ca="1">AVERAGE(OFFSET($EN$3,0,0,'Données projet'!$E$15+1,1))-AVERAGE(OFFSET($H$3,0,0,'Données projet'!$E$15+1,1))</f>
        <v>270.0029254736703</v>
      </c>
      <c r="EP151" s="59">
        <f t="shared" si="154"/>
        <v>183.80022202211441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6.4805197505859722</v>
      </c>
      <c r="EW151" s="21">
        <f>EXP(-LN(2)/25)*EW150+(1-EXP(-LN(2)/25))/(LN(2)/25)*Calculateur!ER151*Calculateur!ET151*VLOOKUP('Données projet'!$B$15,Paramètres!$A$1:$I$89,3,0)*0.475*44/12</f>
        <v>5.9880140304840799</v>
      </c>
      <c r="EX151" s="21">
        <f>EXP(-LN(2)/2)*EX150+(1-EXP(-LN(2)/2))/(LN(2)/2)*ER151*EU151*VLOOKUP('Données projet'!$B$15,Paramètres!$A$1:$I$89,3,0)*0.475*44/12</f>
        <v>1.3008476884667887E-5</v>
      </c>
      <c r="EY151" s="22">
        <f t="shared" si="129"/>
        <v>12.468546789546936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-1.4897523215040567E-13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328.93328163316073</v>
      </c>
      <c r="FK151" s="59">
        <f t="shared" si="156"/>
        <v>320.27831321887072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11.98428171245687</v>
      </c>
      <c r="FR151" s="21">
        <f>EXP(-LN(2)/25)*FR150+(1-EXP(-LN(2)/25))/(LN(2)/25)*Calculateur!FM151*Calculateur!FO151*VLOOKUP('Données projet'!$B$16,Paramètres!$A$1:$I$89,3,0)*0.475*44/12</f>
        <v>7.0598174450565585</v>
      </c>
      <c r="FS151" s="21">
        <f>EXP(-LN(2)/2)*FS150+(1-EXP(-LN(2)/2))/(LN(2)/2)*FM151*FP151*VLOOKUP('Données projet'!$B$16,Paramètres!$A$1:$I$89,3,0)*0.475*44/12</f>
        <v>3.3222609792914064E-9</v>
      </c>
      <c r="FT151" s="22">
        <f t="shared" si="132"/>
        <v>19.044099160835689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173.07692307692307</v>
      </c>
      <c r="GA151" s="17">
        <f>FZ151*VLOOKUP('Données projet'!$B$17,Paramètres!$A$1:$I$89,3,0)*VLOOKUP('Données projet'!$B$17,Paramètres!$A$1:$I$89,5,0)</f>
        <v>116.1</v>
      </c>
      <c r="GB151" s="13">
        <f t="shared" si="157"/>
        <v>30.763646636385982</v>
      </c>
      <c r="GC151" s="20">
        <f t="shared" si="133"/>
        <v>255.78751789170556</v>
      </c>
      <c r="GD151" s="59">
        <f t="shared" si="134"/>
        <v>547.95178893370917</v>
      </c>
      <c r="GE151" s="59">
        <f ca="1">AVERAGE(OFFSET($GD$3,0,0,'Données projet'!$E$17+1,1))-AVERAGE(OFFSET($H$3,0,0,'Données projet'!$E$17+1,1))</f>
        <v>192.88444860121191</v>
      </c>
      <c r="GF151" s="59">
        <f t="shared" si="158"/>
        <v>136.13737493732751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5.2841161043239397</v>
      </c>
      <c r="GM151" s="21">
        <f>EXP(-LN(2)/25)*GM150+(1-EXP(-LN(2)/25))/(LN(2)/25)*Calculateur!GH151*Calculateur!GJ151*VLOOKUP('Données projet'!$B$17,Paramètres!$A$1:$I$89,3,0)*0.475*44/12</f>
        <v>4.8825345171639416</v>
      </c>
      <c r="GN151" s="21">
        <f>EXP(-LN(2)/2)*GN150+(1-EXP(-LN(2)/2))/(LN(2)/2)*GH151*GK151*VLOOKUP('Données projet'!$B$17,Paramètres!$A$1:$I$89,3,0)*0.475*44/12</f>
        <v>8.6056077852418364E-6</v>
      </c>
      <c r="GO151" s="21">
        <f t="shared" si="135"/>
        <v>10.166659227095668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69.681164829637353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0.85000000000000009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3.1166666666666671</v>
      </c>
      <c r="H152" s="67">
        <f t="shared" si="110"/>
        <v>244.19999999999996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1257.9767230901903</v>
      </c>
      <c r="S152" s="59">
        <f ca="1">AVERAGE(OFFSET($R$3,0,0,'Données projet'!$E$9+1,1))-AVERAGE(OFFSET($H$3,0,0,'Données projet'!$E$9+1,1))</f>
        <v>643.492472896403</v>
      </c>
      <c r="T152" s="59">
        <f t="shared" si="142"/>
        <v>285.0259479655341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-2.8421709430404007E-13</v>
      </c>
      <c r="AJ152" s="13">
        <f>AI152*VLOOKUP('Données projet'!$B$10,Paramètres!$A$1:$I$89,3,0)*VLOOKUP('Données projet'!$B$10,Paramètres!$A$1:$I$89,5,0)</f>
        <v>-2.2168933355715128E-13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289.89907502443873</v>
      </c>
      <c r="AO152" s="59">
        <f t="shared" si="144"/>
        <v>267.42183550360301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8.2203990445799633</v>
      </c>
      <c r="AV152" s="21">
        <f>EXP(-LN(2)/25)*AV151+(1-EXP(-LN(2)/25))/(LN(2)/25)*Calculateur!AQ152*Calculateur!AS152*VLOOKUP('Données projet'!$B$10,Paramètres!$A$1:$I$89,3,0)*0.475*44/12</f>
        <v>5.0363231354349329</v>
      </c>
      <c r="AW152" s="21">
        <f>EXP(-LN(2)/2)*AW151+(1-EXP(-LN(2)/2))/(LN(2)/2)*AQ152*AT152*VLOOKUP('Données projet'!$B$10,Paramètres!$A$1:$I$89,3,0)*0.475*44/12</f>
        <v>3.8893252100732207E-10</v>
      </c>
      <c r="AX152" s="21">
        <f t="shared" si="114"/>
        <v>13.25672218040383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-9.9475983006414026E-14</v>
      </c>
      <c r="BE152" s="13">
        <f>BD152*VLOOKUP('Données projet'!$B$11,Paramètres!$A$1:$I$89,3,0)*VLOOKUP('Données projet'!$B$11,Paramètres!$A$1:$I$89,5,0)</f>
        <v>-9.6213170763803652E-14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177.54241137663234</v>
      </c>
      <c r="BJ152" s="59">
        <f t="shared" si="146"/>
        <v>114.71095021456071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11.093888930737316</v>
      </c>
      <c r="BQ152" s="21">
        <f>EXP(-LN(2)/25)*BQ151+(1-EXP(-LN(2)/25))/(LN(2)/25)*Calculateur!BL152*Calculateur!BN152*VLOOKUP('Données projet'!$B$11,Paramètres!$A$1:$I$89,3,0)*0.475*44/12</f>
        <v>11.286165219956841</v>
      </c>
      <c r="BR152" s="21">
        <f>EXP(-LN(2)/2)*BR151+(1-EXP(-LN(2)/2))/(LN(2)/2)*BL152*BO152*VLOOKUP('Données projet'!$B$11,Paramètres!$A$1:$I$89,3,0)*0.475*44/12</f>
        <v>4.9305608969070784E-4</v>
      </c>
      <c r="BS152" s="22">
        <f t="shared" si="117"/>
        <v>22.380547206783849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-9.9475983006414026E-14</v>
      </c>
      <c r="BZ152" s="13">
        <f>BY152*VLOOKUP('Données projet'!$B$12,Paramètres!$A$1:$I$89,3,0)*VLOOKUP('Données projet'!$B$12,Paramètres!$A$1:$I$89,5,0)</f>
        <v>-1.0707594810810407E-13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192.88977161349993</v>
      </c>
      <c r="CE152" s="59">
        <f t="shared" si="148"/>
        <v>122.91376861456772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12.346424777756051</v>
      </c>
      <c r="CL152" s="21">
        <f>EXP(-LN(2)/25)*CL151+(1-EXP(-LN(2)/25))/(LN(2)/25)*Calculateur!CG152*Calculateur!CI152*VLOOKUP('Données projet'!$B$12,Paramètres!$A$1:$I$89,3,0)*0.475*44/12</f>
        <v>12.560409680274546</v>
      </c>
      <c r="CM152" s="21">
        <f>EXP(-LN(2)/2)*CM151+(1-EXP(-LN(2)/2))/(LN(2)/2)*CG152*CJ152*VLOOKUP('Données projet'!$B$12,Paramètres!$A$1:$I$89,3,0)*0.475*44/12</f>
        <v>5.4872371272030377E-4</v>
      </c>
      <c r="CN152" s="22">
        <f t="shared" si="120"/>
        <v>24.907383181743317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-8.5265128291212022E-14</v>
      </c>
      <c r="CU152" s="17">
        <f>CT152*VLOOKUP('Données projet'!$B$13,Paramètres!$A$1:$I$89,3,0)*VLOOKUP('Données projet'!$B$13,Paramètres!$A$1:$I$89,5,0)</f>
        <v>-6.9167072069831198E-14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163.16040389635825</v>
      </c>
      <c r="CZ152" s="59">
        <f t="shared" si="150"/>
        <v>138.57856782158811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3.1515904134468928</v>
      </c>
      <c r="DH152" s="21">
        <f>EXP(-LN(2)/2)*DH151+(1-EXP(-LN(2)/2))/(LN(2)/2)*DB152*DE152*VLOOKUP('Données projet'!$B$13,Paramètres!$A$1:$I$89,3,0)*0.475*44/12</f>
        <v>3.2986581890161957E-8</v>
      </c>
      <c r="DI152" s="22">
        <f t="shared" si="123"/>
        <v>3.1515904464334747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1.7053025658242404E-13</v>
      </c>
      <c r="DP152" s="17">
        <f>DO152*VLOOKUP('Données projet'!$B$14,Paramètres!$A$1:$I$89,3,0)*VLOOKUP('Données projet'!$B$14,Paramètres!$A$1:$I$89,5,0)</f>
        <v>7.9808160080574461E-14</v>
      </c>
      <c r="DQ152" s="13">
        <f t="shared" si="151"/>
        <v>1.2308384591775343E-12</v>
      </c>
      <c r="DR152" s="20">
        <f t="shared" si="124"/>
        <v>2.282709528541206E-12</v>
      </c>
      <c r="DS152" s="59">
        <f t="shared" si="125"/>
        <v>292.18455165912877</v>
      </c>
      <c r="DT152" s="59">
        <f ca="1">AVERAGE(OFFSET($DS$3,0,0,'Données projet'!$E$14+1,1))-AVERAGE(OFFSET($H$3,0,0,'Données projet'!$E$14+1,1))</f>
        <v>343.44193069803498</v>
      </c>
      <c r="DU152" s="59">
        <f t="shared" si="152"/>
        <v>280.67367019483481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101.83649734028681</v>
      </c>
      <c r="EB152" s="21">
        <f>EXP(-LN(2)/25)*EB151+(1-EXP(-LN(2)/25))/(LN(2)/25)*Calculateur!DW152*Calculateur!DY152*VLOOKUP('Données projet'!$B$14,Paramètres!$A$1:$I$89,3,0)*0.475*44/12</f>
        <v>27.266626937086297</v>
      </c>
      <c r="EC152" s="21">
        <f>EXP(-LN(2)/2)*EC151+(1-EXP(-LN(2)/2))/(LN(2)/2)*DW152*DZ152*VLOOKUP('Données projet'!$B$14,Paramètres!$A$1:$I$89,3,0)*0.475*44/12</f>
        <v>6.3298151708161748E-2</v>
      </c>
      <c r="ED152" s="22">
        <f t="shared" si="126"/>
        <v>129.16642242908125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173.07692307692307</v>
      </c>
      <c r="EK152" s="17">
        <f>EJ152*VLOOKUP('Données projet'!$B$15,Paramètres!$A$1:$I$89,3,0)*VLOOKUP('Données projet'!$B$15,Paramètres!$A$1:$I$89,5,0)</f>
        <v>175.5</v>
      </c>
      <c r="EL152" s="13">
        <f t="shared" si="153"/>
        <v>44.319548641773906</v>
      </c>
      <c r="EM152" s="20">
        <f t="shared" si="127"/>
        <v>382.85238055108954</v>
      </c>
      <c r="EN152" s="59">
        <f t="shared" si="128"/>
        <v>675.03693221021604</v>
      </c>
      <c r="EO152" s="59">
        <f ca="1">AVERAGE(OFFSET($EN$3,0,0,'Données projet'!$E$15+1,1))-AVERAGE(OFFSET($H$3,0,0,'Données projet'!$E$15+1,1))</f>
        <v>270.0029254736703</v>
      </c>
      <c r="EP152" s="59">
        <f t="shared" si="154"/>
        <v>183.80022202211441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6.3534407110037296</v>
      </c>
      <c r="EW152" s="21">
        <f>EXP(-LN(2)/25)*EW151+(1-EXP(-LN(2)/25))/(LN(2)/25)*Calculateur!ER152*Calculateur!ET152*VLOOKUP('Données projet'!$B$15,Paramètres!$A$1:$I$89,3,0)*0.475*44/12</f>
        <v>5.8242714719245203</v>
      </c>
      <c r="EX152" s="21">
        <f>EXP(-LN(2)/2)*EX151+(1-EXP(-LN(2)/2))/(LN(2)/2)*ER152*EU152*VLOOKUP('Données projet'!$B$15,Paramètres!$A$1:$I$89,3,0)*0.475*44/12</f>
        <v>9.1983822180571167E-6</v>
      </c>
      <c r="EY152" s="22">
        <f t="shared" si="129"/>
        <v>12.177721381310468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-1.4897523215040567E-13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328.93328163316073</v>
      </c>
      <c r="FK152" s="59">
        <f t="shared" si="156"/>
        <v>320.27831321887072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11.749277257765662</v>
      </c>
      <c r="FR152" s="21">
        <f>EXP(-LN(2)/25)*FR151+(1-EXP(-LN(2)/25))/(LN(2)/25)*Calculateur!FM152*Calculateur!FO152*VLOOKUP('Données projet'!$B$16,Paramètres!$A$1:$I$89,3,0)*0.475*44/12</f>
        <v>6.8667663657618228</v>
      </c>
      <c r="FS152" s="21">
        <f>EXP(-LN(2)/2)*FS151+(1-EXP(-LN(2)/2))/(LN(2)/2)*FM152*FP152*VLOOKUP('Données projet'!$B$16,Paramètres!$A$1:$I$89,3,0)*0.475*44/12</f>
        <v>2.3491932673284135E-9</v>
      </c>
      <c r="FT152" s="22">
        <f t="shared" si="132"/>
        <v>18.616043625876678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173.07692307692307</v>
      </c>
      <c r="GA152" s="17">
        <f>FZ152*VLOOKUP('Données projet'!$B$17,Paramètres!$A$1:$I$89,3,0)*VLOOKUP('Données projet'!$B$17,Paramètres!$A$1:$I$89,5,0)</f>
        <v>116.1</v>
      </c>
      <c r="GB152" s="13">
        <f t="shared" si="157"/>
        <v>30.763646636385982</v>
      </c>
      <c r="GC152" s="20">
        <f t="shared" si="133"/>
        <v>255.78751789170556</v>
      </c>
      <c r="GD152" s="59">
        <f t="shared" si="134"/>
        <v>547.97206955083209</v>
      </c>
      <c r="GE152" s="59">
        <f ca="1">AVERAGE(OFFSET($GD$3,0,0,'Données projet'!$E$17+1,1))-AVERAGE(OFFSET($H$3,0,0,'Données projet'!$E$17+1,1))</f>
        <v>192.88444860121191</v>
      </c>
      <c r="GF152" s="59">
        <f t="shared" si="158"/>
        <v>136.13737493732751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5.1804978105107269</v>
      </c>
      <c r="GM152" s="21">
        <f>EXP(-LN(2)/25)*GM151+(1-EXP(-LN(2)/25))/(LN(2)/25)*Calculateur!GH152*Calculateur!GJ152*VLOOKUP('Données projet'!$B$17,Paramètres!$A$1:$I$89,3,0)*0.475*44/12</f>
        <v>4.7490213540307629</v>
      </c>
      <c r="GN152" s="21">
        <f>EXP(-LN(2)/2)*GN151+(1-EXP(-LN(2)/2))/(LN(2)/2)*GH152*GK152*VLOOKUP('Données projet'!$B$17,Paramètres!$A$1:$I$89,3,0)*0.475*44/12</f>
        <v>6.0850836211762491E-6</v>
      </c>
      <c r="GO152" s="21">
        <f t="shared" si="135"/>
        <v>9.9295252496251099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69.68669590703449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0.85000000000000009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3.1166666666666671</v>
      </c>
      <c r="H153" s="67">
        <f t="shared" si="110"/>
        <v>244.19999999999996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1275.6441871572472</v>
      </c>
      <c r="S153" s="59">
        <f ca="1">AVERAGE(OFFSET($R$3,0,0,'Données projet'!$E$9+1,1))-AVERAGE(OFFSET($H$3,0,0,'Données projet'!$E$9+1,1))</f>
        <v>643.492472896403</v>
      </c>
      <c r="T153" s="59">
        <f t="shared" si="142"/>
        <v>285.0259479655341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-2.8421709430404007E-13</v>
      </c>
      <c r="AJ153" s="13">
        <f>AI153*VLOOKUP('Données projet'!$B$10,Paramètres!$A$1:$I$89,3,0)*VLOOKUP('Données projet'!$B$10,Paramètres!$A$1:$I$89,5,0)</f>
        <v>-2.2168933355715128E-13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289.89907502443873</v>
      </c>
      <c r="AO153" s="59">
        <f t="shared" si="144"/>
        <v>267.42183550360301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8.0592020332640804</v>
      </c>
      <c r="AV153" s="21">
        <f>EXP(-LN(2)/25)*AV152+(1-EXP(-LN(2)/25))/(LN(2)/25)*Calculateur!AQ153*Calculateur!AS153*VLOOKUP('Données projet'!$B$10,Paramètres!$A$1:$I$89,3,0)*0.475*44/12</f>
        <v>4.8986046144477413</v>
      </c>
      <c r="AW153" s="21">
        <f>EXP(-LN(2)/2)*AW152+(1-EXP(-LN(2)/2))/(LN(2)/2)*AQ153*AT153*VLOOKUP('Données projet'!$B$10,Paramètres!$A$1:$I$89,3,0)*0.475*44/12</f>
        <v>2.7501682302825678E-10</v>
      </c>
      <c r="AX153" s="21">
        <f t="shared" si="114"/>
        <v>12.957806647986839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-9.9475983006414026E-14</v>
      </c>
      <c r="BE153" s="13">
        <f>BD153*VLOOKUP('Données projet'!$B$11,Paramètres!$A$1:$I$89,3,0)*VLOOKUP('Données projet'!$B$11,Paramètres!$A$1:$I$89,5,0)</f>
        <v>-9.6213170763803652E-14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177.54241137663234</v>
      </c>
      <c r="BJ153" s="59">
        <f t="shared" si="146"/>
        <v>114.71095021456071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10.876344535409659</v>
      </c>
      <c r="BQ153" s="21">
        <f>EXP(-LN(2)/25)*BQ152+(1-EXP(-LN(2)/25))/(LN(2)/25)*Calculateur!BL153*Calculateur!BN153*VLOOKUP('Données projet'!$B$11,Paramètres!$A$1:$I$89,3,0)*0.475*44/12</f>
        <v>10.977544438503488</v>
      </c>
      <c r="BR153" s="21">
        <f>EXP(-LN(2)/2)*BR152+(1-EXP(-LN(2)/2))/(LN(2)/2)*BL153*BO153*VLOOKUP('Données projet'!$B$11,Paramètres!$A$1:$I$89,3,0)*0.475*44/12</f>
        <v>3.486433045256221E-4</v>
      </c>
      <c r="BS153" s="22">
        <f t="shared" si="117"/>
        <v>21.854237617217674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-9.9475983006414026E-14</v>
      </c>
      <c r="BZ153" s="13">
        <f>BY153*VLOOKUP('Données projet'!$B$12,Paramètres!$A$1:$I$89,3,0)*VLOOKUP('Données projet'!$B$12,Paramètres!$A$1:$I$89,5,0)</f>
        <v>-1.0707594810810407E-13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192.88977161349993</v>
      </c>
      <c r="CE153" s="59">
        <f t="shared" si="148"/>
        <v>122.91376861456772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12.104318918439786</v>
      </c>
      <c r="CL153" s="21">
        <f>EXP(-LN(2)/25)*CL152+(1-EXP(-LN(2)/25))/(LN(2)/25)*Calculateur!CG153*Calculateur!CI153*VLOOKUP('Données projet'!$B$12,Paramètres!$A$1:$I$89,3,0)*0.475*44/12</f>
        <v>12.2169446170442</v>
      </c>
      <c r="CM153" s="21">
        <f>EXP(-LN(2)/2)*CM152+(1-EXP(-LN(2)/2))/(LN(2)/2)*CG153*CJ153*VLOOKUP('Données projet'!$B$12,Paramètres!$A$1:$I$89,3,0)*0.475*44/12</f>
        <v>3.880062582623858E-4</v>
      </c>
      <c r="CN153" s="22">
        <f t="shared" si="120"/>
        <v>24.321651541742249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-8.5265128291212022E-14</v>
      </c>
      <c r="CU153" s="17">
        <f>CT153*VLOOKUP('Données projet'!$B$13,Paramètres!$A$1:$I$89,3,0)*VLOOKUP('Données projet'!$B$13,Paramètres!$A$1:$I$89,5,0)</f>
        <v>-6.9167072069831198E-14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163.16040389635825</v>
      </c>
      <c r="CZ153" s="59">
        <f t="shared" si="150"/>
        <v>138.57856782158811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3.0654100078562507</v>
      </c>
      <c r="DH153" s="21">
        <f>EXP(-LN(2)/2)*DH152+(1-EXP(-LN(2)/2))/(LN(2)/2)*DB153*DE153*VLOOKUP('Données projet'!$B$13,Paramètres!$A$1:$I$89,3,0)*0.475*44/12</f>
        <v>2.3325035742698883E-8</v>
      </c>
      <c r="DI153" s="22">
        <f t="shared" si="123"/>
        <v>3.0654100311812864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1.7053025658242404E-13</v>
      </c>
      <c r="DP153" s="17">
        <f>DO153*VLOOKUP('Données projet'!$B$14,Paramètres!$A$1:$I$89,3,0)*VLOOKUP('Données projet'!$B$14,Paramètres!$A$1:$I$89,5,0)</f>
        <v>7.9808160080574461E-14</v>
      </c>
      <c r="DQ153" s="13">
        <f t="shared" si="151"/>
        <v>1.2308384591775343E-12</v>
      </c>
      <c r="DR153" s="20">
        <f t="shared" si="124"/>
        <v>2.282709528541206E-12</v>
      </c>
      <c r="DS153" s="59">
        <f t="shared" si="125"/>
        <v>292.20448045288515</v>
      </c>
      <c r="DT153" s="59">
        <f ca="1">AVERAGE(OFFSET($DS$3,0,0,'Données projet'!$E$14+1,1))-AVERAGE(OFFSET($H$3,0,0,'Données projet'!$E$14+1,1))</f>
        <v>343.44193069803498</v>
      </c>
      <c r="DU153" s="59">
        <f t="shared" si="152"/>
        <v>280.67367019483481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99.8395457415739</v>
      </c>
      <c r="EB153" s="21">
        <f>EXP(-LN(2)/25)*EB152+(1-EXP(-LN(2)/25))/(LN(2)/25)*Calculateur!DW153*Calculateur!DY153*VLOOKUP('Données projet'!$B$14,Paramètres!$A$1:$I$89,3,0)*0.475*44/12</f>
        <v>26.52101958960208</v>
      </c>
      <c r="EC153" s="21">
        <f>EXP(-LN(2)/2)*EC152+(1-EXP(-LN(2)/2))/(LN(2)/2)*DW153*DZ153*VLOOKUP('Données projet'!$B$14,Paramètres!$A$1:$I$89,3,0)*0.475*44/12</f>
        <v>4.4758552309416021E-2</v>
      </c>
      <c r="ED153" s="22">
        <f t="shared" si="126"/>
        <v>126.40532388348539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173.07692307692307</v>
      </c>
      <c r="EK153" s="17">
        <f>EJ153*VLOOKUP('Données projet'!$B$15,Paramètres!$A$1:$I$89,3,0)*VLOOKUP('Données projet'!$B$15,Paramètres!$A$1:$I$89,5,0)</f>
        <v>175.5</v>
      </c>
      <c r="EL153" s="13">
        <f t="shared" si="153"/>
        <v>44.319548641773906</v>
      </c>
      <c r="EM153" s="20">
        <f t="shared" si="127"/>
        <v>382.85238055108954</v>
      </c>
      <c r="EN153" s="59">
        <f t="shared" si="128"/>
        <v>675.05686100397247</v>
      </c>
      <c r="EO153" s="59">
        <f ca="1">AVERAGE(OFFSET($EN$3,0,0,'Données projet'!$E$15+1,1))-AVERAGE(OFFSET($H$3,0,0,'Données projet'!$E$15+1,1))</f>
        <v>270.0029254736703</v>
      </c>
      <c r="EP153" s="59">
        <f t="shared" si="154"/>
        <v>183.80022202211441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6.228853613877134</v>
      </c>
      <c r="EW153" s="21">
        <f>EXP(-LN(2)/25)*EW152+(1-EXP(-LN(2)/25))/(LN(2)/25)*Calculateur!ER153*Calculateur!ET153*VLOOKUP('Données projet'!$B$15,Paramètres!$A$1:$I$89,3,0)*0.475*44/12</f>
        <v>5.665006462239619</v>
      </c>
      <c r="EX153" s="21">
        <f>EXP(-LN(2)/2)*EX152+(1-EXP(-LN(2)/2))/(LN(2)/2)*ER153*EU153*VLOOKUP('Données projet'!$B$15,Paramètres!$A$1:$I$89,3,0)*0.475*44/12</f>
        <v>6.5042384423339434E-6</v>
      </c>
      <c r="EY153" s="22">
        <f t="shared" si="129"/>
        <v>11.893866580355194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-1.4897523215040567E-13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328.93328163316073</v>
      </c>
      <c r="FK153" s="59">
        <f t="shared" si="156"/>
        <v>320.27831321887072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11.518881097092386</v>
      </c>
      <c r="FR153" s="21">
        <f>EXP(-LN(2)/25)*FR152+(1-EXP(-LN(2)/25))/(LN(2)/25)*Calculateur!FM153*Calculateur!FO153*VLOOKUP('Données projet'!$B$16,Paramètres!$A$1:$I$89,3,0)*0.475*44/12</f>
        <v>6.6789942783825165</v>
      </c>
      <c r="FS153" s="21">
        <f>EXP(-LN(2)/2)*FS152+(1-EXP(-LN(2)/2))/(LN(2)/2)*FM153*FP153*VLOOKUP('Données projet'!$B$16,Paramètres!$A$1:$I$89,3,0)*0.475*44/12</f>
        <v>1.6611304896457032E-9</v>
      </c>
      <c r="FT153" s="22">
        <f t="shared" si="132"/>
        <v>18.197875377136032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173.07692307692307</v>
      </c>
      <c r="GA153" s="17">
        <f>FZ153*VLOOKUP('Données projet'!$B$17,Paramètres!$A$1:$I$89,3,0)*VLOOKUP('Données projet'!$B$17,Paramètres!$A$1:$I$89,5,0)</f>
        <v>116.1</v>
      </c>
      <c r="GB153" s="13">
        <f t="shared" si="157"/>
        <v>30.763646636385982</v>
      </c>
      <c r="GC153" s="20">
        <f t="shared" si="133"/>
        <v>255.78751789170556</v>
      </c>
      <c r="GD153" s="59">
        <f t="shared" si="134"/>
        <v>547.99199834458841</v>
      </c>
      <c r="GE153" s="59">
        <f ca="1">AVERAGE(OFFSET($GD$3,0,0,'Données projet'!$E$17+1,1))-AVERAGE(OFFSET($H$3,0,0,'Données projet'!$E$17+1,1))</f>
        <v>192.88444860121191</v>
      </c>
      <c r="GF153" s="59">
        <f t="shared" si="158"/>
        <v>136.13737493732751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5.0789114082382723</v>
      </c>
      <c r="GM153" s="21">
        <f>EXP(-LN(2)/25)*GM152+(1-EXP(-LN(2)/25))/(LN(2)/25)*Calculateur!GH153*Calculateur!GJ153*VLOOKUP('Données projet'!$B$17,Paramètres!$A$1:$I$89,3,0)*0.475*44/12</f>
        <v>4.6191591153646128</v>
      </c>
      <c r="GN153" s="21">
        <f>EXP(-LN(2)/2)*GN152+(1-EXP(-LN(2)/2))/(LN(2)/2)*GH153*GK153*VLOOKUP('Données projet'!$B$17,Paramètres!$A$1:$I$89,3,0)*0.475*44/12</f>
        <v>4.3028038926209182E-6</v>
      </c>
      <c r="GO153" s="21">
        <f t="shared" si="135"/>
        <v>9.6980748264067778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69.692131032604422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0.85000000000000009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3.1166666666666671</v>
      </c>
      <c r="H154" s="67">
        <f t="shared" si="110"/>
        <v>244.19999999999996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1293.3050441185162</v>
      </c>
      <c r="S154" s="59">
        <f ca="1">AVERAGE(OFFSET($R$3,0,0,'Données projet'!$E$9+1,1))-AVERAGE(OFFSET($H$3,0,0,'Données projet'!$E$9+1,1))</f>
        <v>643.492472896403</v>
      </c>
      <c r="T154" s="59">
        <f t="shared" si="142"/>
        <v>285.0259479655341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-2.8421709430404007E-13</v>
      </c>
      <c r="AJ154" s="13">
        <f>AI154*VLOOKUP('Données projet'!$B$10,Paramètres!$A$1:$I$89,3,0)*VLOOKUP('Données projet'!$B$10,Paramètres!$A$1:$I$89,5,0)</f>
        <v>-2.2168933355715128E-13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289.89907502443873</v>
      </c>
      <c r="AO154" s="59">
        <f t="shared" si="144"/>
        <v>267.42183550360301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7.9011659970196337</v>
      </c>
      <c r="AV154" s="21">
        <f>EXP(-LN(2)/25)*AV153+(1-EXP(-LN(2)/25))/(LN(2)/25)*Calculateur!AQ154*Calculateur!AS154*VLOOKUP('Données projet'!$B$10,Paramètres!$A$1:$I$89,3,0)*0.475*44/12</f>
        <v>4.764652013659247</v>
      </c>
      <c r="AW154" s="21">
        <f>EXP(-LN(2)/2)*AW153+(1-EXP(-LN(2)/2))/(LN(2)/2)*AQ154*AT154*VLOOKUP('Données projet'!$B$10,Paramètres!$A$1:$I$89,3,0)*0.475*44/12</f>
        <v>1.9446626050366103E-10</v>
      </c>
      <c r="AX154" s="21">
        <f t="shared" ref="AX154:AX203" si="166">SUM(AU154:AW154)</f>
        <v>12.665818010873346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-9.9475983006414026E-14</v>
      </c>
      <c r="BE154" s="13">
        <f>BD154*VLOOKUP('Données projet'!$B$11,Paramètres!$A$1:$I$89,3,0)*VLOOKUP('Données projet'!$B$11,Paramètres!$A$1:$I$89,5,0)</f>
        <v>-9.6213170763803652E-14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177.54241137663234</v>
      </c>
      <c r="BJ154" s="59">
        <f t="shared" si="146"/>
        <v>114.71095021456071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10.663066052985398</v>
      </c>
      <c r="BQ154" s="21">
        <f>EXP(-LN(2)/25)*BQ153+(1-EXP(-LN(2)/25))/(LN(2)/25)*Calculateur!BL154*Calculateur!BN154*VLOOKUP('Données projet'!$B$11,Paramètres!$A$1:$I$89,3,0)*0.475*44/12</f>
        <v>10.677362908548638</v>
      </c>
      <c r="BR154" s="21">
        <f>EXP(-LN(2)/2)*BR153+(1-EXP(-LN(2)/2))/(LN(2)/2)*BL154*BO154*VLOOKUP('Données projet'!$B$11,Paramètres!$A$1:$I$89,3,0)*0.475*44/12</f>
        <v>2.4652804484535392E-4</v>
      </c>
      <c r="BS154" s="22">
        <f t="shared" ref="BS154:BS203" si="169">SUM(BP154:BR154)</f>
        <v>21.340675489578881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-9.9475983006414026E-14</v>
      </c>
      <c r="BZ154" s="13">
        <f>BY154*VLOOKUP('Données projet'!$B$12,Paramètres!$A$1:$I$89,3,0)*VLOOKUP('Données projet'!$B$12,Paramètres!$A$1:$I$89,5,0)</f>
        <v>-1.0707594810810407E-13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192.88977161349993</v>
      </c>
      <c r="CE154" s="59">
        <f t="shared" si="148"/>
        <v>122.91376861456772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11.86696060735472</v>
      </c>
      <c r="CL154" s="21">
        <f>EXP(-LN(2)/25)*CL153+(1-EXP(-LN(2)/25))/(LN(2)/25)*Calculateur!CG154*Calculateur!CI154*VLOOKUP('Données projet'!$B$12,Paramètres!$A$1:$I$89,3,0)*0.475*44/12</f>
        <v>11.882871624029931</v>
      </c>
      <c r="CM154" s="21">
        <f>EXP(-LN(2)/2)*CM153+(1-EXP(-LN(2)/2))/(LN(2)/2)*CG154*CJ154*VLOOKUP('Données projet'!$B$12,Paramètres!$A$1:$I$89,3,0)*0.475*44/12</f>
        <v>2.7436185636015188E-4</v>
      </c>
      <c r="CN154" s="22">
        <f t="shared" ref="CN154:CN203" si="172">SUM(CK154:CM154)</f>
        <v>23.750106593241011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-8.5265128291212022E-14</v>
      </c>
      <c r="CU154" s="17">
        <f>CT154*VLOOKUP('Données projet'!$B$13,Paramètres!$A$1:$I$89,3,0)*VLOOKUP('Données projet'!$B$13,Paramètres!$A$1:$I$89,5,0)</f>
        <v>-6.9167072069831198E-14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163.16040389635825</v>
      </c>
      <c r="CZ154" s="59">
        <f t="shared" si="150"/>
        <v>138.57856782158811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2.9815862099885155</v>
      </c>
      <c r="DH154" s="21">
        <f>EXP(-LN(2)/2)*DH153+(1-EXP(-LN(2)/2))/(LN(2)/2)*DB154*DE154*VLOOKUP('Données projet'!$B$13,Paramètres!$A$1:$I$89,3,0)*0.475*44/12</f>
        <v>1.6493290945080979E-8</v>
      </c>
      <c r="DI154" s="22">
        <f t="shared" ref="DI154:DI203" si="175">SUM(DF154:DH154)</f>
        <v>2.9815862264818063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1.7053025658242404E-13</v>
      </c>
      <c r="DP154" s="17">
        <f>DO154*VLOOKUP('Données projet'!$B$14,Paramètres!$A$1:$I$89,3,0)*VLOOKUP('Données projet'!$B$14,Paramètres!$A$1:$I$89,5,0)</f>
        <v>7.9808160080574461E-14</v>
      </c>
      <c r="DQ154" s="13">
        <f t="shared" ref="DQ154:DQ203" si="176">EXP(-1.0587+0.8836*LN(DP154)+0.284)</f>
        <v>1.2308384591775343E-12</v>
      </c>
      <c r="DR154" s="20">
        <f t="shared" ref="DR154:DR203" si="177">(DP154+DQ154)*0.475*44/12</f>
        <v>2.282709528541206E-12</v>
      </c>
      <c r="DS154" s="59">
        <f t="shared" si="125"/>
        <v>292.22406352662404</v>
      </c>
      <c r="DT154" s="59">
        <f ca="1">AVERAGE(OFFSET($DS$3,0,0,'Données projet'!$E$14+1,1))-AVERAGE(OFFSET($H$3,0,0,'Données projet'!$E$14+1,1))</f>
        <v>343.44193069803498</v>
      </c>
      <c r="DU154" s="59">
        <f t="shared" si="152"/>
        <v>280.67367019483481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97.881753145691548</v>
      </c>
      <c r="EB154" s="21">
        <f>EXP(-LN(2)/25)*EB153+(1-EXP(-LN(2)/25))/(LN(2)/25)*Calculateur!DW154*Calculateur!DY154*VLOOKUP('Données projet'!$B$14,Paramètres!$A$1:$I$89,3,0)*0.475*44/12</f>
        <v>25.795800914244605</v>
      </c>
      <c r="EC154" s="21">
        <f>EXP(-LN(2)/2)*EC153+(1-EXP(-LN(2)/2))/(LN(2)/2)*DW154*DZ154*VLOOKUP('Données projet'!$B$14,Paramètres!$A$1:$I$89,3,0)*0.475*44/12</f>
        <v>3.1649075854080874E-2</v>
      </c>
      <c r="ED154" s="22">
        <f t="shared" ref="ED154:ED203" si="178">SUM(EA154:EC154)</f>
        <v>123.70920313579023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173.07692307692307</v>
      </c>
      <c r="EK154" s="17">
        <f>EJ154*VLOOKUP('Données projet'!$B$15,Paramètres!$A$1:$I$89,3,0)*VLOOKUP('Données projet'!$B$15,Paramètres!$A$1:$I$89,5,0)</f>
        <v>175.5</v>
      </c>
      <c r="EL154" s="13">
        <f t="shared" ref="EL154:EL203" si="179">EXP(-1.0587+0.8836*LN(EK154)+0.284)</f>
        <v>44.319548641773906</v>
      </c>
      <c r="EM154" s="20">
        <f t="shared" ref="EM154:EM203" si="180">(EK154+EL154)*0.475*44/12</f>
        <v>382.85238055108954</v>
      </c>
      <c r="EN154" s="59">
        <f t="shared" si="128"/>
        <v>675.07644407771136</v>
      </c>
      <c r="EO154" s="59">
        <f ca="1">AVERAGE(OFFSET($EN$3,0,0,'Données projet'!$E$15+1,1))-AVERAGE(OFFSET($H$3,0,0,'Données projet'!$E$15+1,1))</f>
        <v>270.0029254736703</v>
      </c>
      <c r="EP154" s="59">
        <f t="shared" si="154"/>
        <v>183.80022202211441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6.1067095937345659</v>
      </c>
      <c r="EW154" s="21">
        <f>EXP(-LN(2)/25)*EW153+(1-EXP(-LN(2)/25))/(LN(2)/25)*Calculateur!ER154*Calculateur!ET154*VLOOKUP('Données projet'!$B$15,Paramètres!$A$1:$I$89,3,0)*0.475*44/12</f>
        <v>5.5100965626199345</v>
      </c>
      <c r="EX154" s="21">
        <f>EXP(-LN(2)/2)*EX153+(1-EXP(-LN(2)/2))/(LN(2)/2)*ER154*EU154*VLOOKUP('Données projet'!$B$15,Paramètres!$A$1:$I$89,3,0)*0.475*44/12</f>
        <v>4.5991911090285583E-6</v>
      </c>
      <c r="EY154" s="22">
        <f t="shared" ref="EY154:EY203" si="181">SUM(EV154:EX154)</f>
        <v>11.616810755545609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-1.4897523215040567E-13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328.93328163316073</v>
      </c>
      <c r="FK154" s="59">
        <f t="shared" si="156"/>
        <v>320.27831321887072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11.293002864602132</v>
      </c>
      <c r="FR154" s="21">
        <f>EXP(-LN(2)/25)*FR153+(1-EXP(-LN(2)/25))/(LN(2)/25)*Calculateur!FM154*Calculateur!FO154*VLOOKUP('Données projet'!$B$16,Paramètres!$A$1:$I$89,3,0)*0.475*44/12</f>
        <v>6.4963568286071025</v>
      </c>
      <c r="FS154" s="21">
        <f>EXP(-LN(2)/2)*FS153+(1-EXP(-LN(2)/2))/(LN(2)/2)*FM154*FP154*VLOOKUP('Données projet'!$B$16,Paramètres!$A$1:$I$89,3,0)*0.475*44/12</f>
        <v>1.1745966336642068E-9</v>
      </c>
      <c r="FT154" s="22">
        <f t="shared" ref="FT154:FT203" si="184">SUM(FQ154:FS154)</f>
        <v>17.789359694383833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173.07692307692307</v>
      </c>
      <c r="GA154" s="17">
        <f>FZ154*VLOOKUP('Données projet'!$B$17,Paramètres!$A$1:$I$89,3,0)*VLOOKUP('Données projet'!$B$17,Paramètres!$A$1:$I$89,5,0)</f>
        <v>116.1</v>
      </c>
      <c r="GB154" s="13">
        <f t="shared" ref="GB154:GB203" si="185">EXP(-1.0587+0.8836*LN(GA154)+0.284)</f>
        <v>30.763646636385982</v>
      </c>
      <c r="GC154" s="20">
        <f t="shared" ref="GC154:GC203" si="186">(GA154+GB154)*0.475*44/12</f>
        <v>255.78751789170556</v>
      </c>
      <c r="GD154" s="59">
        <f t="shared" si="134"/>
        <v>548.0115814183273</v>
      </c>
      <c r="GE154" s="59">
        <f ca="1">AVERAGE(OFFSET($GD$3,0,0,'Données projet'!$E$17+1,1))-AVERAGE(OFFSET($H$3,0,0,'Données projet'!$E$17+1,1))</f>
        <v>192.88444860121191</v>
      </c>
      <c r="GF154" s="59">
        <f t="shared" si="158"/>
        <v>136.13737493732751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4.9793170533527933</v>
      </c>
      <c r="GM154" s="21">
        <f>EXP(-LN(2)/25)*GM153+(1-EXP(-LN(2)/25))/(LN(2)/25)*Calculateur!GH154*Calculateur!GJ154*VLOOKUP('Données projet'!$B$17,Paramètres!$A$1:$I$89,3,0)*0.475*44/12</f>
        <v>4.4928479664439465</v>
      </c>
      <c r="GN154" s="21">
        <f>EXP(-LN(2)/2)*GN153+(1-EXP(-LN(2)/2))/(LN(2)/2)*GH154*GK154*VLOOKUP('Données projet'!$B$17,Paramètres!$A$1:$I$89,3,0)*0.475*44/12</f>
        <v>3.0425418105881245E-6</v>
      </c>
      <c r="GO154" s="21">
        <f t="shared" ref="GO154:GO203" si="187">SUM(GL154:GN154)</f>
        <v>9.472168062338552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69.697471870896848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0.85000000000000009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3.1166666666666671</v>
      </c>
      <c r="H155" s="67">
        <f t="shared" si="110"/>
        <v>244.19999999999996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1310.9594257077824</v>
      </c>
      <c r="S155" s="59">
        <f ca="1">AVERAGE(OFFSET($R$3,0,0,'Données projet'!$E$9+1,1))-AVERAGE(OFFSET($H$3,0,0,'Données projet'!$E$9+1,1))</f>
        <v>643.492472896403</v>
      </c>
      <c r="T155" s="59">
        <f t="shared" si="142"/>
        <v>285.0259479655341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-2.8421709430404007E-13</v>
      </c>
      <c r="AJ155" s="13">
        <f>AI155*VLOOKUP('Données projet'!$B$10,Paramètres!$A$1:$I$89,3,0)*VLOOKUP('Données projet'!$B$10,Paramètres!$A$1:$I$89,5,0)</f>
        <v>-2.2168933355715128E-13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289.89907502443873</v>
      </c>
      <c r="AO155" s="59">
        <f t="shared" si="144"/>
        <v>267.42183550360301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7.7462289510534772</v>
      </c>
      <c r="AV155" s="21">
        <f>EXP(-LN(2)/25)*AV154+(1-EXP(-LN(2)/25))/(LN(2)/25)*Calculateur!AQ155*Calculateur!AS155*VLOOKUP('Données projet'!$B$10,Paramètres!$A$1:$I$89,3,0)*0.475*44/12</f>
        <v>4.6343623537835752</v>
      </c>
      <c r="AW155" s="21">
        <f>EXP(-LN(2)/2)*AW154+(1-EXP(-LN(2)/2))/(LN(2)/2)*AQ155*AT155*VLOOKUP('Données projet'!$B$10,Paramètres!$A$1:$I$89,3,0)*0.475*44/12</f>
        <v>1.3750841151412839E-10</v>
      </c>
      <c r="AX155" s="21">
        <f t="shared" si="166"/>
        <v>12.38059130497456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-9.9475983006414026E-14</v>
      </c>
      <c r="BE155" s="13">
        <f>BD155*VLOOKUP('Données projet'!$B$11,Paramètres!$A$1:$I$89,3,0)*VLOOKUP('Données projet'!$B$11,Paramètres!$A$1:$I$89,5,0)</f>
        <v>-9.6213170763803652E-14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177.54241137663234</v>
      </c>
      <c r="BJ155" s="59">
        <f t="shared" si="146"/>
        <v>114.71095021456071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10.453969831514447</v>
      </c>
      <c r="BQ155" s="21">
        <f>EXP(-LN(2)/25)*BQ154+(1-EXP(-LN(2)/25))/(LN(2)/25)*Calculateur!BL155*Calculateur!BN155*VLOOKUP('Données projet'!$B$11,Paramètres!$A$1:$I$89,3,0)*0.475*44/12</f>
        <v>10.385389858316262</v>
      </c>
      <c r="BR155" s="21">
        <f>EXP(-LN(2)/2)*BR154+(1-EXP(-LN(2)/2))/(LN(2)/2)*BL155*BO155*VLOOKUP('Données projet'!$B$11,Paramètres!$A$1:$I$89,3,0)*0.475*44/12</f>
        <v>1.7432165226281105E-4</v>
      </c>
      <c r="BS155" s="22">
        <f t="shared" si="169"/>
        <v>20.839534011482971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-9.9475983006414026E-14</v>
      </c>
      <c r="BZ155" s="13">
        <f>BY155*VLOOKUP('Données projet'!$B$12,Paramètres!$A$1:$I$89,3,0)*VLOOKUP('Données projet'!$B$12,Paramètres!$A$1:$I$89,5,0)</f>
        <v>-1.0707594810810407E-13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192.88977161349993</v>
      </c>
      <c r="CE155" s="59">
        <f t="shared" si="148"/>
        <v>122.91376861456772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11.634256747975758</v>
      </c>
      <c r="CL155" s="21">
        <f>EXP(-LN(2)/25)*CL154+(1-EXP(-LN(2)/25))/(LN(2)/25)*Calculateur!CG155*Calculateur!CI155*VLOOKUP('Données projet'!$B$12,Paramètres!$A$1:$I$89,3,0)*0.475*44/12</f>
        <v>11.557933874577772</v>
      </c>
      <c r="CM155" s="21">
        <f>EXP(-LN(2)/2)*CM154+(1-EXP(-LN(2)/2))/(LN(2)/2)*CG155*CJ155*VLOOKUP('Données projet'!$B$12,Paramètres!$A$1:$I$89,3,0)*0.475*44/12</f>
        <v>1.940031291311929E-4</v>
      </c>
      <c r="CN155" s="22">
        <f t="shared" si="172"/>
        <v>23.192384625682664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-8.5265128291212022E-14</v>
      </c>
      <c r="CU155" s="17">
        <f>CT155*VLOOKUP('Données projet'!$B$13,Paramètres!$A$1:$I$89,3,0)*VLOOKUP('Données projet'!$B$13,Paramètres!$A$1:$I$89,5,0)</f>
        <v>-6.9167072069831198E-14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163.16040389635825</v>
      </c>
      <c r="CZ155" s="59">
        <f t="shared" si="150"/>
        <v>138.57856782158811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2.9000545782815754</v>
      </c>
      <c r="DH155" s="21">
        <f>EXP(-LN(2)/2)*DH154+(1-EXP(-LN(2)/2))/(LN(2)/2)*DB155*DE155*VLOOKUP('Données projet'!$B$13,Paramètres!$A$1:$I$89,3,0)*0.475*44/12</f>
        <v>1.1662517871349442E-8</v>
      </c>
      <c r="DI155" s="22">
        <f t="shared" si="175"/>
        <v>2.9000545899440935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1.7053025658242404E-13</v>
      </c>
      <c r="DP155" s="17">
        <f>DO155*VLOOKUP('Données projet'!$B$14,Paramètres!$A$1:$I$89,3,0)*VLOOKUP('Données projet'!$B$14,Paramètres!$A$1:$I$89,5,0)</f>
        <v>7.9808160080574461E-14</v>
      </c>
      <c r="DQ155" s="13">
        <f t="shared" si="176"/>
        <v>1.2308384591775343E-12</v>
      </c>
      <c r="DR155" s="20">
        <f t="shared" si="177"/>
        <v>2.282709528541206E-12</v>
      </c>
      <c r="DS155" s="59">
        <f t="shared" si="125"/>
        <v>292.24330687781475</v>
      </c>
      <c r="DT155" s="59">
        <f ca="1">AVERAGE(OFFSET($DS$3,0,0,'Données projet'!$E$14+1,1))-AVERAGE(OFFSET($H$3,0,0,'Données projet'!$E$14+1,1))</f>
        <v>343.44193069803498</v>
      </c>
      <c r="DU155" s="59">
        <f t="shared" si="152"/>
        <v>280.67367019483481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95.962351668478874</v>
      </c>
      <c r="EB155" s="21">
        <f>EXP(-LN(2)/25)*EB154+(1-EXP(-LN(2)/25))/(LN(2)/25)*Calculateur!DW155*Calculateur!DY155*VLOOKUP('Données projet'!$B$14,Paramètres!$A$1:$I$89,3,0)*0.475*44/12</f>
        <v>25.090413381702373</v>
      </c>
      <c r="EC155" s="21">
        <f>EXP(-LN(2)/2)*EC154+(1-EXP(-LN(2)/2))/(LN(2)/2)*DW155*DZ155*VLOOKUP('Données projet'!$B$14,Paramètres!$A$1:$I$89,3,0)*0.475*44/12</f>
        <v>2.237927615470801E-2</v>
      </c>
      <c r="ED155" s="22">
        <f t="shared" si="178"/>
        <v>121.07514432633596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173.07692307692307</v>
      </c>
      <c r="EK155" s="17">
        <f>EJ155*VLOOKUP('Données projet'!$B$15,Paramètres!$A$1:$I$89,3,0)*VLOOKUP('Données projet'!$B$15,Paramètres!$A$1:$I$89,5,0)</f>
        <v>175.5</v>
      </c>
      <c r="EL155" s="13">
        <f t="shared" si="179"/>
        <v>44.319548641773906</v>
      </c>
      <c r="EM155" s="20">
        <f t="shared" si="180"/>
        <v>382.85238055108954</v>
      </c>
      <c r="EN155" s="59">
        <f t="shared" si="128"/>
        <v>675.09568742890201</v>
      </c>
      <c r="EO155" s="59">
        <f ca="1">AVERAGE(OFFSET($EN$3,0,0,'Données projet'!$E$15+1,1))-AVERAGE(OFFSET($H$3,0,0,'Données projet'!$E$15+1,1))</f>
        <v>270.0029254736703</v>
      </c>
      <c r="EP155" s="59">
        <f t="shared" si="154"/>
        <v>183.80022202211441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5.9869607433264971</v>
      </c>
      <c r="EW155" s="21">
        <f>EXP(-LN(2)/25)*EW154+(1-EXP(-LN(2)/25))/(LN(2)/25)*Calculateur!ER155*Calculateur!ET155*VLOOKUP('Données projet'!$B$15,Paramètres!$A$1:$I$89,3,0)*0.475*44/12</f>
        <v>5.3594226823517079</v>
      </c>
      <c r="EX155" s="21">
        <f>EXP(-LN(2)/2)*EX154+(1-EXP(-LN(2)/2))/(LN(2)/2)*ER155*EU155*VLOOKUP('Données projet'!$B$15,Paramètres!$A$1:$I$89,3,0)*0.475*44/12</f>
        <v>3.2521192211669717E-6</v>
      </c>
      <c r="EY155" s="22">
        <f t="shared" si="181"/>
        <v>11.346386677797426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-1.4897523215040567E-13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328.93328163316073</v>
      </c>
      <c r="FK155" s="59">
        <f t="shared" si="156"/>
        <v>320.27831321887072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11.071553966478893</v>
      </c>
      <c r="FR155" s="21">
        <f>EXP(-LN(2)/25)*FR154+(1-EXP(-LN(2)/25))/(LN(2)/25)*Calculateur!FM155*Calculateur!FO155*VLOOKUP('Données projet'!$B$16,Paramètres!$A$1:$I$89,3,0)*0.475*44/12</f>
        <v>6.3187136095002829</v>
      </c>
      <c r="FS155" s="21">
        <f>EXP(-LN(2)/2)*FS154+(1-EXP(-LN(2)/2))/(LN(2)/2)*FM155*FP155*VLOOKUP('Données projet'!$B$16,Paramètres!$A$1:$I$89,3,0)*0.475*44/12</f>
        <v>8.3056524482285159E-10</v>
      </c>
      <c r="FT155" s="22">
        <f t="shared" si="184"/>
        <v>17.390267576809741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173.07692307692307</v>
      </c>
      <c r="GA155" s="17">
        <f>FZ155*VLOOKUP('Données projet'!$B$17,Paramètres!$A$1:$I$89,3,0)*VLOOKUP('Données projet'!$B$17,Paramètres!$A$1:$I$89,5,0)</f>
        <v>116.1</v>
      </c>
      <c r="GB155" s="13">
        <f t="shared" si="185"/>
        <v>30.763646636385982</v>
      </c>
      <c r="GC155" s="20">
        <f t="shared" si="186"/>
        <v>255.78751789170556</v>
      </c>
      <c r="GD155" s="59">
        <f t="shared" si="134"/>
        <v>548.03082476951806</v>
      </c>
      <c r="GE155" s="59">
        <f ca="1">AVERAGE(OFFSET($GD$3,0,0,'Données projet'!$E$17+1,1))-AVERAGE(OFFSET($H$3,0,0,'Données projet'!$E$17+1,1))</f>
        <v>192.88444860121191</v>
      </c>
      <c r="GF155" s="59">
        <f t="shared" si="158"/>
        <v>136.13737493732751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4.8816756830200605</v>
      </c>
      <c r="GM155" s="21">
        <f>EXP(-LN(2)/25)*GM154+(1-EXP(-LN(2)/25))/(LN(2)/25)*Calculateur!GH155*Calculateur!GJ155*VLOOKUP('Données projet'!$B$17,Paramètres!$A$1:$I$89,3,0)*0.475*44/12</f>
        <v>4.3699908025329304</v>
      </c>
      <c r="GN155" s="21">
        <f>EXP(-LN(2)/2)*GN154+(1-EXP(-LN(2)/2))/(LN(2)/2)*GH155*GK155*VLOOKUP('Données projet'!$B$17,Paramètres!$A$1:$I$89,3,0)*0.475*44/12</f>
        <v>2.1514019463104591E-6</v>
      </c>
      <c r="GO155" s="21">
        <f t="shared" si="187"/>
        <v>9.2516686369549372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69.702720057585211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0.85000000000000009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3.1166666666666671</v>
      </c>
      <c r="H156" s="67">
        <f t="shared" si="110"/>
        <v>244.19999999999996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1328.6074588525159</v>
      </c>
      <c r="S156" s="59">
        <f ca="1">AVERAGE(OFFSET($R$3,0,0,'Données projet'!$E$9+1,1))-AVERAGE(OFFSET($H$3,0,0,'Données projet'!$E$9+1,1))</f>
        <v>643.492472896403</v>
      </c>
      <c r="T156" s="59">
        <f t="shared" si="142"/>
        <v>285.0259479655341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-2.8421709430404007E-13</v>
      </c>
      <c r="AJ156" s="13">
        <f>AI156*VLOOKUP('Données projet'!$B$10,Paramètres!$A$1:$I$89,3,0)*VLOOKUP('Données projet'!$B$10,Paramètres!$A$1:$I$89,5,0)</f>
        <v>-2.2168933355715128E-13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289.89907502443873</v>
      </c>
      <c r="AO156" s="59">
        <f t="shared" si="144"/>
        <v>267.42183550360301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7.59433012605645</v>
      </c>
      <c r="AV156" s="21">
        <f>EXP(-LN(2)/25)*AV155+(1-EXP(-LN(2)/25))/(LN(2)/25)*Calculateur!AQ156*Calculateur!AS156*VLOOKUP('Données projet'!$B$10,Paramètres!$A$1:$I$89,3,0)*0.475*44/12</f>
        <v>4.5076354715088387</v>
      </c>
      <c r="AW156" s="21">
        <f>EXP(-LN(2)/2)*AW155+(1-EXP(-LN(2)/2))/(LN(2)/2)*AQ156*AT156*VLOOKUP('Données projet'!$B$10,Paramètres!$A$1:$I$89,3,0)*0.475*44/12</f>
        <v>9.7233130251830517E-11</v>
      </c>
      <c r="AX156" s="21">
        <f t="shared" si="166"/>
        <v>12.101965597662522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-9.9475983006414026E-14</v>
      </c>
      <c r="BE156" s="13">
        <f>BD156*VLOOKUP('Données projet'!$B$11,Paramètres!$A$1:$I$89,3,0)*VLOOKUP('Données projet'!$B$11,Paramètres!$A$1:$I$89,5,0)</f>
        <v>-9.6213170763803652E-14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177.54241137663234</v>
      </c>
      <c r="BJ156" s="59">
        <f t="shared" si="146"/>
        <v>114.71095021456071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10.248973859410439</v>
      </c>
      <c r="BQ156" s="21">
        <f>EXP(-LN(2)/25)*BQ155+(1-EXP(-LN(2)/25))/(LN(2)/25)*Calculateur!BL156*Calculateur!BN156*VLOOKUP('Données projet'!$B$11,Paramètres!$A$1:$I$89,3,0)*0.475*44/12</f>
        <v>10.101400826496688</v>
      </c>
      <c r="BR156" s="21">
        <f>EXP(-LN(2)/2)*BR155+(1-EXP(-LN(2)/2))/(LN(2)/2)*BL156*BO156*VLOOKUP('Données projet'!$B$11,Paramètres!$A$1:$I$89,3,0)*0.475*44/12</f>
        <v>1.2326402242267696E-4</v>
      </c>
      <c r="BS156" s="22">
        <f t="shared" si="169"/>
        <v>20.350497949929551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-9.9475983006414026E-14</v>
      </c>
      <c r="BZ156" s="13">
        <f>BY156*VLOOKUP('Données projet'!$B$12,Paramètres!$A$1:$I$89,3,0)*VLOOKUP('Données projet'!$B$12,Paramètres!$A$1:$I$89,5,0)</f>
        <v>-1.0707594810810407E-13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192.88977161349993</v>
      </c>
      <c r="CE156" s="59">
        <f t="shared" si="148"/>
        <v>122.91376861456772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11.406116069343879</v>
      </c>
      <c r="CL156" s="21">
        <f>EXP(-LN(2)/25)*CL155+(1-EXP(-LN(2)/25))/(LN(2)/25)*Calculateur!CG156*Calculateur!CI156*VLOOKUP('Données projet'!$B$12,Paramètres!$A$1:$I$89,3,0)*0.475*44/12</f>
        <v>11.241881564972116</v>
      </c>
      <c r="CM156" s="21">
        <f>EXP(-LN(2)/2)*CM155+(1-EXP(-LN(2)/2))/(LN(2)/2)*CG156*CJ156*VLOOKUP('Données projet'!$B$12,Paramètres!$A$1:$I$89,3,0)*0.475*44/12</f>
        <v>1.3718092818007594E-4</v>
      </c>
      <c r="CN156" s="22">
        <f t="shared" si="172"/>
        <v>22.648134815244177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-8.5265128291212022E-14</v>
      </c>
      <c r="CU156" s="17">
        <f>CT156*VLOOKUP('Données projet'!$B$13,Paramètres!$A$1:$I$89,3,0)*VLOOKUP('Données projet'!$B$13,Paramètres!$A$1:$I$89,5,0)</f>
        <v>-6.9167072069831198E-14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163.16040389635825</v>
      </c>
      <c r="CZ156" s="59">
        <f t="shared" si="150"/>
        <v>138.57856782158811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2.8207524333312235</v>
      </c>
      <c r="DH156" s="21">
        <f>EXP(-LN(2)/2)*DH155+(1-EXP(-LN(2)/2))/(LN(2)/2)*DB156*DE156*VLOOKUP('Données projet'!$B$13,Paramètres!$A$1:$I$89,3,0)*0.475*44/12</f>
        <v>8.2466454725404894E-9</v>
      </c>
      <c r="DI156" s="22">
        <f t="shared" si="175"/>
        <v>2.8207524415778691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1.7053025658242404E-13</v>
      </c>
      <c r="DP156" s="17">
        <f>DO156*VLOOKUP('Données projet'!$B$14,Paramètres!$A$1:$I$89,3,0)*VLOOKUP('Données projet'!$B$14,Paramètres!$A$1:$I$89,5,0)</f>
        <v>7.9808160080574461E-14</v>
      </c>
      <c r="DQ156" s="13">
        <f t="shared" si="176"/>
        <v>1.2308384591775343E-12</v>
      </c>
      <c r="DR156" s="20">
        <f t="shared" si="177"/>
        <v>2.282709528541206E-12</v>
      </c>
      <c r="DS156" s="59">
        <f t="shared" si="125"/>
        <v>292.26221639988393</v>
      </c>
      <c r="DT156" s="59">
        <f ca="1">AVERAGE(OFFSET($DS$3,0,0,'Données projet'!$E$14+1,1))-AVERAGE(OFFSET($H$3,0,0,'Données projet'!$E$14+1,1))</f>
        <v>343.44193069803498</v>
      </c>
      <c r="DU156" s="59">
        <f t="shared" si="152"/>
        <v>280.67367019483481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94.080588483515044</v>
      </c>
      <c r="EB156" s="21">
        <f>EXP(-LN(2)/25)*EB155+(1-EXP(-LN(2)/25))/(LN(2)/25)*Calculateur!DW156*Calculateur!DY156*VLOOKUP('Données projet'!$B$14,Paramètres!$A$1:$I$89,3,0)*0.475*44/12</f>
        <v>24.404314708332226</v>
      </c>
      <c r="EC156" s="21">
        <f>EXP(-LN(2)/2)*EC155+(1-EXP(-LN(2)/2))/(LN(2)/2)*DW156*DZ156*VLOOKUP('Données projet'!$B$14,Paramètres!$A$1:$I$89,3,0)*0.475*44/12</f>
        <v>1.5824537927040437E-2</v>
      </c>
      <c r="ED156" s="22">
        <f t="shared" si="178"/>
        <v>118.50072772977431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173.07692307692307</v>
      </c>
      <c r="EK156" s="17">
        <f>EJ156*VLOOKUP('Données projet'!$B$15,Paramètres!$A$1:$I$89,3,0)*VLOOKUP('Données projet'!$B$15,Paramètres!$A$1:$I$89,5,0)</f>
        <v>175.5</v>
      </c>
      <c r="EL156" s="13">
        <f t="shared" si="179"/>
        <v>44.319548641773906</v>
      </c>
      <c r="EM156" s="20">
        <f t="shared" si="180"/>
        <v>382.85238055108954</v>
      </c>
      <c r="EN156" s="59">
        <f t="shared" si="128"/>
        <v>675.11459695097119</v>
      </c>
      <c r="EO156" s="59">
        <f ca="1">AVERAGE(OFFSET($EN$3,0,0,'Données projet'!$E$15+1,1))-AVERAGE(OFFSET($H$3,0,0,'Données projet'!$E$15+1,1))</f>
        <v>270.0029254736703</v>
      </c>
      <c r="EP156" s="59">
        <f t="shared" si="154"/>
        <v>183.80022202211441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5.8695600948353439</v>
      </c>
      <c r="EW156" s="21">
        <f>EXP(-LN(2)/25)*EW155+(1-EXP(-LN(2)/25))/(LN(2)/25)*Calculateur!ER156*Calculateur!ET156*VLOOKUP('Données projet'!$B$15,Paramètres!$A$1:$I$89,3,0)*0.475*44/12</f>
        <v>5.2128689872630112</v>
      </c>
      <c r="EX156" s="21">
        <f>EXP(-LN(2)/2)*EX155+(1-EXP(-LN(2)/2))/(LN(2)/2)*ER156*EU156*VLOOKUP('Données projet'!$B$15,Paramètres!$A$1:$I$89,3,0)*0.475*44/12</f>
        <v>2.2995955545142792E-6</v>
      </c>
      <c r="EY156" s="22">
        <f t="shared" si="181"/>
        <v>11.082431381693908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-1.4897523215040567E-13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328.93328163316073</v>
      </c>
      <c r="FK156" s="59">
        <f t="shared" si="156"/>
        <v>320.27831321887072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10.85444754617736</v>
      </c>
      <c r="FR156" s="21">
        <f>EXP(-LN(2)/25)*FR155+(1-EXP(-LN(2)/25))/(LN(2)/25)*Calculateur!FM156*Calculateur!FO156*VLOOKUP('Données projet'!$B$16,Paramètres!$A$1:$I$89,3,0)*0.475*44/12</f>
        <v>6.1459280535617902</v>
      </c>
      <c r="FS156" s="21">
        <f>EXP(-LN(2)/2)*FS155+(1-EXP(-LN(2)/2))/(LN(2)/2)*FM156*FP156*VLOOKUP('Données projet'!$B$16,Paramètres!$A$1:$I$89,3,0)*0.475*44/12</f>
        <v>5.8729831683210339E-10</v>
      </c>
      <c r="FT156" s="22">
        <f t="shared" si="184"/>
        <v>17.00037560032645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173.07692307692307</v>
      </c>
      <c r="GA156" s="17">
        <f>FZ156*VLOOKUP('Données projet'!$B$17,Paramètres!$A$1:$I$89,3,0)*VLOOKUP('Données projet'!$B$17,Paramètres!$A$1:$I$89,5,0)</f>
        <v>116.1</v>
      </c>
      <c r="GB156" s="13">
        <f t="shared" si="185"/>
        <v>30.763646636385982</v>
      </c>
      <c r="GC156" s="20">
        <f t="shared" si="186"/>
        <v>255.78751789170556</v>
      </c>
      <c r="GD156" s="59">
        <f t="shared" si="134"/>
        <v>548.04973429158724</v>
      </c>
      <c r="GE156" s="59">
        <f ca="1">AVERAGE(OFFSET($GD$3,0,0,'Données projet'!$E$17+1,1))-AVERAGE(OFFSET($H$3,0,0,'Données projet'!$E$17+1,1))</f>
        <v>192.88444860121191</v>
      </c>
      <c r="GF156" s="59">
        <f t="shared" si="158"/>
        <v>136.13737493732751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4.7859490004041971</v>
      </c>
      <c r="GM156" s="21">
        <f>EXP(-LN(2)/25)*GM155+(1-EXP(-LN(2)/25))/(LN(2)/25)*Calculateur!GH156*Calculateur!GJ156*VLOOKUP('Données projet'!$B$17,Paramètres!$A$1:$I$89,3,0)*0.475*44/12</f>
        <v>4.2504931742298391</v>
      </c>
      <c r="GN156" s="21">
        <f>EXP(-LN(2)/2)*GN155+(1-EXP(-LN(2)/2))/(LN(2)/2)*GH156*GK156*VLOOKUP('Données projet'!$B$17,Paramètres!$A$1:$I$89,3,0)*0.475*44/12</f>
        <v>1.5212709052940623E-6</v>
      </c>
      <c r="GO156" s="21">
        <f t="shared" si="187"/>
        <v>9.036443695904941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69.707877199967726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0.85000000000000009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3.1166666666666671</v>
      </c>
      <c r="H157" s="67">
        <f t="shared" si="110"/>
        <v>244.19999999999996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1346.2492659301397</v>
      </c>
      <c r="S157" s="59">
        <f ca="1">AVERAGE(OFFSET($R$3,0,0,'Données projet'!$E$9+1,1))-AVERAGE(OFFSET($H$3,0,0,'Données projet'!$E$9+1,1))</f>
        <v>643.492472896403</v>
      </c>
      <c r="T157" s="59">
        <f t="shared" si="142"/>
        <v>285.0259479655341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-2.8421709430404007E-13</v>
      </c>
      <c r="AJ157" s="13">
        <f>AI157*VLOOKUP('Données projet'!$B$10,Paramètres!$A$1:$I$89,3,0)*VLOOKUP('Données projet'!$B$10,Paramètres!$A$1:$I$89,5,0)</f>
        <v>-2.2168933355715128E-13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289.89907502443873</v>
      </c>
      <c r="AO157" s="59">
        <f t="shared" si="144"/>
        <v>267.42183550360301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7.4454099443684791</v>
      </c>
      <c r="AV157" s="21">
        <f>EXP(-LN(2)/25)*AV156+(1-EXP(-LN(2)/25))/(LN(2)/25)*Calculateur!AQ157*Calculateur!AS157*VLOOKUP('Données projet'!$B$10,Paramètres!$A$1:$I$89,3,0)*0.475*44/12</f>
        <v>4.3843739424941823</v>
      </c>
      <c r="AW157" s="21">
        <f>EXP(-LN(2)/2)*AW156+(1-EXP(-LN(2)/2))/(LN(2)/2)*AQ157*AT157*VLOOKUP('Données projet'!$B$10,Paramètres!$A$1:$I$89,3,0)*0.475*44/12</f>
        <v>6.8754205757064195E-11</v>
      </c>
      <c r="AX157" s="21">
        <f t="shared" si="166"/>
        <v>11.829783886931414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-9.9475983006414026E-14</v>
      </c>
      <c r="BE157" s="13">
        <f>BD157*VLOOKUP('Données projet'!$B$11,Paramètres!$A$1:$I$89,3,0)*VLOOKUP('Données projet'!$B$11,Paramètres!$A$1:$I$89,5,0)</f>
        <v>-9.6213170763803652E-14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177.54241137663234</v>
      </c>
      <c r="BJ157" s="59">
        <f t="shared" si="146"/>
        <v>114.71095021456071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10.047997733284195</v>
      </c>
      <c r="BQ157" s="21">
        <f>EXP(-LN(2)/25)*BQ156+(1-EXP(-LN(2)/25))/(LN(2)/25)*Calculateur!BL157*Calculateur!BN157*VLOOKUP('Données projet'!$B$11,Paramètres!$A$1:$I$89,3,0)*0.475*44/12</f>
        <v>9.8251774896865545</v>
      </c>
      <c r="BR157" s="21">
        <f>EXP(-LN(2)/2)*BR156+(1-EXP(-LN(2)/2))/(LN(2)/2)*BL157*BO157*VLOOKUP('Données projet'!$B$11,Paramètres!$A$1:$I$89,3,0)*0.475*44/12</f>
        <v>8.7160826131405525E-5</v>
      </c>
      <c r="BS157" s="22">
        <f t="shared" si="169"/>
        <v>19.873262383796881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-9.9475983006414026E-14</v>
      </c>
      <c r="BZ157" s="13">
        <f>BY157*VLOOKUP('Données projet'!$B$12,Paramètres!$A$1:$I$89,3,0)*VLOOKUP('Données projet'!$B$12,Paramètres!$A$1:$I$89,5,0)</f>
        <v>-1.0707594810810407E-13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192.88977161349993</v>
      </c>
      <c r="CE157" s="59">
        <f t="shared" si="148"/>
        <v>122.91376861456772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11.182449090267896</v>
      </c>
      <c r="CL157" s="21">
        <f>EXP(-LN(2)/25)*CL156+(1-EXP(-LN(2)/25))/(LN(2)/25)*Calculateur!CG157*Calculateur!CI157*VLOOKUP('Données projet'!$B$12,Paramètres!$A$1:$I$89,3,0)*0.475*44/12</f>
        <v>10.934471722393097</v>
      </c>
      <c r="CM157" s="21">
        <f>EXP(-LN(2)/2)*CM156+(1-EXP(-LN(2)/2))/(LN(2)/2)*CG157*CJ157*VLOOKUP('Données projet'!$B$12,Paramètres!$A$1:$I$89,3,0)*0.475*44/12</f>
        <v>9.700156456559645E-5</v>
      </c>
      <c r="CN157" s="22">
        <f t="shared" si="172"/>
        <v>22.117017814225559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-8.5265128291212022E-14</v>
      </c>
      <c r="CU157" s="17">
        <f>CT157*VLOOKUP('Données projet'!$B$13,Paramètres!$A$1:$I$89,3,0)*VLOOKUP('Données projet'!$B$13,Paramètres!$A$1:$I$89,5,0)</f>
        <v>-6.9167072069831198E-14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163.16040389635825</v>
      </c>
      <c r="CZ157" s="59">
        <f t="shared" si="150"/>
        <v>138.57856782158811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2.7436188097048575</v>
      </c>
      <c r="DH157" s="21">
        <f>EXP(-LN(2)/2)*DH156+(1-EXP(-LN(2)/2))/(LN(2)/2)*DB157*DE157*VLOOKUP('Données projet'!$B$13,Paramètres!$A$1:$I$89,3,0)*0.475*44/12</f>
        <v>5.8312589356747208E-9</v>
      </c>
      <c r="DI157" s="22">
        <f t="shared" si="175"/>
        <v>2.7436188155361165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1.7053025658242404E-13</v>
      </c>
      <c r="DP157" s="17">
        <f>DO157*VLOOKUP('Données projet'!$B$14,Paramètres!$A$1:$I$89,3,0)*VLOOKUP('Données projet'!$B$14,Paramètres!$A$1:$I$89,5,0)</f>
        <v>7.9808160080574461E-14</v>
      </c>
      <c r="DQ157" s="13">
        <f t="shared" si="176"/>
        <v>1.2308384591775343E-12</v>
      </c>
      <c r="DR157" s="20">
        <f t="shared" si="177"/>
        <v>2.282709528541206E-12</v>
      </c>
      <c r="DS157" s="59">
        <f t="shared" si="125"/>
        <v>292.28079788402056</v>
      </c>
      <c r="DT157" s="59">
        <f ca="1">AVERAGE(OFFSET($DS$3,0,0,'Données projet'!$E$14+1,1))-AVERAGE(OFFSET($H$3,0,0,'Données projet'!$E$14+1,1))</f>
        <v>343.44193069803498</v>
      </c>
      <c r="DU157" s="59">
        <f t="shared" si="152"/>
        <v>280.67367019483481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92.235725526846139</v>
      </c>
      <c r="EB157" s="21">
        <f>EXP(-LN(2)/25)*EB156+(1-EXP(-LN(2)/25))/(LN(2)/25)*Calculateur!DW157*Calculateur!DY157*VLOOKUP('Données projet'!$B$14,Paramètres!$A$1:$I$89,3,0)*0.475*44/12</f>
        <v>23.736977439265747</v>
      </c>
      <c r="EC157" s="21">
        <f>EXP(-LN(2)/2)*EC156+(1-EXP(-LN(2)/2))/(LN(2)/2)*DW157*DZ157*VLOOKUP('Données projet'!$B$14,Paramètres!$A$1:$I$89,3,0)*0.475*44/12</f>
        <v>1.1189638077354005E-2</v>
      </c>
      <c r="ED157" s="22">
        <f t="shared" si="178"/>
        <v>115.98389260418924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173.07692307692307</v>
      </c>
      <c r="EK157" s="17">
        <f>EJ157*VLOOKUP('Données projet'!$B$15,Paramètres!$A$1:$I$89,3,0)*VLOOKUP('Données projet'!$B$15,Paramètres!$A$1:$I$89,5,0)</f>
        <v>175.5</v>
      </c>
      <c r="EL157" s="13">
        <f t="shared" si="179"/>
        <v>44.319548641773906</v>
      </c>
      <c r="EM157" s="20">
        <f t="shared" si="180"/>
        <v>382.85238055108954</v>
      </c>
      <c r="EN157" s="59">
        <f t="shared" si="128"/>
        <v>675.13317843510777</v>
      </c>
      <c r="EO157" s="59">
        <f ca="1">AVERAGE(OFFSET($EN$3,0,0,'Données projet'!$E$15+1,1))-AVERAGE(OFFSET($H$3,0,0,'Données projet'!$E$15+1,1))</f>
        <v>270.0029254736703</v>
      </c>
      <c r="EP157" s="59">
        <f t="shared" si="154"/>
        <v>183.80022202211441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5.7544616014537775</v>
      </c>
      <c r="EW157" s="21">
        <f>EXP(-LN(2)/25)*EW156+(1-EXP(-LN(2)/25))/(LN(2)/25)*Calculateur!ER157*Calculateur!ET157*VLOOKUP('Données projet'!$B$15,Paramètres!$A$1:$I$89,3,0)*0.475*44/12</f>
        <v>5.0703228106734386</v>
      </c>
      <c r="EX157" s="21">
        <f>EXP(-LN(2)/2)*EX156+(1-EXP(-LN(2)/2))/(LN(2)/2)*ER157*EU157*VLOOKUP('Données projet'!$B$15,Paramètres!$A$1:$I$89,3,0)*0.475*44/12</f>
        <v>1.6260596105834859E-6</v>
      </c>
      <c r="EY157" s="22">
        <f t="shared" si="181"/>
        <v>10.824786038186826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-1.4897523215040567E-13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328.93328163316073</v>
      </c>
      <c r="FK157" s="59">
        <f t="shared" si="156"/>
        <v>320.27831321887072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10.641598450356099</v>
      </c>
      <c r="FR157" s="21">
        <f>EXP(-LN(2)/25)*FR156+(1-EXP(-LN(2)/25))/(LN(2)/25)*Calculateur!FM157*Calculateur!FO157*VLOOKUP('Données projet'!$B$16,Paramètres!$A$1:$I$89,3,0)*0.475*44/12</f>
        <v>5.977867327736833</v>
      </c>
      <c r="FS157" s="21">
        <f>EXP(-LN(2)/2)*FS156+(1-EXP(-LN(2)/2))/(LN(2)/2)*FM157*FP157*VLOOKUP('Données projet'!$B$16,Paramètres!$A$1:$I$89,3,0)*0.475*44/12</f>
        <v>4.152826224114258E-10</v>
      </c>
      <c r="FT157" s="22">
        <f t="shared" si="184"/>
        <v>16.619465778508214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173.07692307692307</v>
      </c>
      <c r="GA157" s="17">
        <f>FZ157*VLOOKUP('Données projet'!$B$17,Paramètres!$A$1:$I$89,3,0)*VLOOKUP('Données projet'!$B$17,Paramètres!$A$1:$I$89,5,0)</f>
        <v>116.1</v>
      </c>
      <c r="GB157" s="13">
        <f t="shared" si="185"/>
        <v>30.763646636385982</v>
      </c>
      <c r="GC157" s="20">
        <f t="shared" si="186"/>
        <v>255.78751789170556</v>
      </c>
      <c r="GD157" s="59">
        <f t="shared" si="134"/>
        <v>548.06831577572382</v>
      </c>
      <c r="GE157" s="59">
        <f ca="1">AVERAGE(OFFSET($GD$3,0,0,'Données projet'!$E$17+1,1))-AVERAGE(OFFSET($H$3,0,0,'Données projet'!$E$17+1,1))</f>
        <v>192.88444860121191</v>
      </c>
      <c r="GF157" s="59">
        <f t="shared" si="158"/>
        <v>136.13737493732751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4.6920994596469194</v>
      </c>
      <c r="GM157" s="21">
        <f>EXP(-LN(2)/25)*GM156+(1-EXP(-LN(2)/25))/(LN(2)/25)*Calculateur!GH157*Calculateur!GJ157*VLOOKUP('Données projet'!$B$17,Paramètres!$A$1:$I$89,3,0)*0.475*44/12</f>
        <v>4.1342632148568024</v>
      </c>
      <c r="GN157" s="21">
        <f>EXP(-LN(2)/2)*GN156+(1-EXP(-LN(2)/2))/(LN(2)/2)*GH157*GK157*VLOOKUP('Données projet'!$B$17,Paramètres!$A$1:$I$89,3,0)*0.475*44/12</f>
        <v>1.0757009731552295E-6</v>
      </c>
      <c r="GO157" s="21">
        <f t="shared" si="187"/>
        <v>8.8263637502046954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69.712944877459535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0.85000000000000009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3.1166666666666671</v>
      </c>
      <c r="H158" s="67">
        <f t="shared" si="110"/>
        <v>244.19999999999996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1248.8499620822195</v>
      </c>
      <c r="S158" s="59">
        <f ca="1">AVERAGE(OFFSET($R$3,0,0,'Données projet'!$E$9+1,1))-AVERAGE(OFFSET($H$3,0,0,'Données projet'!$E$9+1,1))</f>
        <v>643.492472896403</v>
      </c>
      <c r="T158" s="59">
        <f t="shared" si="142"/>
        <v>285.0259479655341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-2.8421709430404007E-13</v>
      </c>
      <c r="AJ158" s="13">
        <f>AI158*VLOOKUP('Données projet'!$B$10,Paramètres!$A$1:$I$89,3,0)*VLOOKUP('Données projet'!$B$10,Paramètres!$A$1:$I$89,5,0)</f>
        <v>-2.2168933355715128E-13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289.89907502443873</v>
      </c>
      <c r="AO158" s="59">
        <f t="shared" si="144"/>
        <v>267.42183550360301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7.2994099966110682</v>
      </c>
      <c r="AV158" s="21">
        <f>EXP(-LN(2)/25)*AV157+(1-EXP(-LN(2)/25))/(LN(2)/25)*Calculateur!AQ158*Calculateur!AS158*VLOOKUP('Données projet'!$B$10,Paramètres!$A$1:$I$89,3,0)*0.475*44/12</f>
        <v>4.2644830064724735</v>
      </c>
      <c r="AW158" s="21">
        <f>EXP(-LN(2)/2)*AW157+(1-EXP(-LN(2)/2))/(LN(2)/2)*AQ158*AT158*VLOOKUP('Données projet'!$B$10,Paramètres!$A$1:$I$89,3,0)*0.475*44/12</f>
        <v>4.8616565125915259E-11</v>
      </c>
      <c r="AX158" s="21">
        <f t="shared" si="166"/>
        <v>11.56389300313216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-9.9475983006414026E-14</v>
      </c>
      <c r="BE158" s="13">
        <f>BD158*VLOOKUP('Données projet'!$B$11,Paramètres!$A$1:$I$89,3,0)*VLOOKUP('Données projet'!$B$11,Paramètres!$A$1:$I$89,5,0)</f>
        <v>-9.6213170763803652E-14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177.54241137663234</v>
      </c>
      <c r="BJ158" s="59">
        <f t="shared" si="146"/>
        <v>114.71095021456071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9.8509626264079522</v>
      </c>
      <c r="BQ158" s="21">
        <f>EXP(-LN(2)/25)*BQ157+(1-EXP(-LN(2)/25))/(LN(2)/25)*Calculateur!BL158*Calculateur!BN158*VLOOKUP('Données projet'!$B$11,Paramètres!$A$1:$I$89,3,0)*0.475*44/12</f>
        <v>9.5565074945474464</v>
      </c>
      <c r="BR158" s="21">
        <f>EXP(-LN(2)/2)*BR157+(1-EXP(-LN(2)/2))/(LN(2)/2)*BL158*BO158*VLOOKUP('Données projet'!$B$11,Paramètres!$A$1:$I$89,3,0)*0.475*44/12</f>
        <v>6.163201121133848E-5</v>
      </c>
      <c r="BS158" s="22">
        <f t="shared" si="169"/>
        <v>19.407531752966609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-9.9475983006414026E-14</v>
      </c>
      <c r="BZ158" s="13">
        <f>BY158*VLOOKUP('Données projet'!$B$12,Paramètres!$A$1:$I$89,3,0)*VLOOKUP('Données projet'!$B$12,Paramètres!$A$1:$I$89,5,0)</f>
        <v>-1.0707594810810407E-13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192.88977161349993</v>
      </c>
      <c r="CE158" s="59">
        <f t="shared" si="148"/>
        <v>122.91376861456772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10.963168084228208</v>
      </c>
      <c r="CL158" s="21">
        <f>EXP(-LN(2)/25)*CL157+(1-EXP(-LN(2)/25))/(LN(2)/25)*Calculateur!CG158*Calculateur!CI158*VLOOKUP('Données projet'!$B$12,Paramètres!$A$1:$I$89,3,0)*0.475*44/12</f>
        <v>10.635468018125382</v>
      </c>
      <c r="CM158" s="21">
        <f>EXP(-LN(2)/2)*CM157+(1-EXP(-LN(2)/2))/(LN(2)/2)*CG158*CJ158*VLOOKUP('Données projet'!$B$12,Paramètres!$A$1:$I$89,3,0)*0.475*44/12</f>
        <v>6.8590464090037971E-5</v>
      </c>
      <c r="CN158" s="22">
        <f t="shared" si="172"/>
        <v>21.598704692817677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-8.5265128291212022E-14</v>
      </c>
      <c r="CU158" s="17">
        <f>CT158*VLOOKUP('Données projet'!$B$13,Paramètres!$A$1:$I$89,3,0)*VLOOKUP('Données projet'!$B$13,Paramètres!$A$1:$I$89,5,0)</f>
        <v>-6.9167072069831198E-14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163.16040389635825</v>
      </c>
      <c r="CZ158" s="59">
        <f t="shared" si="150"/>
        <v>138.57856782158811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2.6685944090728357</v>
      </c>
      <c r="DH158" s="21">
        <f>EXP(-LN(2)/2)*DH157+(1-EXP(-LN(2)/2))/(LN(2)/2)*DB158*DE158*VLOOKUP('Données projet'!$B$13,Paramètres!$A$1:$I$89,3,0)*0.475*44/12</f>
        <v>4.1233227362702447E-9</v>
      </c>
      <c r="DI158" s="22">
        <f t="shared" si="175"/>
        <v>2.6685944131961583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1.7053025658242404E-13</v>
      </c>
      <c r="DP158" s="17">
        <f>DO158*VLOOKUP('Données projet'!$B$14,Paramètres!$A$1:$I$89,3,0)*VLOOKUP('Données projet'!$B$14,Paramètres!$A$1:$I$89,5,0)</f>
        <v>7.9808160080574461E-14</v>
      </c>
      <c r="DQ158" s="13">
        <f t="shared" si="176"/>
        <v>1.2308384591775343E-12</v>
      </c>
      <c r="DR158" s="20">
        <f t="shared" si="177"/>
        <v>2.282709528541206E-12</v>
      </c>
      <c r="DS158" s="59">
        <f t="shared" si="125"/>
        <v>292.29905702094948</v>
      </c>
      <c r="DT158" s="59">
        <f ca="1">AVERAGE(OFFSET($DS$3,0,0,'Données projet'!$E$14+1,1))-AVERAGE(OFFSET($H$3,0,0,'Données projet'!$E$14+1,1))</f>
        <v>343.44193069803498</v>
      </c>
      <c r="DU158" s="59">
        <f t="shared" si="152"/>
        <v>280.67367019483481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90.427039207502219</v>
      </c>
      <c r="EB158" s="21">
        <f>EXP(-LN(2)/25)*EB157+(1-EXP(-LN(2)/25))/(LN(2)/25)*Calculateur!DW158*Calculateur!DY158*VLOOKUP('Données projet'!$B$14,Paramètres!$A$1:$I$89,3,0)*0.475*44/12</f>
        <v>23.087888542915632</v>
      </c>
      <c r="EC158" s="21">
        <f>EXP(-LN(2)/2)*EC157+(1-EXP(-LN(2)/2))/(LN(2)/2)*DW158*DZ158*VLOOKUP('Données projet'!$B$14,Paramètres!$A$1:$I$89,3,0)*0.475*44/12</f>
        <v>7.9122689635202186E-3</v>
      </c>
      <c r="ED158" s="22">
        <f t="shared" si="178"/>
        <v>113.52284001938138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173.07692307692307</v>
      </c>
      <c r="EK158" s="17">
        <f>EJ158*VLOOKUP('Données projet'!$B$15,Paramètres!$A$1:$I$89,3,0)*VLOOKUP('Données projet'!$B$15,Paramètres!$A$1:$I$89,5,0)</f>
        <v>175.5</v>
      </c>
      <c r="EL158" s="13">
        <f t="shared" si="179"/>
        <v>44.319548641773906</v>
      </c>
      <c r="EM158" s="20">
        <f t="shared" si="180"/>
        <v>382.85238055108954</v>
      </c>
      <c r="EN158" s="59">
        <f t="shared" si="128"/>
        <v>675.15143757203668</v>
      </c>
      <c r="EO158" s="59">
        <f ca="1">AVERAGE(OFFSET($EN$3,0,0,'Données projet'!$E$15+1,1))-AVERAGE(OFFSET($H$3,0,0,'Données projet'!$E$15+1,1))</f>
        <v>270.0029254736703</v>
      </c>
      <c r="EP158" s="59">
        <f t="shared" si="154"/>
        <v>183.80022202211441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5.6416201193242745</v>
      </c>
      <c r="EW158" s="21">
        <f>EXP(-LN(2)/25)*EW157+(1-EXP(-LN(2)/25))/(LN(2)/25)*Calculateur!ER158*Calculateur!ET158*VLOOKUP('Données projet'!$B$15,Paramètres!$A$1:$I$89,3,0)*0.475*44/12</f>
        <v>4.9316745667788853</v>
      </c>
      <c r="EX158" s="21">
        <f>EXP(-LN(2)/2)*EX157+(1-EXP(-LN(2)/2))/(LN(2)/2)*ER158*EU158*VLOOKUP('Données projet'!$B$15,Paramètres!$A$1:$I$89,3,0)*0.475*44/12</f>
        <v>1.1497977772571396E-6</v>
      </c>
      <c r="EY158" s="22">
        <f t="shared" si="181"/>
        <v>10.573295835900938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-1.4897523215040567E-13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328.93328163316073</v>
      </c>
      <c r="FK158" s="59">
        <f t="shared" si="156"/>
        <v>320.27831321887072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10.432923195478764</v>
      </c>
      <c r="FR158" s="21">
        <f>EXP(-LN(2)/25)*FR157+(1-EXP(-LN(2)/25))/(LN(2)/25)*Calculateur!FM158*Calculateur!FO158*VLOOKUP('Données projet'!$B$16,Paramètres!$A$1:$I$89,3,0)*0.475*44/12</f>
        <v>5.814402231297489</v>
      </c>
      <c r="FS158" s="21">
        <f>EXP(-LN(2)/2)*FS157+(1-EXP(-LN(2)/2))/(LN(2)/2)*FM158*FP158*VLOOKUP('Données projet'!$B$16,Paramètres!$A$1:$I$89,3,0)*0.475*44/12</f>
        <v>2.9364915841605169E-10</v>
      </c>
      <c r="FT158" s="22">
        <f t="shared" si="184"/>
        <v>16.247325427069903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173.07692307692307</v>
      </c>
      <c r="GA158" s="17">
        <f>FZ158*VLOOKUP('Données projet'!$B$17,Paramètres!$A$1:$I$89,3,0)*VLOOKUP('Données projet'!$B$17,Paramètres!$A$1:$I$89,5,0)</f>
        <v>116.1</v>
      </c>
      <c r="GB158" s="13">
        <f t="shared" si="185"/>
        <v>30.763646636385982</v>
      </c>
      <c r="GC158" s="20">
        <f t="shared" si="186"/>
        <v>255.78751789170556</v>
      </c>
      <c r="GD158" s="59">
        <f t="shared" si="134"/>
        <v>548.08657491265274</v>
      </c>
      <c r="GE158" s="59">
        <f ca="1">AVERAGE(OFFSET($GD$3,0,0,'Données projet'!$E$17+1,1))-AVERAGE(OFFSET($H$3,0,0,'Données projet'!$E$17+1,1))</f>
        <v>192.88444860121191</v>
      </c>
      <c r="GF158" s="59">
        <f t="shared" si="158"/>
        <v>136.13737493732751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4.6000902511413244</v>
      </c>
      <c r="GM158" s="21">
        <f>EXP(-LN(2)/25)*GM157+(1-EXP(-LN(2)/25))/(LN(2)/25)*Calculateur!GH158*Calculateur!GJ158*VLOOKUP('Données projet'!$B$17,Paramètres!$A$1:$I$89,3,0)*0.475*44/12</f>
        <v>4.0212115698350894</v>
      </c>
      <c r="GN158" s="21">
        <f>EXP(-LN(2)/2)*GN157+(1-EXP(-LN(2)/2))/(LN(2)/2)*GH158*GK158*VLOOKUP('Données projet'!$B$17,Paramètres!$A$1:$I$89,3,0)*0.475*44/12</f>
        <v>7.6063545264703114E-7</v>
      </c>
      <c r="GO158" s="21">
        <f t="shared" si="187"/>
        <v>8.6213025816118662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69.717924642076511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0.85000000000000009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3.1166666666666671</v>
      </c>
      <c r="H159" s="67">
        <f t="shared" si="110"/>
        <v>244.19999999999996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1266.8080128319421</v>
      </c>
      <c r="S159" s="59">
        <f ca="1">AVERAGE(OFFSET($R$3,0,0,'Données projet'!$E$9+1,1))-AVERAGE(OFFSET($H$3,0,0,'Données projet'!$E$9+1,1))</f>
        <v>643.492472896403</v>
      </c>
      <c r="T159" s="59">
        <f t="shared" si="142"/>
        <v>285.0259479655341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-2.8421709430404007E-13</v>
      </c>
      <c r="AJ159" s="13">
        <f>AI159*VLOOKUP('Données projet'!$B$10,Paramètres!$A$1:$I$89,3,0)*VLOOKUP('Données projet'!$B$10,Paramètres!$A$1:$I$89,5,0)</f>
        <v>-2.2168933355715128E-13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289.89907502443873</v>
      </c>
      <c r="AO159" s="59">
        <f t="shared" si="144"/>
        <v>267.42183550360301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7.1562730187780046</v>
      </c>
      <c r="AV159" s="21">
        <f>EXP(-LN(2)/25)*AV158+(1-EXP(-LN(2)/25))/(LN(2)/25)*Calculateur!AQ159*Calculateur!AS159*VLOOKUP('Données projet'!$B$10,Paramètres!$A$1:$I$89,3,0)*0.475*44/12</f>
        <v>4.1478704944010687</v>
      </c>
      <c r="AW159" s="21">
        <f>EXP(-LN(2)/2)*AW158+(1-EXP(-LN(2)/2))/(LN(2)/2)*AQ159*AT159*VLOOKUP('Données projet'!$B$10,Paramètres!$A$1:$I$89,3,0)*0.475*44/12</f>
        <v>3.4377102878532097E-11</v>
      </c>
      <c r="AX159" s="21">
        <f t="shared" si="166"/>
        <v>11.304143513213452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-9.9475983006414026E-14</v>
      </c>
      <c r="BE159" s="13">
        <f>BD159*VLOOKUP('Données projet'!$B$11,Paramètres!$A$1:$I$89,3,0)*VLOOKUP('Données projet'!$B$11,Paramètres!$A$1:$I$89,5,0)</f>
        <v>-9.6213170763803652E-14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177.54241137663234</v>
      </c>
      <c r="BJ159" s="59">
        <f t="shared" si="146"/>
        <v>114.71095021456071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9.6577912577980047</v>
      </c>
      <c r="BQ159" s="21">
        <f>EXP(-LN(2)/25)*BQ158+(1-EXP(-LN(2)/25))/(LN(2)/25)*Calculateur!BL159*Calculateur!BN159*VLOOKUP('Données projet'!$B$11,Paramètres!$A$1:$I$89,3,0)*0.475*44/12</f>
        <v>9.2951842945541596</v>
      </c>
      <c r="BR159" s="21">
        <f>EXP(-LN(2)/2)*BR158+(1-EXP(-LN(2)/2))/(LN(2)/2)*BL159*BO159*VLOOKUP('Données projet'!$B$11,Paramètres!$A$1:$I$89,3,0)*0.475*44/12</f>
        <v>4.3580413065702763E-5</v>
      </c>
      <c r="BS159" s="22">
        <f t="shared" si="169"/>
        <v>18.953019132765231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-9.9475983006414026E-14</v>
      </c>
      <c r="BZ159" s="13">
        <f>BY159*VLOOKUP('Données projet'!$B$12,Paramètres!$A$1:$I$89,3,0)*VLOOKUP('Données projet'!$B$12,Paramètres!$A$1:$I$89,5,0)</f>
        <v>-1.0707594810810407E-13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192.88977161349993</v>
      </c>
      <c r="CE159" s="59">
        <f t="shared" si="148"/>
        <v>122.91376861456772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10.74818704496875</v>
      </c>
      <c r="CL159" s="21">
        <f>EXP(-LN(2)/25)*CL158+(1-EXP(-LN(2)/25))/(LN(2)/25)*Calculateur!CG159*Calculateur!CI159*VLOOKUP('Données projet'!$B$12,Paramètres!$A$1:$I$89,3,0)*0.475*44/12</f>
        <v>10.344640585874787</v>
      </c>
      <c r="CM159" s="21">
        <f>EXP(-LN(2)/2)*CM158+(1-EXP(-LN(2)/2))/(LN(2)/2)*CG159*CJ159*VLOOKUP('Données projet'!$B$12,Paramètres!$A$1:$I$89,3,0)*0.475*44/12</f>
        <v>4.8500782282798225E-5</v>
      </c>
      <c r="CN159" s="22">
        <f t="shared" si="172"/>
        <v>21.092876131625818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-8.5265128291212022E-14</v>
      </c>
      <c r="CU159" s="17">
        <f>CT159*VLOOKUP('Données projet'!$B$13,Paramètres!$A$1:$I$89,3,0)*VLOOKUP('Données projet'!$B$13,Paramètres!$A$1:$I$89,5,0)</f>
        <v>-6.9167072069831198E-14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163.16040389635825</v>
      </c>
      <c r="CZ159" s="59">
        <f t="shared" si="150"/>
        <v>138.57856782158811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2.595621554621458</v>
      </c>
      <c r="DH159" s="21">
        <f>EXP(-LN(2)/2)*DH158+(1-EXP(-LN(2)/2))/(LN(2)/2)*DB159*DE159*VLOOKUP('Données projet'!$B$13,Paramètres!$A$1:$I$89,3,0)*0.475*44/12</f>
        <v>2.9156294678373604E-9</v>
      </c>
      <c r="DI159" s="22">
        <f t="shared" si="175"/>
        <v>2.5956215575370876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1.7053025658242404E-13</v>
      </c>
      <c r="DP159" s="17">
        <f>DO159*VLOOKUP('Données projet'!$B$14,Paramètres!$A$1:$I$89,3,0)*VLOOKUP('Données projet'!$B$14,Paramètres!$A$1:$I$89,5,0)</f>
        <v>7.9808160080574461E-14</v>
      </c>
      <c r="DQ159" s="13">
        <f t="shared" si="176"/>
        <v>1.2308384591775343E-12</v>
      </c>
      <c r="DR159" s="20">
        <f t="shared" si="177"/>
        <v>2.282709528541206E-12</v>
      </c>
      <c r="DS159" s="59">
        <f t="shared" si="125"/>
        <v>292.31699940267396</v>
      </c>
      <c r="DT159" s="59">
        <f ca="1">AVERAGE(OFFSET($DS$3,0,0,'Données projet'!$E$14+1,1))-AVERAGE(OFFSET($H$3,0,0,'Données projet'!$E$14+1,1))</f>
        <v>343.44193069803498</v>
      </c>
      <c r="DU159" s="59">
        <f t="shared" si="152"/>
        <v>280.67367019483481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88.653820123690906</v>
      </c>
      <c r="EB159" s="21">
        <f>EXP(-LN(2)/25)*EB158+(1-EXP(-LN(2)/25))/(LN(2)/25)*Calculateur!DW159*Calculateur!DY159*VLOOKUP('Données projet'!$B$14,Paramètres!$A$1:$I$89,3,0)*0.475*44/12</f>
        <v>22.456549016570314</v>
      </c>
      <c r="EC159" s="21">
        <f>EXP(-LN(2)/2)*EC158+(1-EXP(-LN(2)/2))/(LN(2)/2)*DW159*DZ159*VLOOKUP('Données projet'!$B$14,Paramètres!$A$1:$I$89,3,0)*0.475*44/12</f>
        <v>5.5948190386770026E-3</v>
      </c>
      <c r="ED159" s="22">
        <f t="shared" si="178"/>
        <v>111.11596395929989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173.07692307692307</v>
      </c>
      <c r="EK159" s="17">
        <f>EJ159*VLOOKUP('Données projet'!$B$15,Paramètres!$A$1:$I$89,3,0)*VLOOKUP('Données projet'!$B$15,Paramètres!$A$1:$I$89,5,0)</f>
        <v>175.5</v>
      </c>
      <c r="EL159" s="13">
        <f t="shared" si="179"/>
        <v>44.319548641773906</v>
      </c>
      <c r="EM159" s="20">
        <f t="shared" si="180"/>
        <v>382.85238055108954</v>
      </c>
      <c r="EN159" s="59">
        <f t="shared" si="128"/>
        <v>675.16937995376122</v>
      </c>
      <c r="EO159" s="59">
        <f ca="1">AVERAGE(OFFSET($EN$3,0,0,'Données projet'!$E$15+1,1))-AVERAGE(OFFSET($H$3,0,0,'Données projet'!$E$15+1,1))</f>
        <v>270.0029254736703</v>
      </c>
      <c r="EP159" s="59">
        <f t="shared" si="154"/>
        <v>183.80022202211441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5.5309913898328231</v>
      </c>
      <c r="EW159" s="21">
        <f>EXP(-LN(2)/25)*EW158+(1-EXP(-LN(2)/25))/(LN(2)/25)*Calculateur!ER159*Calculateur!ET159*VLOOKUP('Données projet'!$B$15,Paramètres!$A$1:$I$89,3,0)*0.475*44/12</f>
        <v>4.7968176664048228</v>
      </c>
      <c r="EX159" s="21">
        <f>EXP(-LN(2)/2)*EX158+(1-EXP(-LN(2)/2))/(LN(2)/2)*ER159*EU159*VLOOKUP('Données projet'!$B$15,Paramètres!$A$1:$I$89,3,0)*0.475*44/12</f>
        <v>8.1302980529174293E-7</v>
      </c>
      <c r="EY159" s="22">
        <f t="shared" si="181"/>
        <v>10.327809869267451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-1.4897523215040567E-13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328.93328163316073</v>
      </c>
      <c r="FK159" s="59">
        <f t="shared" si="156"/>
        <v>320.27831321887072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10.228339935070236</v>
      </c>
      <c r="FR159" s="21">
        <f>EXP(-LN(2)/25)*FR158+(1-EXP(-LN(2)/25))/(LN(2)/25)*Calculateur!FM159*Calculateur!FO159*VLOOKUP('Données projet'!$B$16,Paramètres!$A$1:$I$89,3,0)*0.475*44/12</f>
        <v>5.6554070965165346</v>
      </c>
      <c r="FS159" s="21">
        <f>EXP(-LN(2)/2)*FS158+(1-EXP(-LN(2)/2))/(LN(2)/2)*FM159*FP159*VLOOKUP('Données projet'!$B$16,Paramètres!$A$1:$I$89,3,0)*0.475*44/12</f>
        <v>2.076413112057129E-10</v>
      </c>
      <c r="FT159" s="22">
        <f t="shared" si="184"/>
        <v>15.883747031794414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173.07692307692307</v>
      </c>
      <c r="GA159" s="17">
        <f>FZ159*VLOOKUP('Données projet'!$B$17,Paramètres!$A$1:$I$89,3,0)*VLOOKUP('Données projet'!$B$17,Paramètres!$A$1:$I$89,5,0)</f>
        <v>116.1</v>
      </c>
      <c r="GB159" s="13">
        <f t="shared" si="185"/>
        <v>30.763646636385982</v>
      </c>
      <c r="GC159" s="20">
        <f t="shared" si="186"/>
        <v>255.78751789170556</v>
      </c>
      <c r="GD159" s="59">
        <f t="shared" si="134"/>
        <v>548.10451729437727</v>
      </c>
      <c r="GE159" s="59">
        <f ca="1">AVERAGE(OFFSET($GD$3,0,0,'Données projet'!$E$17+1,1))-AVERAGE(OFFSET($H$3,0,0,'Données projet'!$E$17+1,1))</f>
        <v>192.88444860121191</v>
      </c>
      <c r="GF159" s="59">
        <f t="shared" si="158"/>
        <v>136.13737493732751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4.5098852870944484</v>
      </c>
      <c r="GM159" s="21">
        <f>EXP(-LN(2)/25)*GM158+(1-EXP(-LN(2)/25))/(LN(2)/25)*Calculateur!GH159*Calculateur!GJ159*VLOOKUP('Données projet'!$B$17,Paramètres!$A$1:$I$89,3,0)*0.475*44/12</f>
        <v>3.9112513279916232</v>
      </c>
      <c r="GN159" s="21">
        <f>EXP(-LN(2)/2)*GN158+(1-EXP(-LN(2)/2))/(LN(2)/2)*GH159*GK159*VLOOKUP('Données projet'!$B$17,Paramètres!$A$1:$I$89,3,0)*0.475*44/12</f>
        <v>5.3785048657761477E-7</v>
      </c>
      <c r="GO159" s="21">
        <f t="shared" si="187"/>
        <v>8.4211371529365575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69.722818018910459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0.85000000000000009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3.1166666666666671</v>
      </c>
      <c r="H160" s="67">
        <f t="shared" si="110"/>
        <v>244.19999999999996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1284.7592161746745</v>
      </c>
      <c r="S160" s="59">
        <f ca="1">AVERAGE(OFFSET($R$3,0,0,'Données projet'!$E$9+1,1))-AVERAGE(OFFSET($H$3,0,0,'Données projet'!$E$9+1,1))</f>
        <v>643.492472896403</v>
      </c>
      <c r="T160" s="59">
        <f t="shared" si="142"/>
        <v>285.0259479655341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-2.8421709430404007E-13</v>
      </c>
      <c r="AJ160" s="13">
        <f>AI160*VLOOKUP('Données projet'!$B$10,Paramètres!$A$1:$I$89,3,0)*VLOOKUP('Données projet'!$B$10,Paramètres!$A$1:$I$89,5,0)</f>
        <v>-2.2168933355715128E-13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289.89907502443873</v>
      </c>
      <c r="AO160" s="59">
        <f t="shared" si="144"/>
        <v>267.42183550360301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7.0159428697753121</v>
      </c>
      <c r="AV160" s="21">
        <f>EXP(-LN(2)/25)*AV159+(1-EXP(-LN(2)/25))/(LN(2)/25)*Calculateur!AQ160*Calculateur!AS160*VLOOKUP('Données projet'!$B$10,Paramètres!$A$1:$I$89,3,0)*0.475*44/12</f>
        <v>4.0344467576046421</v>
      </c>
      <c r="AW160" s="21">
        <f>EXP(-LN(2)/2)*AW159+(1-EXP(-LN(2)/2))/(LN(2)/2)*AQ160*AT160*VLOOKUP('Données projet'!$B$10,Paramètres!$A$1:$I$89,3,0)*0.475*44/12</f>
        <v>2.4308282562957629E-11</v>
      </c>
      <c r="AX160" s="21">
        <f t="shared" si="166"/>
        <v>11.050389627404261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-9.9475983006414026E-14</v>
      </c>
      <c r="BE160" s="13">
        <f>BD160*VLOOKUP('Données projet'!$B$11,Paramètres!$A$1:$I$89,3,0)*VLOOKUP('Données projet'!$B$11,Paramètres!$A$1:$I$89,5,0)</f>
        <v>-9.6213170763803652E-14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177.54241137663234</v>
      </c>
      <c r="BJ160" s="59">
        <f t="shared" si="146"/>
        <v>114.71095021456071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9.4684078619035983</v>
      </c>
      <c r="BQ160" s="21">
        <f>EXP(-LN(2)/25)*BQ159+(1-EXP(-LN(2)/25))/(LN(2)/25)*Calculateur!BL160*Calculateur!BN160*VLOOKUP('Données projet'!$B$11,Paramètres!$A$1:$I$89,3,0)*0.475*44/12</f>
        <v>9.0410069912070785</v>
      </c>
      <c r="BR160" s="21">
        <f>EXP(-LN(2)/2)*BR159+(1-EXP(-LN(2)/2))/(LN(2)/2)*BL160*BO160*VLOOKUP('Données projet'!$B$11,Paramètres!$A$1:$I$89,3,0)*0.475*44/12</f>
        <v>3.081600560566924E-5</v>
      </c>
      <c r="BS160" s="22">
        <f t="shared" si="169"/>
        <v>18.509445669116282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-9.9475983006414026E-14</v>
      </c>
      <c r="BZ160" s="13">
        <f>BY160*VLOOKUP('Données projet'!$B$12,Paramètres!$A$1:$I$89,3,0)*VLOOKUP('Données projet'!$B$12,Paramètres!$A$1:$I$89,5,0)</f>
        <v>-1.0707594810810407E-13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192.88977161349993</v>
      </c>
      <c r="CE160" s="59">
        <f t="shared" si="148"/>
        <v>122.91376861456772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10.537421652763685</v>
      </c>
      <c r="CL160" s="21">
        <f>EXP(-LN(2)/25)*CL159+(1-EXP(-LN(2)/25))/(LN(2)/25)*Calculateur!CG160*Calculateur!CI160*VLOOKUP('Données projet'!$B$12,Paramètres!$A$1:$I$89,3,0)*0.475*44/12</f>
        <v>10.061765845053035</v>
      </c>
      <c r="CM160" s="21">
        <f>EXP(-LN(2)/2)*CM159+(1-EXP(-LN(2)/2))/(LN(2)/2)*CG160*CJ160*VLOOKUP('Données projet'!$B$12,Paramètres!$A$1:$I$89,3,0)*0.475*44/12</f>
        <v>3.4295232045018985E-5</v>
      </c>
      <c r="CN160" s="22">
        <f t="shared" si="172"/>
        <v>20.599221793048766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-8.5265128291212022E-14</v>
      </c>
      <c r="CU160" s="17">
        <f>CT160*VLOOKUP('Données projet'!$B$13,Paramètres!$A$1:$I$89,3,0)*VLOOKUP('Données projet'!$B$13,Paramètres!$A$1:$I$89,5,0)</f>
        <v>-6.9167072069831198E-14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163.16040389635825</v>
      </c>
      <c r="CZ160" s="59">
        <f t="shared" si="150"/>
        <v>138.57856782158811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2.5246441467125291</v>
      </c>
      <c r="DH160" s="21">
        <f>EXP(-LN(2)/2)*DH159+(1-EXP(-LN(2)/2))/(LN(2)/2)*DB160*DE160*VLOOKUP('Données projet'!$B$13,Paramètres!$A$1:$I$89,3,0)*0.475*44/12</f>
        <v>2.0616613681351223E-9</v>
      </c>
      <c r="DI160" s="22">
        <f t="shared" si="175"/>
        <v>2.5246441487741906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1.7053025658242404E-13</v>
      </c>
      <c r="DP160" s="17">
        <f>DO160*VLOOKUP('Données projet'!$B$14,Paramètres!$A$1:$I$89,3,0)*VLOOKUP('Données projet'!$B$14,Paramètres!$A$1:$I$89,5,0)</f>
        <v>7.9808160080574461E-14</v>
      </c>
      <c r="DQ160" s="13">
        <f t="shared" si="176"/>
        <v>1.2308384591775343E-12</v>
      </c>
      <c r="DR160" s="20">
        <f t="shared" si="177"/>
        <v>2.282709528541206E-12</v>
      </c>
      <c r="DS160" s="59">
        <f t="shared" si="125"/>
        <v>292.33463052418864</v>
      </c>
      <c r="DT160" s="59">
        <f ca="1">AVERAGE(OFFSET($DS$3,0,0,'Données projet'!$E$14+1,1))-AVERAGE(OFFSET($H$3,0,0,'Données projet'!$E$14+1,1))</f>
        <v>343.44193069803498</v>
      </c>
      <c r="DU160" s="59">
        <f t="shared" si="152"/>
        <v>280.67367019483481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86.915372784556283</v>
      </c>
      <c r="EB160" s="21">
        <f>EXP(-LN(2)/25)*EB159+(1-EXP(-LN(2)/25))/(LN(2)/25)*Calculateur!DW160*Calculateur!DY160*VLOOKUP('Données projet'!$B$14,Paramètres!$A$1:$I$89,3,0)*0.475*44/12</f>
        <v>21.842473502773611</v>
      </c>
      <c r="EC160" s="21">
        <f>EXP(-LN(2)/2)*EC159+(1-EXP(-LN(2)/2))/(LN(2)/2)*DW160*DZ160*VLOOKUP('Données projet'!$B$14,Paramètres!$A$1:$I$89,3,0)*0.475*44/12</f>
        <v>3.9561344817601093E-3</v>
      </c>
      <c r="ED160" s="22">
        <f t="shared" si="178"/>
        <v>108.76180242181165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173.07692307692307</v>
      </c>
      <c r="EK160" s="17">
        <f>EJ160*VLOOKUP('Données projet'!$B$15,Paramètres!$A$1:$I$89,3,0)*VLOOKUP('Données projet'!$B$15,Paramètres!$A$1:$I$89,5,0)</f>
        <v>175.5</v>
      </c>
      <c r="EL160" s="13">
        <f t="shared" si="179"/>
        <v>44.319548641773906</v>
      </c>
      <c r="EM160" s="20">
        <f t="shared" si="180"/>
        <v>382.85238055108954</v>
      </c>
      <c r="EN160" s="59">
        <f t="shared" si="128"/>
        <v>675.1870110752759</v>
      </c>
      <c r="EO160" s="59">
        <f ca="1">AVERAGE(OFFSET($EN$3,0,0,'Données projet'!$E$15+1,1))-AVERAGE(OFFSET($H$3,0,0,'Données projet'!$E$15+1,1))</f>
        <v>270.0029254736703</v>
      </c>
      <c r="EP160" s="59">
        <f t="shared" si="154"/>
        <v>183.80022202211441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5.422532022249837</v>
      </c>
      <c r="EW160" s="21">
        <f>EXP(-LN(2)/25)*EW159+(1-EXP(-LN(2)/25))/(LN(2)/25)*Calculateur!ER160*Calculateur!ET160*VLOOKUP('Données projet'!$B$15,Paramètres!$A$1:$I$89,3,0)*0.475*44/12</f>
        <v>4.6656484350633054</v>
      </c>
      <c r="EX160" s="21">
        <f>EXP(-LN(2)/2)*EX159+(1-EXP(-LN(2)/2))/(LN(2)/2)*ER160*EU160*VLOOKUP('Données projet'!$B$15,Paramètres!$A$1:$I$89,3,0)*0.475*44/12</f>
        <v>5.7489888862856979E-7</v>
      </c>
      <c r="EY160" s="22">
        <f t="shared" si="181"/>
        <v>10.088181032212033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-1.4897523215040567E-13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328.93328163316073</v>
      </c>
      <c r="FK160" s="59">
        <f t="shared" si="156"/>
        <v>320.27831321887072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10.027768427614852</v>
      </c>
      <c r="FR160" s="21">
        <f>EXP(-LN(2)/25)*FR159+(1-EXP(-LN(2)/25))/(LN(2)/25)*Calculateur!FM160*Calculateur!FO160*VLOOKUP('Données projet'!$B$16,Paramètres!$A$1:$I$89,3,0)*0.475*44/12</f>
        <v>5.5007596920573567</v>
      </c>
      <c r="FS160" s="21">
        <f>EXP(-LN(2)/2)*FS159+(1-EXP(-LN(2)/2))/(LN(2)/2)*FM160*FP160*VLOOKUP('Données projet'!$B$16,Paramètres!$A$1:$I$89,3,0)*0.475*44/12</f>
        <v>1.4682457920802585E-10</v>
      </c>
      <c r="FT160" s="22">
        <f t="shared" si="184"/>
        <v>15.528528119819034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173.07692307692307</v>
      </c>
      <c r="GA160" s="17">
        <f>FZ160*VLOOKUP('Données projet'!$B$17,Paramètres!$A$1:$I$89,3,0)*VLOOKUP('Données projet'!$B$17,Paramètres!$A$1:$I$89,5,0)</f>
        <v>116.1</v>
      </c>
      <c r="GB160" s="13">
        <f t="shared" si="185"/>
        <v>30.763646636385982</v>
      </c>
      <c r="GC160" s="20">
        <f t="shared" si="186"/>
        <v>255.78751789170556</v>
      </c>
      <c r="GD160" s="59">
        <f t="shared" si="134"/>
        <v>548.12214841589196</v>
      </c>
      <c r="GE160" s="59">
        <f ca="1">AVERAGE(OFFSET($GD$3,0,0,'Données projet'!$E$17+1,1))-AVERAGE(OFFSET($H$3,0,0,'Données projet'!$E$17+1,1))</f>
        <v>192.88444860121191</v>
      </c>
      <c r="GF160" s="59">
        <f t="shared" si="158"/>
        <v>136.13737493732751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4.4214491873729367</v>
      </c>
      <c r="GM160" s="21">
        <f>EXP(-LN(2)/25)*GM159+(1-EXP(-LN(2)/25))/(LN(2)/25)*Calculateur!GH160*Calculateur!GJ160*VLOOKUP('Données projet'!$B$17,Paramètres!$A$1:$I$89,3,0)*0.475*44/12</f>
        <v>3.8042979547439244</v>
      </c>
      <c r="GN160" s="21">
        <f>EXP(-LN(2)/2)*GN159+(1-EXP(-LN(2)/2))/(LN(2)/2)*GH160*GK160*VLOOKUP('Données projet'!$B$17,Paramètres!$A$1:$I$89,3,0)*0.475*44/12</f>
        <v>3.8031772632351557E-7</v>
      </c>
      <c r="GO160" s="21">
        <f t="shared" si="187"/>
        <v>8.2257475224345864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69.72762650659628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0.85000000000000009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3.1166666666666671</v>
      </c>
      <c r="H161" s="67">
        <f t="shared" si="110"/>
        <v>244.19999999999996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1302.7037121015419</v>
      </c>
      <c r="S161" s="59">
        <f ca="1">AVERAGE(OFFSET($R$3,0,0,'Données projet'!$E$9+1,1))-AVERAGE(OFFSET($H$3,0,0,'Données projet'!$E$9+1,1))</f>
        <v>643.492472896403</v>
      </c>
      <c r="T161" s="59">
        <f t="shared" si="142"/>
        <v>285.0259479655341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-2.8421709430404007E-13</v>
      </c>
      <c r="AJ161" s="13">
        <f>AI161*VLOOKUP('Données projet'!$B$10,Paramètres!$A$1:$I$89,3,0)*VLOOKUP('Données projet'!$B$10,Paramètres!$A$1:$I$89,5,0)</f>
        <v>-2.2168933355715128E-13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289.89907502443873</v>
      </c>
      <c r="AO161" s="59">
        <f t="shared" si="144"/>
        <v>267.42183550360301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6.8783645094016226</v>
      </c>
      <c r="AV161" s="21">
        <f>EXP(-LN(2)/25)*AV160+(1-EXP(-LN(2)/25))/(LN(2)/25)*Calculateur!AQ161*Calculateur!AS161*VLOOKUP('Données projet'!$B$10,Paramètres!$A$1:$I$89,3,0)*0.475*44/12</f>
        <v>3.924124598855609</v>
      </c>
      <c r="AW161" s="21">
        <f>EXP(-LN(2)/2)*AW160+(1-EXP(-LN(2)/2))/(LN(2)/2)*AQ161*AT161*VLOOKUP('Données projet'!$B$10,Paramètres!$A$1:$I$89,3,0)*0.475*44/12</f>
        <v>1.7188551439266049E-11</v>
      </c>
      <c r="AX161" s="21">
        <f t="shared" si="166"/>
        <v>10.80248910827442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-9.9475983006414026E-14</v>
      </c>
      <c r="BE161" s="13">
        <f>BD161*VLOOKUP('Données projet'!$B$11,Paramètres!$A$1:$I$89,3,0)*VLOOKUP('Données projet'!$B$11,Paramètres!$A$1:$I$89,5,0)</f>
        <v>-9.6213170763803652E-14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177.54241137663234</v>
      </c>
      <c r="BJ161" s="59">
        <f t="shared" si="146"/>
        <v>114.71095021456071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9.2827381588902149</v>
      </c>
      <c r="BQ161" s="21">
        <f>EXP(-LN(2)/25)*BQ160+(1-EXP(-LN(2)/25))/(LN(2)/25)*Calculateur!BL161*Calculateur!BN161*VLOOKUP('Données projet'!$B$11,Paramètres!$A$1:$I$89,3,0)*0.475*44/12</f>
        <v>8.7937801795866264</v>
      </c>
      <c r="BR161" s="21">
        <f>EXP(-LN(2)/2)*BR160+(1-EXP(-LN(2)/2))/(LN(2)/2)*BL161*BO161*VLOOKUP('Données projet'!$B$11,Paramètres!$A$1:$I$89,3,0)*0.475*44/12</f>
        <v>2.1790206532851381E-5</v>
      </c>
      <c r="BS161" s="22">
        <f t="shared" si="169"/>
        <v>18.076540128683373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-9.9475983006414026E-14</v>
      </c>
      <c r="BZ161" s="13">
        <f>BY161*VLOOKUP('Données projet'!$B$12,Paramètres!$A$1:$I$89,3,0)*VLOOKUP('Données projet'!$B$12,Paramètres!$A$1:$I$89,5,0)</f>
        <v>-1.0707594810810407E-13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192.88977161349993</v>
      </c>
      <c r="CE161" s="59">
        <f t="shared" si="148"/>
        <v>122.91376861456772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10.330789241345565</v>
      </c>
      <c r="CL161" s="21">
        <f>EXP(-LN(2)/25)*CL160+(1-EXP(-LN(2)/25))/(LN(2)/25)*Calculateur!CG161*Calculateur!CI161*VLOOKUP('Données projet'!$B$12,Paramètres!$A$1:$I$89,3,0)*0.475*44/12</f>
        <v>9.7866263288947906</v>
      </c>
      <c r="CM161" s="21">
        <f>EXP(-LN(2)/2)*CM160+(1-EXP(-LN(2)/2))/(LN(2)/2)*CG161*CJ161*VLOOKUP('Données projet'!$B$12,Paramètres!$A$1:$I$89,3,0)*0.475*44/12</f>
        <v>2.4250391141399112E-5</v>
      </c>
      <c r="CN161" s="22">
        <f t="shared" si="172"/>
        <v>20.117439820631496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-8.5265128291212022E-14</v>
      </c>
      <c r="CU161" s="17">
        <f>CT161*VLOOKUP('Données projet'!$B$13,Paramètres!$A$1:$I$89,3,0)*VLOOKUP('Données projet'!$B$13,Paramètres!$A$1:$I$89,5,0)</f>
        <v>-6.9167072069831198E-14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163.16040389635825</v>
      </c>
      <c r="CZ161" s="59">
        <f t="shared" si="150"/>
        <v>138.57856782158811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2.4556076197554093</v>
      </c>
      <c r="DH161" s="21">
        <f>EXP(-LN(2)/2)*DH160+(1-EXP(-LN(2)/2))/(LN(2)/2)*DB161*DE161*VLOOKUP('Données projet'!$B$13,Paramètres!$A$1:$I$89,3,0)*0.475*44/12</f>
        <v>1.4578147339186802E-9</v>
      </c>
      <c r="DI161" s="22">
        <f t="shared" si="175"/>
        <v>2.4556076212132241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1.7053025658242404E-13</v>
      </c>
      <c r="DP161" s="17">
        <f>DO161*VLOOKUP('Données projet'!$B$14,Paramètres!$A$1:$I$89,3,0)*VLOOKUP('Données projet'!$B$14,Paramètres!$A$1:$I$89,5,0)</f>
        <v>7.9808160080574461E-14</v>
      </c>
      <c r="DQ161" s="13">
        <f t="shared" si="176"/>
        <v>1.2308384591775343E-12</v>
      </c>
      <c r="DR161" s="20">
        <f t="shared" si="177"/>
        <v>2.282709528541206E-12</v>
      </c>
      <c r="DS161" s="59">
        <f t="shared" si="125"/>
        <v>292.35195578516237</v>
      </c>
      <c r="DT161" s="59">
        <f ca="1">AVERAGE(OFFSET($DS$3,0,0,'Données projet'!$E$14+1,1))-AVERAGE(OFFSET($H$3,0,0,'Données projet'!$E$14+1,1))</f>
        <v>343.44193069803498</v>
      </c>
      <c r="DU161" s="59">
        <f t="shared" si="152"/>
        <v>280.67367019483481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85.211015337393917</v>
      </c>
      <c r="EB161" s="21">
        <f>EXP(-LN(2)/25)*EB160+(1-EXP(-LN(2)/25))/(LN(2)/25)*Calculateur!DW161*Calculateur!DY161*VLOOKUP('Données projet'!$B$14,Paramètres!$A$1:$I$89,3,0)*0.475*44/12</f>
        <v>21.245189916194509</v>
      </c>
      <c r="EC161" s="21">
        <f>EXP(-LN(2)/2)*EC160+(1-EXP(-LN(2)/2))/(LN(2)/2)*DW161*DZ161*VLOOKUP('Données projet'!$B$14,Paramètres!$A$1:$I$89,3,0)*0.475*44/12</f>
        <v>2.7974095193385013E-3</v>
      </c>
      <c r="ED161" s="22">
        <f t="shared" si="178"/>
        <v>106.45900266310775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173.07692307692307</v>
      </c>
      <c r="EK161" s="17">
        <f>EJ161*VLOOKUP('Données projet'!$B$15,Paramètres!$A$1:$I$89,3,0)*VLOOKUP('Données projet'!$B$15,Paramètres!$A$1:$I$89,5,0)</f>
        <v>175.5</v>
      </c>
      <c r="EL161" s="13">
        <f t="shared" si="179"/>
        <v>44.319548641773906</v>
      </c>
      <c r="EM161" s="20">
        <f t="shared" si="180"/>
        <v>382.85238055108954</v>
      </c>
      <c r="EN161" s="59">
        <f t="shared" si="128"/>
        <v>675.20433633624964</v>
      </c>
      <c r="EO161" s="59">
        <f ca="1">AVERAGE(OFFSET($EN$3,0,0,'Données projet'!$E$15+1,1))-AVERAGE(OFFSET($H$3,0,0,'Données projet'!$E$15+1,1))</f>
        <v>270.0029254736703</v>
      </c>
      <c r="EP161" s="59">
        <f t="shared" si="154"/>
        <v>183.80022202211441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5.3161994767114713</v>
      </c>
      <c r="EW161" s="21">
        <f>EXP(-LN(2)/25)*EW160+(1-EXP(-LN(2)/25))/(LN(2)/25)*Calculateur!ER161*Calculateur!ET161*VLOOKUP('Données projet'!$B$15,Paramètres!$A$1:$I$89,3,0)*0.475*44/12</f>
        <v>4.5380660332507112</v>
      </c>
      <c r="EX161" s="21">
        <f>EXP(-LN(2)/2)*EX160+(1-EXP(-LN(2)/2))/(LN(2)/2)*ER161*EU161*VLOOKUP('Données projet'!$B$15,Paramètres!$A$1:$I$89,3,0)*0.475*44/12</f>
        <v>4.0651490264587146E-7</v>
      </c>
      <c r="EY161" s="22">
        <f t="shared" si="181"/>
        <v>9.8542659164770861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-1.4897523215040567E-13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328.93328163316073</v>
      </c>
      <c r="FK161" s="59">
        <f t="shared" si="156"/>
        <v>320.27831321887072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9.8311300050841268</v>
      </c>
      <c r="FR161" s="21">
        <f>EXP(-LN(2)/25)*FR160+(1-EXP(-LN(2)/25))/(LN(2)/25)*Calculateur!FM161*Calculateur!FO161*VLOOKUP('Données projet'!$B$16,Paramètres!$A$1:$I$89,3,0)*0.475*44/12</f>
        <v>5.3503411290056686</v>
      </c>
      <c r="FS161" s="21">
        <f>EXP(-LN(2)/2)*FS160+(1-EXP(-LN(2)/2))/(LN(2)/2)*FM161*FP161*VLOOKUP('Données projet'!$B$16,Paramètres!$A$1:$I$89,3,0)*0.475*44/12</f>
        <v>1.0382065560285645E-10</v>
      </c>
      <c r="FT161" s="22">
        <f t="shared" si="184"/>
        <v>15.181471134193616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173.07692307692307</v>
      </c>
      <c r="GA161" s="17">
        <f>FZ161*VLOOKUP('Données projet'!$B$17,Paramètres!$A$1:$I$89,3,0)*VLOOKUP('Données projet'!$B$17,Paramètres!$A$1:$I$89,5,0)</f>
        <v>116.1</v>
      </c>
      <c r="GB161" s="13">
        <f t="shared" si="185"/>
        <v>30.763646636385982</v>
      </c>
      <c r="GC161" s="20">
        <f t="shared" si="186"/>
        <v>255.78751789170556</v>
      </c>
      <c r="GD161" s="59">
        <f t="shared" si="134"/>
        <v>548.13947367686569</v>
      </c>
      <c r="GE161" s="59">
        <f ca="1">AVERAGE(OFFSET($GD$3,0,0,'Données projet'!$E$17+1,1))-AVERAGE(OFFSET($H$3,0,0,'Données projet'!$E$17+1,1))</f>
        <v>192.88444860121191</v>
      </c>
      <c r="GF161" s="59">
        <f t="shared" si="158"/>
        <v>136.13737493732751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4.3347472656262687</v>
      </c>
      <c r="GM161" s="21">
        <f>EXP(-LN(2)/25)*GM160+(1-EXP(-LN(2)/25))/(LN(2)/25)*Calculateur!GH161*Calculateur!GJ161*VLOOKUP('Données projet'!$B$17,Paramètres!$A$1:$I$89,3,0)*0.475*44/12</f>
        <v>3.7002692271121171</v>
      </c>
      <c r="GN161" s="21">
        <f>EXP(-LN(2)/2)*GN160+(1-EXP(-LN(2)/2))/(LN(2)/2)*GH161*GK161*VLOOKUP('Données projet'!$B$17,Paramètres!$A$1:$I$89,3,0)*0.475*44/12</f>
        <v>2.6892524328880739E-7</v>
      </c>
      <c r="GO161" s="21">
        <f t="shared" si="187"/>
        <v>8.0350167616636288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69.732351577770928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0.85000000000000009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3.1166666666666671</v>
      </c>
      <c r="H162" s="67">
        <f t="shared" si="110"/>
        <v>244.19999999999996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1320.6416353508723</v>
      </c>
      <c r="S162" s="59">
        <f ca="1">AVERAGE(OFFSET($R$3,0,0,'Données projet'!$E$9+1,1))-AVERAGE(OFFSET($H$3,0,0,'Données projet'!$E$9+1,1))</f>
        <v>643.492472896403</v>
      </c>
      <c r="T162" s="59">
        <f t="shared" si="142"/>
        <v>285.0259479655341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-2.8421709430404007E-13</v>
      </c>
      <c r="AJ162" s="13">
        <f>AI162*VLOOKUP('Données projet'!$B$10,Paramètres!$A$1:$I$89,3,0)*VLOOKUP('Données projet'!$B$10,Paramètres!$A$1:$I$89,5,0)</f>
        <v>-2.2168933355715128E-13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289.89907502443873</v>
      </c>
      <c r="AO162" s="59">
        <f t="shared" si="144"/>
        <v>267.42183550360301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6.7434839767603476</v>
      </c>
      <c r="AV162" s="21">
        <f>EXP(-LN(2)/25)*AV161+(1-EXP(-LN(2)/25))/(LN(2)/25)*Calculateur!AQ162*Calculateur!AS162*VLOOKUP('Données projet'!$B$10,Paramètres!$A$1:$I$89,3,0)*0.475*44/12</f>
        <v>3.8168192053391583</v>
      </c>
      <c r="AW162" s="21">
        <f>EXP(-LN(2)/2)*AW161+(1-EXP(-LN(2)/2))/(LN(2)/2)*AQ162*AT162*VLOOKUP('Données projet'!$B$10,Paramètres!$A$1:$I$89,3,0)*0.475*44/12</f>
        <v>1.2154141281478815E-11</v>
      </c>
      <c r="AX162" s="21">
        <f t="shared" si="166"/>
        <v>10.56030318211166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-9.9475983006414026E-14</v>
      </c>
      <c r="BE162" s="13">
        <f>BD162*VLOOKUP('Données projet'!$B$11,Paramètres!$A$1:$I$89,3,0)*VLOOKUP('Données projet'!$B$11,Paramètres!$A$1:$I$89,5,0)</f>
        <v>-9.6213170763803652E-14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177.54241137663234</v>
      </c>
      <c r="BJ162" s="59">
        <f t="shared" si="146"/>
        <v>114.71095021456071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9.1007093255055871</v>
      </c>
      <c r="BQ162" s="21">
        <f>EXP(-LN(2)/25)*BQ161+(1-EXP(-LN(2)/25))/(LN(2)/25)*Calculateur!BL162*Calculateur!BN162*VLOOKUP('Données projet'!$B$11,Paramètres!$A$1:$I$89,3,0)*0.475*44/12</f>
        <v>8.553313798131029</v>
      </c>
      <c r="BR162" s="21">
        <f>EXP(-LN(2)/2)*BR161+(1-EXP(-LN(2)/2))/(LN(2)/2)*BL162*BO162*VLOOKUP('Données projet'!$B$11,Paramètres!$A$1:$I$89,3,0)*0.475*44/12</f>
        <v>1.540800280283462E-5</v>
      </c>
      <c r="BS162" s="22">
        <f t="shared" si="169"/>
        <v>17.654038531639419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-9.9475983006414026E-14</v>
      </c>
      <c r="BZ162" s="13">
        <f>BY162*VLOOKUP('Données projet'!$B$12,Paramètres!$A$1:$I$89,3,0)*VLOOKUP('Données projet'!$B$12,Paramètres!$A$1:$I$89,5,0)</f>
        <v>-1.0707594810810407E-13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192.88977161349993</v>
      </c>
      <c r="CE162" s="59">
        <f t="shared" si="148"/>
        <v>122.91376861456772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10.128208765482029</v>
      </c>
      <c r="CL162" s="21">
        <f>EXP(-LN(2)/25)*CL161+(1-EXP(-LN(2)/25))/(LN(2)/25)*Calculateur!CG162*Calculateur!CI162*VLOOKUP('Données projet'!$B$12,Paramètres!$A$1:$I$89,3,0)*0.475*44/12</f>
        <v>9.519010517274852</v>
      </c>
      <c r="CM162" s="21">
        <f>EXP(-LN(2)/2)*CM161+(1-EXP(-LN(2)/2))/(LN(2)/2)*CG162*CJ162*VLOOKUP('Données projet'!$B$12,Paramètres!$A$1:$I$89,3,0)*0.475*44/12</f>
        <v>1.7147616022509493E-5</v>
      </c>
      <c r="CN162" s="22">
        <f t="shared" si="172"/>
        <v>19.647236430372903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-8.5265128291212022E-14</v>
      </c>
      <c r="CU162" s="17">
        <f>CT162*VLOOKUP('Données projet'!$B$13,Paramètres!$A$1:$I$89,3,0)*VLOOKUP('Données projet'!$B$13,Paramètres!$A$1:$I$89,5,0)</f>
        <v>-6.9167072069831198E-14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163.16040389635825</v>
      </c>
      <c r="CZ162" s="59">
        <f t="shared" si="150"/>
        <v>138.57856782158811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2.3884589002584051</v>
      </c>
      <c r="DH162" s="21">
        <f>EXP(-LN(2)/2)*DH161+(1-EXP(-LN(2)/2))/(LN(2)/2)*DB162*DE162*VLOOKUP('Données projet'!$B$13,Paramètres!$A$1:$I$89,3,0)*0.475*44/12</f>
        <v>1.0308306840675612E-9</v>
      </c>
      <c r="DI162" s="22">
        <f t="shared" si="175"/>
        <v>2.3884589012892357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1.7053025658242404E-13</v>
      </c>
      <c r="DP162" s="17">
        <f>DO162*VLOOKUP('Données projet'!$B$14,Paramètres!$A$1:$I$89,3,0)*VLOOKUP('Données projet'!$B$14,Paramètres!$A$1:$I$89,5,0)</f>
        <v>7.9808160080574461E-14</v>
      </c>
      <c r="DQ162" s="13">
        <f t="shared" si="176"/>
        <v>1.2308384591775343E-12</v>
      </c>
      <c r="DR162" s="20">
        <f t="shared" si="177"/>
        <v>2.282709528541206E-12</v>
      </c>
      <c r="DS162" s="59">
        <f t="shared" si="125"/>
        <v>292.36898049159163</v>
      </c>
      <c r="DT162" s="59">
        <f ca="1">AVERAGE(OFFSET($DS$3,0,0,'Données projet'!$E$14+1,1))-AVERAGE(OFFSET($H$3,0,0,'Données projet'!$E$14+1,1))</f>
        <v>343.44193069803498</v>
      </c>
      <c r="DU162" s="59">
        <f t="shared" si="152"/>
        <v>280.67367019483481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83.540079300215012</v>
      </c>
      <c r="EB162" s="21">
        <f>EXP(-LN(2)/25)*EB161+(1-EXP(-LN(2)/25))/(LN(2)/25)*Calculateur!DW162*Calculateur!DY162*VLOOKUP('Données projet'!$B$14,Paramètres!$A$1:$I$89,3,0)*0.475*44/12</f>
        <v>20.664239080700188</v>
      </c>
      <c r="EC162" s="21">
        <f>EXP(-LN(2)/2)*EC161+(1-EXP(-LN(2)/2))/(LN(2)/2)*DW162*DZ162*VLOOKUP('Données projet'!$B$14,Paramètres!$A$1:$I$89,3,0)*0.475*44/12</f>
        <v>1.9780672408800546E-3</v>
      </c>
      <c r="ED162" s="22">
        <f t="shared" si="178"/>
        <v>104.20629644815608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173.07692307692307</v>
      </c>
      <c r="EK162" s="17">
        <f>EJ162*VLOOKUP('Données projet'!$B$15,Paramètres!$A$1:$I$89,3,0)*VLOOKUP('Données projet'!$B$15,Paramètres!$A$1:$I$89,5,0)</f>
        <v>175.5</v>
      </c>
      <c r="EL162" s="13">
        <f t="shared" si="179"/>
        <v>44.319548641773906</v>
      </c>
      <c r="EM162" s="20">
        <f t="shared" si="180"/>
        <v>382.85238055108954</v>
      </c>
      <c r="EN162" s="59">
        <f t="shared" si="128"/>
        <v>675.22136104267884</v>
      </c>
      <c r="EO162" s="59">
        <f ca="1">AVERAGE(OFFSET($EN$3,0,0,'Données projet'!$E$15+1,1))-AVERAGE(OFFSET($H$3,0,0,'Données projet'!$E$15+1,1))</f>
        <v>270.0029254736703</v>
      </c>
      <c r="EP162" s="59">
        <f t="shared" si="154"/>
        <v>183.80022202211441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5.2119520475346635</v>
      </c>
      <c r="EW162" s="21">
        <f>EXP(-LN(2)/25)*EW161+(1-EXP(-LN(2)/25))/(LN(2)/25)*Calculateur!ER162*Calculateur!ET162*VLOOKUP('Données projet'!$B$15,Paramètres!$A$1:$I$89,3,0)*0.475*44/12</f>
        <v>4.4139723789249494</v>
      </c>
      <c r="EX162" s="21">
        <f>EXP(-LN(2)/2)*EX161+(1-EXP(-LN(2)/2))/(LN(2)/2)*ER162*EU162*VLOOKUP('Données projet'!$B$15,Paramètres!$A$1:$I$89,3,0)*0.475*44/12</f>
        <v>2.874494443142849E-7</v>
      </c>
      <c r="EY162" s="22">
        <f t="shared" si="181"/>
        <v>9.6259247139090558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-1.4897523215040567E-13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328.93328163316073</v>
      </c>
      <c r="FK162" s="59">
        <f t="shared" si="156"/>
        <v>320.27831321887072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9.638347542081636</v>
      </c>
      <c r="FR162" s="21">
        <f>EXP(-LN(2)/25)*FR161+(1-EXP(-LN(2)/25))/(LN(2)/25)*Calculateur!FM162*Calculateur!FO162*VLOOKUP('Données projet'!$B$16,Paramètres!$A$1:$I$89,3,0)*0.475*44/12</f>
        <v>5.2040357694707966</v>
      </c>
      <c r="FS162" s="21">
        <f>EXP(-LN(2)/2)*FS161+(1-EXP(-LN(2)/2))/(LN(2)/2)*FM162*FP162*VLOOKUP('Données projet'!$B$16,Paramètres!$A$1:$I$89,3,0)*0.475*44/12</f>
        <v>7.3412289604012923E-11</v>
      </c>
      <c r="FT162" s="22">
        <f t="shared" si="184"/>
        <v>14.842383311625843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173.07692307692307</v>
      </c>
      <c r="GA162" s="17">
        <f>FZ162*VLOOKUP('Données projet'!$B$17,Paramètres!$A$1:$I$89,3,0)*VLOOKUP('Données projet'!$B$17,Paramètres!$A$1:$I$89,5,0)</f>
        <v>116.1</v>
      </c>
      <c r="GB162" s="13">
        <f t="shared" si="185"/>
        <v>30.763646636385982</v>
      </c>
      <c r="GC162" s="20">
        <f t="shared" si="186"/>
        <v>255.78751789170556</v>
      </c>
      <c r="GD162" s="59">
        <f t="shared" si="134"/>
        <v>548.15649838329489</v>
      </c>
      <c r="GE162" s="59">
        <f ca="1">AVERAGE(OFFSET($GD$3,0,0,'Données projet'!$E$17+1,1))-AVERAGE(OFFSET($H$3,0,0,'Données projet'!$E$17+1,1))</f>
        <v>192.88444860121191</v>
      </c>
      <c r="GF162" s="59">
        <f t="shared" si="158"/>
        <v>136.13737493732751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4.2497455156821031</v>
      </c>
      <c r="GM162" s="21">
        <f>EXP(-LN(2)/25)*GM161+(1-EXP(-LN(2)/25))/(LN(2)/25)*Calculateur!GH162*Calculateur!GJ162*VLOOKUP('Données projet'!$B$17,Paramètres!$A$1:$I$89,3,0)*0.475*44/12</f>
        <v>3.5990851705080349</v>
      </c>
      <c r="GN162" s="21">
        <f>EXP(-LN(2)/2)*GN161+(1-EXP(-LN(2)/2))/(LN(2)/2)*GH162*GK162*VLOOKUP('Données projet'!$B$17,Paramètres!$A$1:$I$89,3,0)*0.475*44/12</f>
        <v>1.9015886316175778E-7</v>
      </c>
      <c r="GO162" s="21">
        <f t="shared" si="187"/>
        <v>7.8488308763490009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69.736994679524372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0.85000000000000009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3.1166666666666671</v>
      </c>
      <c r="H163" s="67">
        <f t="shared" si="110"/>
        <v>244.19999999999996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1338.5731156958559</v>
      </c>
      <c r="S163" s="59">
        <f ca="1">AVERAGE(OFFSET($R$3,0,0,'Données projet'!$E$9+1,1))-AVERAGE(OFFSET($H$3,0,0,'Données projet'!$E$9+1,1))</f>
        <v>643.492472896403</v>
      </c>
      <c r="T163" s="59">
        <f t="shared" si="142"/>
        <v>285.0259479655341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-2.8421709430404007E-13</v>
      </c>
      <c r="AJ163" s="13">
        <f>AI163*VLOOKUP('Données projet'!$B$10,Paramètres!$A$1:$I$89,3,0)*VLOOKUP('Données projet'!$B$10,Paramètres!$A$1:$I$89,5,0)</f>
        <v>-2.2168933355715128E-13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289.89907502443873</v>
      </c>
      <c r="AO163" s="59">
        <f t="shared" si="144"/>
        <v>267.42183550360301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6.6112483690951667</v>
      </c>
      <c r="AV163" s="21">
        <f>EXP(-LN(2)/25)*AV162+(1-EXP(-LN(2)/25))/(LN(2)/25)*Calculateur!AQ163*Calculateur!AS163*VLOOKUP('Données projet'!$B$10,Paramètres!$A$1:$I$89,3,0)*0.475*44/12</f>
        <v>3.7124480834513607</v>
      </c>
      <c r="AW163" s="21">
        <f>EXP(-LN(2)/2)*AW162+(1-EXP(-LN(2)/2))/(LN(2)/2)*AQ163*AT163*VLOOKUP('Données projet'!$B$10,Paramètres!$A$1:$I$89,3,0)*0.475*44/12</f>
        <v>8.5942757196330244E-12</v>
      </c>
      <c r="AX163" s="21">
        <f t="shared" si="166"/>
        <v>10.323696452555122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-9.9475983006414026E-14</v>
      </c>
      <c r="BE163" s="13">
        <f>BD163*VLOOKUP('Données projet'!$B$11,Paramètres!$A$1:$I$89,3,0)*VLOOKUP('Données projet'!$B$11,Paramètres!$A$1:$I$89,5,0)</f>
        <v>-9.6213170763803652E-14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177.54241137663234</v>
      </c>
      <c r="BJ163" s="59">
        <f t="shared" si="146"/>
        <v>114.71095021456071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8.9222499665170076</v>
      </c>
      <c r="BQ163" s="21">
        <f>EXP(-LN(2)/25)*BQ162+(1-EXP(-LN(2)/25))/(LN(2)/25)*Calculateur!BL163*Calculateur!BN163*VLOOKUP('Données projet'!$B$11,Paramètres!$A$1:$I$89,3,0)*0.475*44/12</f>
        <v>8.3194229825219121</v>
      </c>
      <c r="BR163" s="21">
        <f>EXP(-LN(2)/2)*BR162+(1-EXP(-LN(2)/2))/(LN(2)/2)*BL163*BO163*VLOOKUP('Données projet'!$B$11,Paramètres!$A$1:$I$89,3,0)*0.475*44/12</f>
        <v>1.0895103266425691E-5</v>
      </c>
      <c r="BS163" s="22">
        <f t="shared" si="169"/>
        <v>17.241683844142187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-9.9475983006414026E-14</v>
      </c>
      <c r="BZ163" s="13">
        <f>BY163*VLOOKUP('Données projet'!$B$12,Paramètres!$A$1:$I$89,3,0)*VLOOKUP('Données projet'!$B$12,Paramètres!$A$1:$I$89,5,0)</f>
        <v>-1.0707594810810407E-13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192.88977161349993</v>
      </c>
      <c r="CE163" s="59">
        <f t="shared" si="148"/>
        <v>122.91376861456772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9.9296007691882853</v>
      </c>
      <c r="CL163" s="21">
        <f>EXP(-LN(2)/25)*CL162+(1-EXP(-LN(2)/25))/(LN(2)/25)*Calculateur!CG163*Calculateur!CI163*VLOOKUP('Données projet'!$B$12,Paramètres!$A$1:$I$89,3,0)*0.475*44/12</f>
        <v>9.2587126740969641</v>
      </c>
      <c r="CM163" s="21">
        <f>EXP(-LN(2)/2)*CM162+(1-EXP(-LN(2)/2))/(LN(2)/2)*CG163*CJ163*VLOOKUP('Données projet'!$B$12,Paramètres!$A$1:$I$89,3,0)*0.475*44/12</f>
        <v>1.2125195570699556E-5</v>
      </c>
      <c r="CN163" s="22">
        <f t="shared" si="172"/>
        <v>19.18832556848082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-8.5265128291212022E-14</v>
      </c>
      <c r="CU163" s="17">
        <f>CT163*VLOOKUP('Données projet'!$B$13,Paramètres!$A$1:$I$89,3,0)*VLOOKUP('Données projet'!$B$13,Paramètres!$A$1:$I$89,5,0)</f>
        <v>-6.9167072069831198E-14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163.16040389635825</v>
      </c>
      <c r="CZ163" s="59">
        <f t="shared" si="150"/>
        <v>138.57856782158811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2.3231463660272444</v>
      </c>
      <c r="DH163" s="21">
        <f>EXP(-LN(2)/2)*DH162+(1-EXP(-LN(2)/2))/(LN(2)/2)*DB163*DE163*VLOOKUP('Données projet'!$B$13,Paramètres!$A$1:$I$89,3,0)*0.475*44/12</f>
        <v>7.289073669593401E-10</v>
      </c>
      <c r="DI163" s="22">
        <f t="shared" si="175"/>
        <v>2.3231463667561516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1.7053025658242404E-13</v>
      </c>
      <c r="DP163" s="17">
        <f>DO163*VLOOKUP('Données projet'!$B$14,Paramètres!$A$1:$I$89,3,0)*VLOOKUP('Données projet'!$B$14,Paramètres!$A$1:$I$89,5,0)</f>
        <v>7.9808160080574461E-14</v>
      </c>
      <c r="DQ163" s="13">
        <f t="shared" si="176"/>
        <v>1.2308384591775343E-12</v>
      </c>
      <c r="DR163" s="20">
        <f t="shared" si="177"/>
        <v>2.282709528541206E-12</v>
      </c>
      <c r="DS163" s="59">
        <f t="shared" si="125"/>
        <v>292.38570985742598</v>
      </c>
      <c r="DT163" s="59">
        <f ca="1">AVERAGE(OFFSET($DS$3,0,0,'Données projet'!$E$14+1,1))-AVERAGE(OFFSET($H$3,0,0,'Données projet'!$E$14+1,1))</f>
        <v>343.44193069803498</v>
      </c>
      <c r="DU163" s="59">
        <f t="shared" si="152"/>
        <v>280.67367019483481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81.901909299554845</v>
      </c>
      <c r="EB163" s="21">
        <f>EXP(-LN(2)/25)*EB162+(1-EXP(-LN(2)/25))/(LN(2)/25)*Calculateur!DW163*Calculateur!DY163*VLOOKUP('Données projet'!$B$14,Paramètres!$A$1:$I$89,3,0)*0.475*44/12</f>
        <v>20.099174376353336</v>
      </c>
      <c r="EC163" s="21">
        <f>EXP(-LN(2)/2)*EC162+(1-EXP(-LN(2)/2))/(LN(2)/2)*DW163*DZ163*VLOOKUP('Données projet'!$B$14,Paramètres!$A$1:$I$89,3,0)*0.475*44/12</f>
        <v>1.3987047596692506E-3</v>
      </c>
      <c r="ED163" s="22">
        <f t="shared" si="178"/>
        <v>102.00248238066784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173.07692307692307</v>
      </c>
      <c r="EK163" s="17">
        <f>EJ163*VLOOKUP('Données projet'!$B$15,Paramètres!$A$1:$I$89,3,0)*VLOOKUP('Données projet'!$B$15,Paramètres!$A$1:$I$89,5,0)</f>
        <v>175.5</v>
      </c>
      <c r="EL163" s="13">
        <f t="shared" si="179"/>
        <v>44.319548641773906</v>
      </c>
      <c r="EM163" s="20">
        <f t="shared" si="180"/>
        <v>382.85238055108954</v>
      </c>
      <c r="EN163" s="59">
        <f t="shared" si="128"/>
        <v>675.23809040851324</v>
      </c>
      <c r="EO163" s="59">
        <f ca="1">AVERAGE(OFFSET($EN$3,0,0,'Données projet'!$E$15+1,1))-AVERAGE(OFFSET($H$3,0,0,'Données projet'!$E$15+1,1))</f>
        <v>270.0029254736703</v>
      </c>
      <c r="EP163" s="59">
        <f t="shared" si="154"/>
        <v>183.80022202211441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5.1097488468593601</v>
      </c>
      <c r="EW163" s="21">
        <f>EXP(-LN(2)/25)*EW162+(1-EXP(-LN(2)/25))/(LN(2)/25)*Calculateur!ER163*Calculateur!ET163*VLOOKUP('Données projet'!$B$15,Paramètres!$A$1:$I$89,3,0)*0.475*44/12</f>
        <v>4.2932720721025275</v>
      </c>
      <c r="EX163" s="21">
        <f>EXP(-LN(2)/2)*EX162+(1-EXP(-LN(2)/2))/(LN(2)/2)*ER163*EU163*VLOOKUP('Données projet'!$B$15,Paramètres!$A$1:$I$89,3,0)*0.475*44/12</f>
        <v>2.0325745132293573E-7</v>
      </c>
      <c r="EY163" s="22">
        <f t="shared" si="181"/>
        <v>9.4030211222193394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-1.4897523215040567E-13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328.93328163316073</v>
      </c>
      <c r="FK163" s="59">
        <f t="shared" si="156"/>
        <v>320.27831321887072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9.4493454255929308</v>
      </c>
      <c r="FR163" s="21">
        <f>EXP(-LN(2)/25)*FR162+(1-EXP(-LN(2)/25))/(LN(2)/25)*Calculateur!FM163*Calculateur!FO163*VLOOKUP('Données projet'!$B$16,Paramètres!$A$1:$I$89,3,0)*0.475*44/12</f>
        <v>5.0617311376862704</v>
      </c>
      <c r="FS163" s="21">
        <f>EXP(-LN(2)/2)*FS162+(1-EXP(-LN(2)/2))/(LN(2)/2)*FM163*FP163*VLOOKUP('Données projet'!$B$16,Paramètres!$A$1:$I$89,3,0)*0.475*44/12</f>
        <v>5.1910327801428224E-11</v>
      </c>
      <c r="FT163" s="22">
        <f t="shared" si="184"/>
        <v>14.511076563331111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173.07692307692307</v>
      </c>
      <c r="GA163" s="17">
        <f>FZ163*VLOOKUP('Données projet'!$B$17,Paramètres!$A$1:$I$89,3,0)*VLOOKUP('Données projet'!$B$17,Paramètres!$A$1:$I$89,5,0)</f>
        <v>116.1</v>
      </c>
      <c r="GB163" s="13">
        <f t="shared" si="185"/>
        <v>30.763646636385982</v>
      </c>
      <c r="GC163" s="20">
        <f t="shared" si="186"/>
        <v>255.78751789170556</v>
      </c>
      <c r="GD163" s="59">
        <f t="shared" si="134"/>
        <v>548.1732277491293</v>
      </c>
      <c r="GE163" s="59">
        <f ca="1">AVERAGE(OFFSET($GD$3,0,0,'Données projet'!$E$17+1,1))-AVERAGE(OFFSET($H$3,0,0,'Données projet'!$E$17+1,1))</f>
        <v>192.88444860121191</v>
      </c>
      <c r="GF163" s="59">
        <f t="shared" si="158"/>
        <v>136.13737493732751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4.1664105982083939</v>
      </c>
      <c r="GM163" s="21">
        <f>EXP(-LN(2)/25)*GM162+(1-EXP(-LN(2)/25))/(LN(2)/25)*Calculateur!GH163*Calculateur!GJ163*VLOOKUP('Données projet'!$B$17,Paramètres!$A$1:$I$89,3,0)*0.475*44/12</f>
        <v>3.5006679972528292</v>
      </c>
      <c r="GN163" s="21">
        <f>EXP(-LN(2)/2)*GN162+(1-EXP(-LN(2)/2))/(LN(2)/2)*GH163*GK163*VLOOKUP('Données projet'!$B$17,Paramètres!$A$1:$I$89,3,0)*0.475*44/12</f>
        <v>1.3446262164440369E-7</v>
      </c>
      <c r="GO163" s="21">
        <f t="shared" si="187"/>
        <v>7.667078729923845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69.741557233842826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0.85000000000000009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3.1166666666666671</v>
      </c>
      <c r="H164" s="67">
        <f t="shared" si="110"/>
        <v>244.19999999999996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1356.4982782115926</v>
      </c>
      <c r="S164" s="59">
        <f ca="1">AVERAGE(OFFSET($R$3,0,0,'Données projet'!$E$9+1,1))-AVERAGE(OFFSET($H$3,0,0,'Données projet'!$E$9+1,1))</f>
        <v>643.492472896403</v>
      </c>
      <c r="T164" s="59">
        <f t="shared" si="142"/>
        <v>285.0259479655341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-2.8421709430404007E-13</v>
      </c>
      <c r="AJ164" s="13">
        <f>AI164*VLOOKUP('Données projet'!$B$10,Paramètres!$A$1:$I$89,3,0)*VLOOKUP('Données projet'!$B$10,Paramètres!$A$1:$I$89,5,0)</f>
        <v>-2.2168933355715128E-13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289.89907502443873</v>
      </c>
      <c r="AO164" s="59">
        <f t="shared" si="144"/>
        <v>267.42183550360301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6.4816058210405432</v>
      </c>
      <c r="AV164" s="21">
        <f>EXP(-LN(2)/25)*AV163+(1-EXP(-LN(2)/25))/(LN(2)/25)*Calculateur!AQ164*Calculateur!AS164*VLOOKUP('Données projet'!$B$10,Paramètres!$A$1:$I$89,3,0)*0.475*44/12</f>
        <v>3.6109309953802233</v>
      </c>
      <c r="AW164" s="21">
        <f>EXP(-LN(2)/2)*AW163+(1-EXP(-LN(2)/2))/(LN(2)/2)*AQ164*AT164*VLOOKUP('Données projet'!$B$10,Paramètres!$A$1:$I$89,3,0)*0.475*44/12</f>
        <v>6.0770706407394073E-12</v>
      </c>
      <c r="AX164" s="21">
        <f t="shared" si="166"/>
        <v>10.092536816426843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-9.9475983006414026E-14</v>
      </c>
      <c r="BE164" s="13">
        <f>BD164*VLOOKUP('Données projet'!$B$11,Paramètres!$A$1:$I$89,3,0)*VLOOKUP('Données projet'!$B$11,Paramètres!$A$1:$I$89,5,0)</f>
        <v>-9.6213170763803652E-14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177.54241137663234</v>
      </c>
      <c r="BJ164" s="59">
        <f t="shared" si="146"/>
        <v>114.71095021456071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8.7472900867087322</v>
      </c>
      <c r="BQ164" s="21">
        <f>EXP(-LN(2)/25)*BQ163+(1-EXP(-LN(2)/25))/(LN(2)/25)*Calculateur!BL164*Calculateur!BN164*VLOOKUP('Données projet'!$B$11,Paramètres!$A$1:$I$89,3,0)*0.475*44/12</f>
        <v>8.0919279235654109</v>
      </c>
      <c r="BR164" s="21">
        <f>EXP(-LN(2)/2)*BR163+(1-EXP(-LN(2)/2))/(LN(2)/2)*BL164*BO164*VLOOKUP('Données projet'!$B$11,Paramètres!$A$1:$I$89,3,0)*0.475*44/12</f>
        <v>7.70400140141731E-6</v>
      </c>
      <c r="BS164" s="22">
        <f t="shared" si="169"/>
        <v>16.839225714275546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-9.9475983006414026E-14</v>
      </c>
      <c r="BZ164" s="13">
        <f>BY164*VLOOKUP('Données projet'!$B$12,Paramètres!$A$1:$I$89,3,0)*VLOOKUP('Données projet'!$B$12,Paramètres!$A$1:$I$89,5,0)</f>
        <v>-1.0707594810810407E-13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192.88977161349993</v>
      </c>
      <c r="CE164" s="59">
        <f t="shared" si="148"/>
        <v>122.91376861456772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9.7348873545629466</v>
      </c>
      <c r="CL164" s="21">
        <f>EXP(-LN(2)/25)*CL163+(1-EXP(-LN(2)/25))/(LN(2)/25)*Calculateur!CG164*Calculateur!CI164*VLOOKUP('Données projet'!$B$12,Paramètres!$A$1:$I$89,3,0)*0.475*44/12</f>
        <v>9.0055326891292449</v>
      </c>
      <c r="CM164" s="21">
        <f>EXP(-LN(2)/2)*CM163+(1-EXP(-LN(2)/2))/(LN(2)/2)*CG164*CJ164*VLOOKUP('Données projet'!$B$12,Paramètres!$A$1:$I$89,3,0)*0.475*44/12</f>
        <v>8.5738080112547463E-6</v>
      </c>
      <c r="CN164" s="22">
        <f t="shared" si="172"/>
        <v>18.7404286175002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-8.5265128291212022E-14</v>
      </c>
      <c r="CU164" s="17">
        <f>CT164*VLOOKUP('Données projet'!$B$13,Paramètres!$A$1:$I$89,3,0)*VLOOKUP('Données projet'!$B$13,Paramètres!$A$1:$I$89,5,0)</f>
        <v>-6.9167072069831198E-14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163.16040389635825</v>
      </c>
      <c r="CZ164" s="59">
        <f t="shared" si="150"/>
        <v>138.57856782158811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2.2596198064792716</v>
      </c>
      <c r="DH164" s="21">
        <f>EXP(-LN(2)/2)*DH163+(1-EXP(-LN(2)/2))/(LN(2)/2)*DB164*DE164*VLOOKUP('Données projet'!$B$13,Paramètres!$A$1:$I$89,3,0)*0.475*44/12</f>
        <v>5.1541534203378058E-10</v>
      </c>
      <c r="DI164" s="22">
        <f t="shared" si="175"/>
        <v>2.2596198069946869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1.7053025658242404E-13</v>
      </c>
      <c r="DP164" s="17">
        <f>DO164*VLOOKUP('Données projet'!$B$14,Paramètres!$A$1:$I$89,3,0)*VLOOKUP('Données projet'!$B$14,Paramètres!$A$1:$I$89,5,0)</f>
        <v>7.9808160080574461E-14</v>
      </c>
      <c r="DQ164" s="13">
        <f t="shared" si="176"/>
        <v>1.2308384591775343E-12</v>
      </c>
      <c r="DR164" s="20">
        <f t="shared" si="177"/>
        <v>2.282709528541206E-12</v>
      </c>
      <c r="DS164" s="59">
        <f t="shared" si="125"/>
        <v>292.40214900616428</v>
      </c>
      <c r="DT164" s="59">
        <f ca="1">AVERAGE(OFFSET($DS$3,0,0,'Données projet'!$E$14+1,1))-AVERAGE(OFFSET($H$3,0,0,'Données projet'!$E$14+1,1))</f>
        <v>343.44193069803498</v>
      </c>
      <c r="DU164" s="59">
        <f t="shared" si="152"/>
        <v>280.67367019483481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80.295862813422573</v>
      </c>
      <c r="EB164" s="21">
        <f>EXP(-LN(2)/25)*EB163+(1-EXP(-LN(2)/25))/(LN(2)/25)*Calculateur!DW164*Calculateur!DY164*VLOOKUP('Données projet'!$B$14,Paramètres!$A$1:$I$89,3,0)*0.475*44/12</f>
        <v>19.549561396062309</v>
      </c>
      <c r="EC164" s="21">
        <f>EXP(-LN(2)/2)*EC163+(1-EXP(-LN(2)/2))/(LN(2)/2)*DW164*DZ164*VLOOKUP('Données projet'!$B$14,Paramètres!$A$1:$I$89,3,0)*0.475*44/12</f>
        <v>9.8903362044002732E-4</v>
      </c>
      <c r="ED164" s="22">
        <f t="shared" si="178"/>
        <v>99.846413243105332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173.07692307692307</v>
      </c>
      <c r="EK164" s="17">
        <f>EJ164*VLOOKUP('Données projet'!$B$15,Paramètres!$A$1:$I$89,3,0)*VLOOKUP('Données projet'!$B$15,Paramètres!$A$1:$I$89,5,0)</f>
        <v>175.5</v>
      </c>
      <c r="EL164" s="13">
        <f t="shared" si="179"/>
        <v>44.319548641773906</v>
      </c>
      <c r="EM164" s="20">
        <f t="shared" si="180"/>
        <v>382.85238055108954</v>
      </c>
      <c r="EN164" s="59">
        <f t="shared" si="128"/>
        <v>675.25452955725154</v>
      </c>
      <c r="EO164" s="59">
        <f ca="1">AVERAGE(OFFSET($EN$3,0,0,'Données projet'!$E$15+1,1))-AVERAGE(OFFSET($H$3,0,0,'Données projet'!$E$15+1,1))</f>
        <v>270.0029254736703</v>
      </c>
      <c r="EP164" s="59">
        <f t="shared" si="154"/>
        <v>183.80022202211441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5.0095497886115021</v>
      </c>
      <c r="EW164" s="21">
        <f>EXP(-LN(2)/25)*EW163+(1-EXP(-LN(2)/25))/(LN(2)/25)*Calculateur!ER164*Calculateur!ET164*VLOOKUP('Données projet'!$B$15,Paramètres!$A$1:$I$89,3,0)*0.475*44/12</f>
        <v>4.1758723215175184</v>
      </c>
      <c r="EX164" s="21">
        <f>EXP(-LN(2)/2)*EX163+(1-EXP(-LN(2)/2))/(LN(2)/2)*ER164*EU164*VLOOKUP('Données projet'!$B$15,Paramètres!$A$1:$I$89,3,0)*0.475*44/12</f>
        <v>1.4372472215714245E-7</v>
      </c>
      <c r="EY164" s="22">
        <f t="shared" si="181"/>
        <v>9.1854222538537442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-1.4897523215040567E-13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328.93328163316073</v>
      </c>
      <c r="FK164" s="59">
        <f t="shared" si="156"/>
        <v>320.27831321887072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9.2640495253286623</v>
      </c>
      <c r="FR164" s="21">
        <f>EXP(-LN(2)/25)*FR163+(1-EXP(-LN(2)/25))/(LN(2)/25)*Calculateur!FM164*Calculateur!FO164*VLOOKUP('Données projet'!$B$16,Paramètres!$A$1:$I$89,3,0)*0.475*44/12</f>
        <v>4.9233178335413674</v>
      </c>
      <c r="FS164" s="21">
        <f>EXP(-LN(2)/2)*FS163+(1-EXP(-LN(2)/2))/(LN(2)/2)*FM164*FP164*VLOOKUP('Données projet'!$B$16,Paramètres!$A$1:$I$89,3,0)*0.475*44/12</f>
        <v>3.6706144802006462E-11</v>
      </c>
      <c r="FT164" s="22">
        <f t="shared" si="184"/>
        <v>14.187367358906737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173.07692307692307</v>
      </c>
      <c r="GA164" s="17">
        <f>FZ164*VLOOKUP('Données projet'!$B$17,Paramètres!$A$1:$I$89,3,0)*VLOOKUP('Données projet'!$B$17,Paramètres!$A$1:$I$89,5,0)</f>
        <v>116.1</v>
      </c>
      <c r="GB164" s="13">
        <f t="shared" si="185"/>
        <v>30.763646636385982</v>
      </c>
      <c r="GC164" s="20">
        <f t="shared" si="186"/>
        <v>255.78751789170556</v>
      </c>
      <c r="GD164" s="59">
        <f t="shared" si="134"/>
        <v>548.1896668978676</v>
      </c>
      <c r="GE164" s="59">
        <f ca="1">AVERAGE(OFFSET($GD$3,0,0,'Données projet'!$E$17+1,1))-AVERAGE(OFFSET($H$3,0,0,'Données projet'!$E$17+1,1))</f>
        <v>192.88444860121191</v>
      </c>
      <c r="GF164" s="59">
        <f t="shared" si="158"/>
        <v>136.13737493732751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4.0847098276370639</v>
      </c>
      <c r="GM164" s="21">
        <f>EXP(-LN(2)/25)*GM163+(1-EXP(-LN(2)/25))/(LN(2)/25)*Calculateur!GH164*Calculateur!GJ164*VLOOKUP('Données projet'!$B$17,Paramètres!$A$1:$I$89,3,0)*0.475*44/12</f>
        <v>3.4049420467758216</v>
      </c>
      <c r="GN164" s="21">
        <f>EXP(-LN(2)/2)*GN163+(1-EXP(-LN(2)/2))/(LN(2)/2)*GH164*GK164*VLOOKUP('Données projet'!$B$17,Paramètres!$A$1:$I$89,3,0)*0.475*44/12</f>
        <v>9.5079431580878892E-8</v>
      </c>
      <c r="GO164" s="21">
        <f t="shared" si="187"/>
        <v>7.4896519694923169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69.746040638044178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0.85000000000000009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3.1166666666666671</v>
      </c>
      <c r="H165" s="67">
        <f t="shared" si="110"/>
        <v>244.19999999999996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1374.4172435233411</v>
      </c>
      <c r="S165" s="59">
        <f ca="1">AVERAGE(OFFSET($R$3,0,0,'Données projet'!$E$9+1,1))-AVERAGE(OFFSET($H$3,0,0,'Données projet'!$E$9+1,1))</f>
        <v>643.492472896403</v>
      </c>
      <c r="T165" s="59">
        <f t="shared" si="142"/>
        <v>285.0259479655341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-2.8421709430404007E-13</v>
      </c>
      <c r="AJ165" s="13">
        <f>AI165*VLOOKUP('Données projet'!$B$10,Paramètres!$A$1:$I$89,3,0)*VLOOKUP('Données projet'!$B$10,Paramètres!$A$1:$I$89,5,0)</f>
        <v>-2.2168933355715128E-13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289.89907502443873</v>
      </c>
      <c r="AO165" s="59">
        <f t="shared" si="144"/>
        <v>267.42183550360301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6.354505484279124</v>
      </c>
      <c r="AV165" s="21">
        <f>EXP(-LN(2)/25)*AV164+(1-EXP(-LN(2)/25))/(LN(2)/25)*Calculateur!AQ165*Calculateur!AS165*VLOOKUP('Données projet'!$B$10,Paramètres!$A$1:$I$89,3,0)*0.475*44/12</f>
        <v>3.5121898974209431</v>
      </c>
      <c r="AW165" s="21">
        <f>EXP(-LN(2)/2)*AW164+(1-EXP(-LN(2)/2))/(LN(2)/2)*AQ165*AT165*VLOOKUP('Données projet'!$B$10,Paramètres!$A$1:$I$89,3,0)*0.475*44/12</f>
        <v>4.2971378598165122E-12</v>
      </c>
      <c r="AX165" s="21">
        <f t="shared" si="166"/>
        <v>9.8666953817043641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-9.9475983006414026E-14</v>
      </c>
      <c r="BE165" s="13">
        <f>BD165*VLOOKUP('Données projet'!$B$11,Paramètres!$A$1:$I$89,3,0)*VLOOKUP('Données projet'!$B$11,Paramètres!$A$1:$I$89,5,0)</f>
        <v>-9.6213170763803652E-14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177.54241137663234</v>
      </c>
      <c r="BJ165" s="59">
        <f t="shared" si="146"/>
        <v>114.71095021456071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8.5757610634285086</v>
      </c>
      <c r="BQ165" s="21">
        <f>EXP(-LN(2)/25)*BQ164+(1-EXP(-LN(2)/25))/(LN(2)/25)*Calculateur!BL165*Calculateur!BN165*VLOOKUP('Données projet'!$B$11,Paramètres!$A$1:$I$89,3,0)*0.475*44/12</f>
        <v>7.8706537289595193</v>
      </c>
      <c r="BR165" s="21">
        <f>EXP(-LN(2)/2)*BR164+(1-EXP(-LN(2)/2))/(LN(2)/2)*BL165*BO165*VLOOKUP('Données projet'!$B$11,Paramètres!$A$1:$I$89,3,0)*0.475*44/12</f>
        <v>5.4475516332128453E-6</v>
      </c>
      <c r="BS165" s="22">
        <f t="shared" si="169"/>
        <v>16.446420239939659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-9.9475983006414026E-14</v>
      </c>
      <c r="BZ165" s="13">
        <f>BY165*VLOOKUP('Données projet'!$B$12,Paramètres!$A$1:$I$89,3,0)*VLOOKUP('Données projet'!$B$12,Paramètres!$A$1:$I$89,5,0)</f>
        <v>-1.0707594810810407E-13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192.88977161349993</v>
      </c>
      <c r="CE165" s="59">
        <f t="shared" si="148"/>
        <v>122.91376861456772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9.5439921512349546</v>
      </c>
      <c r="CL165" s="21">
        <f>EXP(-LN(2)/25)*CL164+(1-EXP(-LN(2)/25))/(LN(2)/25)*Calculateur!CG165*Calculateur!CI165*VLOOKUP('Données projet'!$B$12,Paramètres!$A$1:$I$89,3,0)*0.475*44/12</f>
        <v>8.7592759241646245</v>
      </c>
      <c r="CM165" s="21">
        <f>EXP(-LN(2)/2)*CM164+(1-EXP(-LN(2)/2))/(LN(2)/2)*CG165*CJ165*VLOOKUP('Données projet'!$B$12,Paramètres!$A$1:$I$89,3,0)*0.475*44/12</f>
        <v>6.0625977853497781E-6</v>
      </c>
      <c r="CN165" s="22">
        <f t="shared" si="172"/>
        <v>18.303274137997363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-8.5265128291212022E-14</v>
      </c>
      <c r="CU165" s="17">
        <f>CT165*VLOOKUP('Données projet'!$B$13,Paramètres!$A$1:$I$89,3,0)*VLOOKUP('Données projet'!$B$13,Paramètres!$A$1:$I$89,5,0)</f>
        <v>-6.9167072069831198E-14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163.16040389635825</v>
      </c>
      <c r="CZ165" s="59">
        <f t="shared" si="150"/>
        <v>138.57856782158811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2.1978303840428546</v>
      </c>
      <c r="DH165" s="21">
        <f>EXP(-LN(2)/2)*DH164+(1-EXP(-LN(2)/2))/(LN(2)/2)*DB165*DE165*VLOOKUP('Données projet'!$B$13,Paramètres!$A$1:$I$89,3,0)*0.475*44/12</f>
        <v>3.6445368347967005E-10</v>
      </c>
      <c r="DI165" s="22">
        <f t="shared" si="175"/>
        <v>2.1978303844073084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1.7053025658242404E-13</v>
      </c>
      <c r="DP165" s="17">
        <f>DO165*VLOOKUP('Données projet'!$B$14,Paramètres!$A$1:$I$89,3,0)*VLOOKUP('Données projet'!$B$14,Paramètres!$A$1:$I$89,5,0)</f>
        <v>7.9808160080574461E-14</v>
      </c>
      <c r="DQ165" s="13">
        <f t="shared" si="176"/>
        <v>1.2308384591775343E-12</v>
      </c>
      <c r="DR165" s="20">
        <f t="shared" si="177"/>
        <v>2.282709528541206E-12</v>
      </c>
      <c r="DS165" s="59">
        <f t="shared" si="125"/>
        <v>292.41830297242444</v>
      </c>
      <c r="DT165" s="59">
        <f ca="1">AVERAGE(OFFSET($DS$3,0,0,'Données projet'!$E$14+1,1))-AVERAGE(OFFSET($H$3,0,0,'Données projet'!$E$14+1,1))</f>
        <v>343.44193069803498</v>
      </c>
      <c r="DU165" s="59">
        <f t="shared" si="152"/>
        <v>280.67367019483481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78.721309919291727</v>
      </c>
      <c r="EB165" s="21">
        <f>EXP(-LN(2)/25)*EB164+(1-EXP(-LN(2)/25))/(LN(2)/25)*Calculateur!DW165*Calculateur!DY165*VLOOKUP('Données projet'!$B$14,Paramètres!$A$1:$I$89,3,0)*0.475*44/12</f>
        <v>19.014977611620232</v>
      </c>
      <c r="EC165" s="21">
        <f>EXP(-LN(2)/2)*EC164+(1-EXP(-LN(2)/2))/(LN(2)/2)*DW165*DZ165*VLOOKUP('Données projet'!$B$14,Paramètres!$A$1:$I$89,3,0)*0.475*44/12</f>
        <v>6.9935237983462532E-4</v>
      </c>
      <c r="ED165" s="22">
        <f t="shared" si="178"/>
        <v>97.736986883291806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173.07692307692307</v>
      </c>
      <c r="EK165" s="17">
        <f>EJ165*VLOOKUP('Données projet'!$B$15,Paramètres!$A$1:$I$89,3,0)*VLOOKUP('Données projet'!$B$15,Paramètres!$A$1:$I$89,5,0)</f>
        <v>175.5</v>
      </c>
      <c r="EL165" s="13">
        <f t="shared" si="179"/>
        <v>44.319548641773906</v>
      </c>
      <c r="EM165" s="20">
        <f t="shared" si="180"/>
        <v>382.85238055108954</v>
      </c>
      <c r="EN165" s="59">
        <f t="shared" si="128"/>
        <v>675.27068352351171</v>
      </c>
      <c r="EO165" s="59">
        <f ca="1">AVERAGE(OFFSET($EN$3,0,0,'Données projet'!$E$15+1,1))-AVERAGE(OFFSET($H$3,0,0,'Données projet'!$E$15+1,1))</f>
        <v>270.0029254736703</v>
      </c>
      <c r="EP165" s="59">
        <f t="shared" si="154"/>
        <v>183.80022202211441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4.9113155727804934</v>
      </c>
      <c r="EW165" s="21">
        <f>EXP(-LN(2)/25)*EW164+(1-EXP(-LN(2)/25))/(LN(2)/25)*Calculateur!ER165*Calculateur!ET165*VLOOKUP('Données projet'!$B$15,Paramètres!$A$1:$I$89,3,0)*0.475*44/12</f>
        <v>4.0616828732860402</v>
      </c>
      <c r="EX165" s="21">
        <f>EXP(-LN(2)/2)*EX164+(1-EXP(-LN(2)/2))/(LN(2)/2)*ER165*EU165*VLOOKUP('Données projet'!$B$15,Paramètres!$A$1:$I$89,3,0)*0.475*44/12</f>
        <v>1.0162872566146787E-7</v>
      </c>
      <c r="EY165" s="22">
        <f t="shared" si="181"/>
        <v>8.9729985476952585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-1.4897523215040567E-13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328.93328163316073</v>
      </c>
      <c r="FK165" s="59">
        <f t="shared" si="156"/>
        <v>320.27831321887072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9.0823871646492353</v>
      </c>
      <c r="FR165" s="21">
        <f>EXP(-LN(2)/25)*FR164+(1-EXP(-LN(2)/25))/(LN(2)/25)*Calculateur!FM165*Calculateur!FO165*VLOOKUP('Données projet'!$B$16,Paramètres!$A$1:$I$89,3,0)*0.475*44/12</f>
        <v>4.7886894484771458</v>
      </c>
      <c r="FS165" s="21">
        <f>EXP(-LN(2)/2)*FS164+(1-EXP(-LN(2)/2))/(LN(2)/2)*FM165*FP165*VLOOKUP('Données projet'!$B$16,Paramètres!$A$1:$I$89,3,0)*0.475*44/12</f>
        <v>2.5955163900714112E-11</v>
      </c>
      <c r="FT165" s="22">
        <f t="shared" si="184"/>
        <v>13.871076613152335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173.07692307692307</v>
      </c>
      <c r="GA165" s="17">
        <f>FZ165*VLOOKUP('Données projet'!$B$17,Paramètres!$A$1:$I$89,3,0)*VLOOKUP('Données projet'!$B$17,Paramètres!$A$1:$I$89,5,0)</f>
        <v>116.1</v>
      </c>
      <c r="GB165" s="13">
        <f t="shared" si="185"/>
        <v>30.763646636385982</v>
      </c>
      <c r="GC165" s="20">
        <f t="shared" si="186"/>
        <v>255.78751789170556</v>
      </c>
      <c r="GD165" s="59">
        <f t="shared" si="134"/>
        <v>548.20582086412776</v>
      </c>
      <c r="GE165" s="59">
        <f ca="1">AVERAGE(OFFSET($GD$3,0,0,'Données projet'!$E$17+1,1))-AVERAGE(OFFSET($H$3,0,0,'Données projet'!$E$17+1,1))</f>
        <v>192.88444860121191</v>
      </c>
      <c r="GF165" s="59">
        <f t="shared" si="158"/>
        <v>136.13737493732751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4.0046111593440878</v>
      </c>
      <c r="GM165" s="21">
        <f>EXP(-LN(2)/25)*GM164+(1-EXP(-LN(2)/25))/(LN(2)/25)*Calculateur!GH165*Calculateur!GJ165*VLOOKUP('Données projet'!$B$17,Paramètres!$A$1:$I$89,3,0)*0.475*44/12</f>
        <v>3.3118337274486165</v>
      </c>
      <c r="GN165" s="21">
        <f>EXP(-LN(2)/2)*GN164+(1-EXP(-LN(2)/2))/(LN(2)/2)*GH165*GK165*VLOOKUP('Données projet'!$B$17,Paramètres!$A$1:$I$89,3,0)*0.475*44/12</f>
        <v>6.7231310822201847E-8</v>
      </c>
      <c r="GO165" s="21">
        <f t="shared" si="187"/>
        <v>7.3164449540240151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69.750446265206037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0.85000000000000009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3.1166666666666671</v>
      </c>
      <c r="H166" s="67">
        <f t="shared" si="110"/>
        <v>244.19999999999996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1392.3301280375861</v>
      </c>
      <c r="S166" s="59">
        <f ca="1">AVERAGE(OFFSET($R$3,0,0,'Données projet'!$E$9+1,1))-AVERAGE(OFFSET($H$3,0,0,'Données projet'!$E$9+1,1))</f>
        <v>643.492472896403</v>
      </c>
      <c r="T166" s="59">
        <f t="shared" si="142"/>
        <v>285.0259479655341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-2.8421709430404007E-13</v>
      </c>
      <c r="AJ166" s="13">
        <f>AI166*VLOOKUP('Données projet'!$B$10,Paramètres!$A$1:$I$89,3,0)*VLOOKUP('Données projet'!$B$10,Paramètres!$A$1:$I$89,5,0)</f>
        <v>-2.2168933355715128E-13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289.89907502443873</v>
      </c>
      <c r="AO166" s="59">
        <f t="shared" si="144"/>
        <v>267.42183550360301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6.2298975075980456</v>
      </c>
      <c r="AV166" s="21">
        <f>EXP(-LN(2)/25)*AV165+(1-EXP(-LN(2)/25))/(LN(2)/25)*Calculateur!AQ166*Calculateur!AS166*VLOOKUP('Données projet'!$B$10,Paramètres!$A$1:$I$89,3,0)*0.475*44/12</f>
        <v>3.416148879977928</v>
      </c>
      <c r="AW166" s="21">
        <f>EXP(-LN(2)/2)*AW165+(1-EXP(-LN(2)/2))/(LN(2)/2)*AQ166*AT166*VLOOKUP('Données projet'!$B$10,Paramètres!$A$1:$I$89,3,0)*0.475*44/12</f>
        <v>3.0385353203697037E-12</v>
      </c>
      <c r="AX166" s="21">
        <f t="shared" si="166"/>
        <v>9.6460463875790126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-9.9475983006414026E-14</v>
      </c>
      <c r="BE166" s="13">
        <f>BD166*VLOOKUP('Données projet'!$B$11,Paramètres!$A$1:$I$89,3,0)*VLOOKUP('Données projet'!$B$11,Paramètres!$A$1:$I$89,5,0)</f>
        <v>-9.6213170763803652E-14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177.54241137663234</v>
      </c>
      <c r="BJ166" s="59">
        <f t="shared" si="146"/>
        <v>114.71095021456071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8.4075956196724366</v>
      </c>
      <c r="BQ166" s="21">
        <f>EXP(-LN(2)/25)*BQ165+(1-EXP(-LN(2)/25))/(LN(2)/25)*Calculateur!BL166*Calculateur!BN166*VLOOKUP('Données projet'!$B$11,Paramètres!$A$1:$I$89,3,0)*0.475*44/12</f>
        <v>7.6554302888414298</v>
      </c>
      <c r="BR166" s="21">
        <f>EXP(-LN(2)/2)*BR165+(1-EXP(-LN(2)/2))/(LN(2)/2)*BL166*BO166*VLOOKUP('Données projet'!$B$11,Paramètres!$A$1:$I$89,3,0)*0.475*44/12</f>
        <v>3.852000700708655E-6</v>
      </c>
      <c r="BS166" s="22">
        <f t="shared" si="169"/>
        <v>16.063029760514567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-9.9475983006414026E-14</v>
      </c>
      <c r="BZ166" s="13">
        <f>BY166*VLOOKUP('Données projet'!$B$12,Paramètres!$A$1:$I$89,3,0)*VLOOKUP('Données projet'!$B$12,Paramètres!$A$1:$I$89,5,0)</f>
        <v>-1.0707594810810407E-13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192.88977161349993</v>
      </c>
      <c r="CE166" s="59">
        <f t="shared" si="148"/>
        <v>122.91376861456772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9.356840286409648</v>
      </c>
      <c r="CL166" s="21">
        <f>EXP(-LN(2)/25)*CL165+(1-EXP(-LN(2)/25))/(LN(2)/25)*Calculateur!CG166*Calculateur!CI166*VLOOKUP('Données projet'!$B$12,Paramètres!$A$1:$I$89,3,0)*0.475*44/12</f>
        <v>8.5197530633880412</v>
      </c>
      <c r="CM166" s="21">
        <f>EXP(-LN(2)/2)*CM165+(1-EXP(-LN(2)/2))/(LN(2)/2)*CG166*CJ166*VLOOKUP('Données projet'!$B$12,Paramètres!$A$1:$I$89,3,0)*0.475*44/12</f>
        <v>4.2869040056273732E-6</v>
      </c>
      <c r="CN166" s="22">
        <f t="shared" si="172"/>
        <v>17.876597636701693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-8.5265128291212022E-14</v>
      </c>
      <c r="CU166" s="17">
        <f>CT166*VLOOKUP('Données projet'!$B$13,Paramètres!$A$1:$I$89,3,0)*VLOOKUP('Données projet'!$B$13,Paramètres!$A$1:$I$89,5,0)</f>
        <v>-6.9167072069831198E-14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163.16040389635825</v>
      </c>
      <c r="CZ166" s="59">
        <f t="shared" si="150"/>
        <v>138.57856782158811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2.1377305966123261</v>
      </c>
      <c r="DH166" s="21">
        <f>EXP(-LN(2)/2)*DH165+(1-EXP(-LN(2)/2))/(LN(2)/2)*DB166*DE166*VLOOKUP('Données projet'!$B$13,Paramètres!$A$1:$I$89,3,0)*0.475*44/12</f>
        <v>2.5770767101689029E-10</v>
      </c>
      <c r="DI166" s="22">
        <f t="shared" si="175"/>
        <v>2.1377305968700338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1.7053025658242404E-13</v>
      </c>
      <c r="DP166" s="17">
        <f>DO166*VLOOKUP('Données projet'!$B$14,Paramètres!$A$1:$I$89,3,0)*VLOOKUP('Données projet'!$B$14,Paramètres!$A$1:$I$89,5,0)</f>
        <v>7.9808160080574461E-14</v>
      </c>
      <c r="DQ166" s="13">
        <f t="shared" si="176"/>
        <v>1.2308384591775343E-12</v>
      </c>
      <c r="DR166" s="20">
        <f t="shared" si="177"/>
        <v>2.282709528541206E-12</v>
      </c>
      <c r="DS166" s="59">
        <f t="shared" si="125"/>
        <v>292.43417670348481</v>
      </c>
      <c r="DT166" s="59">
        <f ca="1">AVERAGE(OFFSET($DS$3,0,0,'Données projet'!$E$14+1,1))-AVERAGE(OFFSET($H$3,0,0,'Données projet'!$E$14+1,1))</f>
        <v>343.44193069803498</v>
      </c>
      <c r="DU166" s="59">
        <f t="shared" si="152"/>
        <v>280.67367019483481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77.177633047032359</v>
      </c>
      <c r="EB166" s="21">
        <f>EXP(-LN(2)/25)*EB165+(1-EXP(-LN(2)/25))/(LN(2)/25)*Calculateur!DW166*Calculateur!DY166*VLOOKUP('Données projet'!$B$14,Paramètres!$A$1:$I$89,3,0)*0.475*44/12</f>
        <v>18.495012048876262</v>
      </c>
      <c r="EC166" s="21">
        <f>EXP(-LN(2)/2)*EC165+(1-EXP(-LN(2)/2))/(LN(2)/2)*DW166*DZ166*VLOOKUP('Données projet'!$B$14,Paramètres!$A$1:$I$89,3,0)*0.475*44/12</f>
        <v>4.9451681022001366E-4</v>
      </c>
      <c r="ED166" s="22">
        <f t="shared" si="178"/>
        <v>95.673139612718842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173.07692307692307</v>
      </c>
      <c r="EK166" s="17">
        <f>EJ166*VLOOKUP('Données projet'!$B$15,Paramètres!$A$1:$I$89,3,0)*VLOOKUP('Données projet'!$B$15,Paramètres!$A$1:$I$89,5,0)</f>
        <v>175.5</v>
      </c>
      <c r="EL166" s="13">
        <f t="shared" si="179"/>
        <v>44.319548641773906</v>
      </c>
      <c r="EM166" s="20">
        <f t="shared" si="180"/>
        <v>382.85238055108954</v>
      </c>
      <c r="EN166" s="59">
        <f t="shared" si="128"/>
        <v>675.28655725457202</v>
      </c>
      <c r="EO166" s="59">
        <f ca="1">AVERAGE(OFFSET($EN$3,0,0,'Données projet'!$E$15+1,1))-AVERAGE(OFFSET($H$3,0,0,'Données projet'!$E$15+1,1))</f>
        <v>270.0029254736703</v>
      </c>
      <c r="EP166" s="59">
        <f t="shared" si="154"/>
        <v>183.80022202211441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4.8150076700049755</v>
      </c>
      <c r="EW166" s="21">
        <f>EXP(-LN(2)/25)*EW165+(1-EXP(-LN(2)/25))/(LN(2)/25)*Calculateur!ER166*Calculateur!ET166*VLOOKUP('Données projet'!$B$15,Paramètres!$A$1:$I$89,3,0)*0.475*44/12</f>
        <v>3.9506159415214142</v>
      </c>
      <c r="EX166" s="21">
        <f>EXP(-LN(2)/2)*EX165+(1-EXP(-LN(2)/2))/(LN(2)/2)*ER166*EU166*VLOOKUP('Données projet'!$B$15,Paramètres!$A$1:$I$89,3,0)*0.475*44/12</f>
        <v>7.1862361078571224E-8</v>
      </c>
      <c r="EY166" s="22">
        <f t="shared" si="181"/>
        <v>8.7656236833887515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-1.4897523215040567E-13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328.93328163316073</v>
      </c>
      <c r="FK166" s="59">
        <f t="shared" si="156"/>
        <v>320.27831321887072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8.9042870920596329</v>
      </c>
      <c r="FR166" s="21">
        <f>EXP(-LN(2)/25)*FR165+(1-EXP(-LN(2)/25))/(LN(2)/25)*Calculateur!FM166*Calculateur!FO166*VLOOKUP('Données projet'!$B$16,Paramètres!$A$1:$I$89,3,0)*0.475*44/12</f>
        <v>4.6577424836823047</v>
      </c>
      <c r="FS166" s="21">
        <f>EXP(-LN(2)/2)*FS165+(1-EXP(-LN(2)/2))/(LN(2)/2)*FM166*FP166*VLOOKUP('Données projet'!$B$16,Paramètres!$A$1:$I$89,3,0)*0.475*44/12</f>
        <v>1.8353072401003231E-11</v>
      </c>
      <c r="FT166" s="22">
        <f t="shared" si="184"/>
        <v>13.562029575760292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173.07692307692307</v>
      </c>
      <c r="GA166" s="17">
        <f>FZ166*VLOOKUP('Données projet'!$B$17,Paramètres!$A$1:$I$89,3,0)*VLOOKUP('Données projet'!$B$17,Paramètres!$A$1:$I$89,5,0)</f>
        <v>116.1</v>
      </c>
      <c r="GB166" s="13">
        <f t="shared" si="185"/>
        <v>30.763646636385982</v>
      </c>
      <c r="GC166" s="20">
        <f t="shared" si="186"/>
        <v>255.78751789170556</v>
      </c>
      <c r="GD166" s="59">
        <f t="shared" si="134"/>
        <v>548.22169459518807</v>
      </c>
      <c r="GE166" s="59">
        <f ca="1">AVERAGE(OFFSET($GD$3,0,0,'Données projet'!$E$17+1,1))-AVERAGE(OFFSET($H$3,0,0,'Données projet'!$E$17+1,1))</f>
        <v>192.88444860121191</v>
      </c>
      <c r="GF166" s="59">
        <f t="shared" si="158"/>
        <v>136.13737493732751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3.9260831770809737</v>
      </c>
      <c r="GM166" s="21">
        <f>EXP(-LN(2)/25)*GM165+(1-EXP(-LN(2)/25))/(LN(2)/25)*Calculateur!GH166*Calculateur!GJ166*VLOOKUP('Données projet'!$B$17,Paramètres!$A$1:$I$89,3,0)*0.475*44/12</f>
        <v>3.2212714600097678</v>
      </c>
      <c r="GN166" s="21">
        <f>EXP(-LN(2)/2)*GN165+(1-EXP(-LN(2)/2))/(LN(2)/2)*GH166*GK166*VLOOKUP('Données projet'!$B$17,Paramètres!$A$1:$I$89,3,0)*0.475*44/12</f>
        <v>4.7539715790439446E-8</v>
      </c>
      <c r="GO166" s="21">
        <f t="shared" si="187"/>
        <v>7.1473546846304572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69.754775464586146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0.85000000000000009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3.1166666666666671</v>
      </c>
      <c r="H167" s="67">
        <f t="shared" si="110"/>
        <v>244.19999999999996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1410.2370441573926</v>
      </c>
      <c r="S167" s="59">
        <f ca="1">AVERAGE(OFFSET($R$3,0,0,'Données projet'!$E$9+1,1))-AVERAGE(OFFSET($H$3,0,0,'Données projet'!$E$9+1,1))</f>
        <v>643.492472896403</v>
      </c>
      <c r="T167" s="59">
        <f t="shared" si="142"/>
        <v>285.0259479655341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-2.8421709430404007E-13</v>
      </c>
      <c r="AJ167" s="13">
        <f>AI167*VLOOKUP('Données projet'!$B$10,Paramètres!$A$1:$I$89,3,0)*VLOOKUP('Données projet'!$B$10,Paramètres!$A$1:$I$89,5,0)</f>
        <v>-2.2168933355715128E-13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289.89907502443873</v>
      </c>
      <c r="AO167" s="59">
        <f t="shared" si="144"/>
        <v>267.42183550360301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6.1077330173363222</v>
      </c>
      <c r="AV167" s="21">
        <f>EXP(-LN(2)/25)*AV166+(1-EXP(-LN(2)/25))/(LN(2)/25)*Calculateur!AQ167*Calculateur!AS167*VLOOKUP('Données projet'!$B$10,Paramètres!$A$1:$I$89,3,0)*0.475*44/12</f>
        <v>3.3227341092074698</v>
      </c>
      <c r="AW167" s="21">
        <f>EXP(-LN(2)/2)*AW166+(1-EXP(-LN(2)/2))/(LN(2)/2)*AQ167*AT167*VLOOKUP('Données projet'!$B$10,Paramètres!$A$1:$I$89,3,0)*0.475*44/12</f>
        <v>2.1485689299082561E-12</v>
      </c>
      <c r="AX167" s="21">
        <f t="shared" si="166"/>
        <v>9.4304671265459419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-9.9475983006414026E-14</v>
      </c>
      <c r="BE167" s="13">
        <f>BD167*VLOOKUP('Données projet'!$B$11,Paramètres!$A$1:$I$89,3,0)*VLOOKUP('Données projet'!$B$11,Paramètres!$A$1:$I$89,5,0)</f>
        <v>-9.6213170763803652E-14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177.54241137663234</v>
      </c>
      <c r="BJ167" s="59">
        <f t="shared" si="146"/>
        <v>114.71095021456071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8.2427277976976274</v>
      </c>
      <c r="BQ167" s="21">
        <f>EXP(-LN(2)/25)*BQ166+(1-EXP(-LN(2)/25))/(LN(2)/25)*Calculateur!BL167*Calculateur!BN167*VLOOKUP('Données projet'!$B$11,Paramètres!$A$1:$I$89,3,0)*0.475*44/12</f>
        <v>7.4460921450114785</v>
      </c>
      <c r="BR167" s="21">
        <f>EXP(-LN(2)/2)*BR166+(1-EXP(-LN(2)/2))/(LN(2)/2)*BL167*BO167*VLOOKUP('Données projet'!$B$11,Paramètres!$A$1:$I$89,3,0)*0.475*44/12</f>
        <v>2.7237758166064227E-6</v>
      </c>
      <c r="BS167" s="22">
        <f t="shared" si="169"/>
        <v>15.688822666484922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-9.9475983006414026E-14</v>
      </c>
      <c r="BZ167" s="13">
        <f>BY167*VLOOKUP('Données projet'!$B$12,Paramètres!$A$1:$I$89,3,0)*VLOOKUP('Données projet'!$B$12,Paramètres!$A$1:$I$89,5,0)</f>
        <v>-1.0707594810810407E-13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192.88977161349993</v>
      </c>
      <c r="CE167" s="59">
        <f t="shared" si="148"/>
        <v>122.91376861456772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9.1733583555021987</v>
      </c>
      <c r="CL167" s="21">
        <f>EXP(-LN(2)/25)*CL166+(1-EXP(-LN(2)/25))/(LN(2)/25)*Calculateur!CG167*Calculateur!CI167*VLOOKUP('Données projet'!$B$12,Paramètres!$A$1:$I$89,3,0)*0.475*44/12</f>
        <v>8.2867799678353542</v>
      </c>
      <c r="CM167" s="21">
        <f>EXP(-LN(2)/2)*CM166+(1-EXP(-LN(2)/2))/(LN(2)/2)*CG167*CJ167*VLOOKUP('Données projet'!$B$12,Paramètres!$A$1:$I$89,3,0)*0.475*44/12</f>
        <v>3.0312988926748891E-6</v>
      </c>
      <c r="CN167" s="22">
        <f t="shared" si="172"/>
        <v>17.460141354636445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-8.5265128291212022E-14</v>
      </c>
      <c r="CU167" s="17">
        <f>CT167*VLOOKUP('Données projet'!$B$13,Paramètres!$A$1:$I$89,3,0)*VLOOKUP('Données projet'!$B$13,Paramètres!$A$1:$I$89,5,0)</f>
        <v>-6.9167072069831198E-14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163.16040389635825</v>
      </c>
      <c r="CZ167" s="59">
        <f t="shared" si="150"/>
        <v>138.57856782158811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2.0792742410295957</v>
      </c>
      <c r="DH167" s="21">
        <f>EXP(-LN(2)/2)*DH166+(1-EXP(-LN(2)/2))/(LN(2)/2)*DB167*DE167*VLOOKUP('Données projet'!$B$13,Paramètres!$A$1:$I$89,3,0)*0.475*44/12</f>
        <v>1.8222684173983502E-10</v>
      </c>
      <c r="DI167" s="22">
        <f t="shared" si="175"/>
        <v>2.0792742412118224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1.7053025658242404E-13</v>
      </c>
      <c r="DP167" s="17">
        <f>DO167*VLOOKUP('Données projet'!$B$14,Paramètres!$A$1:$I$89,3,0)*VLOOKUP('Données projet'!$B$14,Paramètres!$A$1:$I$89,5,0)</f>
        <v>7.9808160080574461E-14</v>
      </c>
      <c r="DQ167" s="13">
        <f t="shared" si="176"/>
        <v>1.2308384591775343E-12</v>
      </c>
      <c r="DR167" s="20">
        <f t="shared" si="177"/>
        <v>2.282709528541206E-12</v>
      </c>
      <c r="DS167" s="59">
        <f t="shared" si="125"/>
        <v>292.44977506079965</v>
      </c>
      <c r="DT167" s="59">
        <f ca="1">AVERAGE(OFFSET($DS$3,0,0,'Données projet'!$E$14+1,1))-AVERAGE(OFFSET($H$3,0,0,'Données projet'!$E$14+1,1))</f>
        <v>343.44193069803498</v>
      </c>
      <c r="DU167" s="59">
        <f t="shared" si="152"/>
        <v>280.67367019483481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75.664226736688065</v>
      </c>
      <c r="EB167" s="21">
        <f>EXP(-LN(2)/25)*EB166+(1-EXP(-LN(2)/25))/(LN(2)/25)*Calculateur!DW167*Calculateur!DY167*VLOOKUP('Données projet'!$B$14,Paramètres!$A$1:$I$89,3,0)*0.475*44/12</f>
        <v>17.989264971789328</v>
      </c>
      <c r="EC167" s="21">
        <f>EXP(-LN(2)/2)*EC166+(1-EXP(-LN(2)/2))/(LN(2)/2)*DW167*DZ167*VLOOKUP('Données projet'!$B$14,Paramètres!$A$1:$I$89,3,0)*0.475*44/12</f>
        <v>3.4967618991731266E-4</v>
      </c>
      <c r="ED167" s="22">
        <f t="shared" si="178"/>
        <v>93.653841384667302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173.07692307692307</v>
      </c>
      <c r="EK167" s="17">
        <f>EJ167*VLOOKUP('Données projet'!$B$15,Paramètres!$A$1:$I$89,3,0)*VLOOKUP('Données projet'!$B$15,Paramètres!$A$1:$I$89,5,0)</f>
        <v>175.5</v>
      </c>
      <c r="EL167" s="13">
        <f t="shared" si="179"/>
        <v>44.319548641773906</v>
      </c>
      <c r="EM167" s="20">
        <f t="shared" si="180"/>
        <v>382.85238055108954</v>
      </c>
      <c r="EN167" s="59">
        <f t="shared" si="128"/>
        <v>675.30215561188697</v>
      </c>
      <c r="EO167" s="59">
        <f ca="1">AVERAGE(OFFSET($EN$3,0,0,'Données projet'!$E$15+1,1))-AVERAGE(OFFSET($H$3,0,0,'Données projet'!$E$15+1,1))</f>
        <v>270.0029254736703</v>
      </c>
      <c r="EP167" s="59">
        <f t="shared" si="154"/>
        <v>183.80022202211441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4.7205883064608658</v>
      </c>
      <c r="EW167" s="21">
        <f>EXP(-LN(2)/25)*EW166+(1-EXP(-LN(2)/25))/(LN(2)/25)*Calculateur!ER167*Calculateur!ET167*VLOOKUP('Données projet'!$B$15,Paramètres!$A$1:$I$89,3,0)*0.475*44/12</f>
        <v>3.842586140846648</v>
      </c>
      <c r="EX167" s="21">
        <f>EXP(-LN(2)/2)*EX166+(1-EXP(-LN(2)/2))/(LN(2)/2)*ER167*EU167*VLOOKUP('Données projet'!$B$15,Paramètres!$A$1:$I$89,3,0)*0.475*44/12</f>
        <v>5.0814362830733933E-8</v>
      </c>
      <c r="EY167" s="22">
        <f t="shared" si="181"/>
        <v>8.5631744981218763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-1.4897523215040567E-13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328.93328163316073</v>
      </c>
      <c r="FK167" s="59">
        <f t="shared" si="156"/>
        <v>320.27831321887072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8.7296794532631949</v>
      </c>
      <c r="FR167" s="21">
        <f>EXP(-LN(2)/25)*FR166+(1-EXP(-LN(2)/25))/(LN(2)/25)*Calculateur!FM167*Calculateur!FO167*VLOOKUP('Données projet'!$B$16,Paramètres!$A$1:$I$89,3,0)*0.475*44/12</f>
        <v>4.5303762705259807</v>
      </c>
      <c r="FS167" s="21">
        <f>EXP(-LN(2)/2)*FS166+(1-EXP(-LN(2)/2))/(LN(2)/2)*FM167*FP167*VLOOKUP('Données projet'!$B$16,Paramètres!$A$1:$I$89,3,0)*0.475*44/12</f>
        <v>1.2977581950357056E-11</v>
      </c>
      <c r="FT167" s="22">
        <f t="shared" si="184"/>
        <v>13.260055723802154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173.07692307692307</v>
      </c>
      <c r="GA167" s="17">
        <f>FZ167*VLOOKUP('Données projet'!$B$17,Paramètres!$A$1:$I$89,3,0)*VLOOKUP('Données projet'!$B$17,Paramètres!$A$1:$I$89,5,0)</f>
        <v>116.1</v>
      </c>
      <c r="GB167" s="13">
        <f t="shared" si="185"/>
        <v>30.763646636385982</v>
      </c>
      <c r="GC167" s="20">
        <f t="shared" si="186"/>
        <v>255.78751789170556</v>
      </c>
      <c r="GD167" s="59">
        <f t="shared" si="134"/>
        <v>548.23729295250291</v>
      </c>
      <c r="GE167" s="59">
        <f ca="1">AVERAGE(OFFSET($GD$3,0,0,'Données projet'!$E$17+1,1))-AVERAGE(OFFSET($H$3,0,0,'Données projet'!$E$17+1,1))</f>
        <v>192.88444860121191</v>
      </c>
      <c r="GF167" s="59">
        <f t="shared" si="158"/>
        <v>136.13737493732751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3.8490950806526993</v>
      </c>
      <c r="GM167" s="21">
        <f>EXP(-LN(2)/25)*GM166+(1-EXP(-LN(2)/25))/(LN(2)/25)*Calculateur!GH167*Calculateur!GJ167*VLOOKUP('Données projet'!$B$17,Paramètres!$A$1:$I$89,3,0)*0.475*44/12</f>
        <v>3.1331856225364971</v>
      </c>
      <c r="GN167" s="21">
        <f>EXP(-LN(2)/2)*GN166+(1-EXP(-LN(2)/2))/(LN(2)/2)*GH167*GK167*VLOOKUP('Données projet'!$B$17,Paramètres!$A$1:$I$89,3,0)*0.475*44/12</f>
        <v>3.3615655411100923E-8</v>
      </c>
      <c r="GO167" s="21">
        <f t="shared" si="187"/>
        <v>6.9822807368048521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69.75902956203565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0.85000000000000009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3.1166666666666671</v>
      </c>
      <c r="H168" s="67">
        <f t="shared" si="110"/>
        <v>244.19999999999996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1303.8180853523008</v>
      </c>
      <c r="S168" s="59">
        <f ca="1">AVERAGE(OFFSET($R$3,0,0,'Données projet'!$E$9+1,1))-AVERAGE(OFFSET($H$3,0,0,'Données projet'!$E$9+1,1))</f>
        <v>643.492472896403</v>
      </c>
      <c r="T168" s="59">
        <f t="shared" si="142"/>
        <v>285.0259479655341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-2.8421709430404007E-13</v>
      </c>
      <c r="AJ168" s="13">
        <f>AI168*VLOOKUP('Données projet'!$B$10,Paramètres!$A$1:$I$89,3,0)*VLOOKUP('Données projet'!$B$10,Paramètres!$A$1:$I$89,5,0)</f>
        <v>-2.2168933355715128E-13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289.89907502443873</v>
      </c>
      <c r="AO168" s="59">
        <f t="shared" si="144"/>
        <v>267.42183550360301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5.9879640982156497</v>
      </c>
      <c r="AV168" s="21">
        <f>EXP(-LN(2)/25)*AV167+(1-EXP(-LN(2)/25))/(LN(2)/25)*Calculateur!AQ168*Calculateur!AS168*VLOOKUP('Données projet'!$B$10,Paramètres!$A$1:$I$89,3,0)*0.475*44/12</f>
        <v>3.231873770256199</v>
      </c>
      <c r="AW168" s="21">
        <f>EXP(-LN(2)/2)*AW167+(1-EXP(-LN(2)/2))/(LN(2)/2)*AQ168*AT168*VLOOKUP('Données projet'!$B$10,Paramètres!$A$1:$I$89,3,0)*0.475*44/12</f>
        <v>1.5192676601848518E-12</v>
      </c>
      <c r="AX168" s="21">
        <f t="shared" si="166"/>
        <v>9.2198378684733679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-9.9475983006414026E-14</v>
      </c>
      <c r="BE168" s="13">
        <f>BD168*VLOOKUP('Données projet'!$B$11,Paramètres!$A$1:$I$89,3,0)*VLOOKUP('Données projet'!$B$11,Paramètres!$A$1:$I$89,5,0)</f>
        <v>-9.6213170763803652E-14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177.54241137663234</v>
      </c>
      <c r="BJ168" s="59">
        <f t="shared" si="146"/>
        <v>114.71095021456071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8.081092933152302</v>
      </c>
      <c r="BQ168" s="21">
        <f>EXP(-LN(2)/25)*BQ167+(1-EXP(-LN(2)/25))/(LN(2)/25)*Calculateur!BL168*Calculateur!BN168*VLOOKUP('Données projet'!$B$11,Paramètres!$A$1:$I$89,3,0)*0.475*44/12</f>
        <v>7.2424783637331718</v>
      </c>
      <c r="BR168" s="21">
        <f>EXP(-LN(2)/2)*BR167+(1-EXP(-LN(2)/2))/(LN(2)/2)*BL168*BO168*VLOOKUP('Données projet'!$B$11,Paramètres!$A$1:$I$89,3,0)*0.475*44/12</f>
        <v>1.9260003503543275E-6</v>
      </c>
      <c r="BS168" s="22">
        <f t="shared" si="169"/>
        <v>15.323573222885825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-9.9475983006414026E-14</v>
      </c>
      <c r="BZ168" s="13">
        <f>BY168*VLOOKUP('Données projet'!$B$12,Paramètres!$A$1:$I$89,3,0)*VLOOKUP('Données projet'!$B$12,Paramètres!$A$1:$I$89,5,0)</f>
        <v>-1.0707594810810407E-13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192.88977161349993</v>
      </c>
      <c r="CE168" s="59">
        <f t="shared" si="148"/>
        <v>122.91376861456772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8.9934743933469186</v>
      </c>
      <c r="CL168" s="21">
        <f>EXP(-LN(2)/25)*CL167+(1-EXP(-LN(2)/25))/(LN(2)/25)*Calculateur!CG168*Calculateur!CI168*VLOOKUP('Données projet'!$B$12,Paramètres!$A$1:$I$89,3,0)*0.475*44/12</f>
        <v>8.0601775338320785</v>
      </c>
      <c r="CM168" s="21">
        <f>EXP(-LN(2)/2)*CM167+(1-EXP(-LN(2)/2))/(LN(2)/2)*CG168*CJ168*VLOOKUP('Données projet'!$B$12,Paramètres!$A$1:$I$89,3,0)*0.475*44/12</f>
        <v>2.1434520028136866E-6</v>
      </c>
      <c r="CN168" s="22">
        <f t="shared" si="172"/>
        <v>17.053654070631001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-8.5265128291212022E-14</v>
      </c>
      <c r="CU168" s="17">
        <f>CT168*VLOOKUP('Données projet'!$B$13,Paramètres!$A$1:$I$89,3,0)*VLOOKUP('Données projet'!$B$13,Paramètres!$A$1:$I$89,5,0)</f>
        <v>-6.9167072069831198E-14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163.16040389635825</v>
      </c>
      <c r="CZ168" s="59">
        <f t="shared" si="150"/>
        <v>138.57856782158811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2.0224163775643613</v>
      </c>
      <c r="DH168" s="21">
        <f>EXP(-LN(2)/2)*DH167+(1-EXP(-LN(2)/2))/(LN(2)/2)*DB168*DE168*VLOOKUP('Données projet'!$B$13,Paramètres!$A$1:$I$89,3,0)*0.475*44/12</f>
        <v>1.2885383550844515E-10</v>
      </c>
      <c r="DI168" s="22">
        <f t="shared" si="175"/>
        <v>2.0224163776932151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1.7053025658242404E-13</v>
      </c>
      <c r="DP168" s="17">
        <f>DO168*VLOOKUP('Données projet'!$B$14,Paramètres!$A$1:$I$89,3,0)*VLOOKUP('Données projet'!$B$14,Paramètres!$A$1:$I$89,5,0)</f>
        <v>7.9808160080574461E-14</v>
      </c>
      <c r="DQ168" s="13">
        <f t="shared" si="176"/>
        <v>1.2308384591775343E-12</v>
      </c>
      <c r="DR168" s="20">
        <f t="shared" si="177"/>
        <v>2.282709528541206E-12</v>
      </c>
      <c r="DS168" s="59">
        <f t="shared" si="125"/>
        <v>292.46510282148779</v>
      </c>
      <c r="DT168" s="59">
        <f ca="1">AVERAGE(OFFSET($DS$3,0,0,'Données projet'!$E$14+1,1))-AVERAGE(OFFSET($H$3,0,0,'Données projet'!$E$14+1,1))</f>
        <v>343.44193069803498</v>
      </c>
      <c r="DU168" s="59">
        <f t="shared" si="152"/>
        <v>280.67367019483481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74.180497401002924</v>
      </c>
      <c r="EB168" s="21">
        <f>EXP(-LN(2)/25)*EB167+(1-EXP(-LN(2)/25))/(LN(2)/25)*Calculateur!DW168*Calculateur!DY168*VLOOKUP('Données projet'!$B$14,Paramètres!$A$1:$I$89,3,0)*0.475*44/12</f>
        <v>17.49734757512142</v>
      </c>
      <c r="EC168" s="21">
        <f>EXP(-LN(2)/2)*EC167+(1-EXP(-LN(2)/2))/(LN(2)/2)*DW168*DZ168*VLOOKUP('Données projet'!$B$14,Paramètres!$A$1:$I$89,3,0)*0.475*44/12</f>
        <v>2.4725840511000683E-4</v>
      </c>
      <c r="ED168" s="22">
        <f t="shared" si="178"/>
        <v>91.678092234529458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173.07692307692307</v>
      </c>
      <c r="EK168" s="17">
        <f>EJ168*VLOOKUP('Données projet'!$B$15,Paramètres!$A$1:$I$89,3,0)*VLOOKUP('Données projet'!$B$15,Paramètres!$A$1:$I$89,5,0)</f>
        <v>175.5</v>
      </c>
      <c r="EL168" s="13">
        <f t="shared" si="179"/>
        <v>44.319548641773906</v>
      </c>
      <c r="EM168" s="20">
        <f t="shared" si="180"/>
        <v>382.85238055108954</v>
      </c>
      <c r="EN168" s="59">
        <f t="shared" si="128"/>
        <v>675.317483372575</v>
      </c>
      <c r="EO168" s="59">
        <f ca="1">AVERAGE(OFFSET($EN$3,0,0,'Données projet'!$E$15+1,1))-AVERAGE(OFFSET($H$3,0,0,'Données projet'!$E$15+1,1))</f>
        <v>270.0029254736703</v>
      </c>
      <c r="EP168" s="59">
        <f t="shared" si="154"/>
        <v>183.80022202211441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4.6280204490457306</v>
      </c>
      <c r="EW168" s="21">
        <f>EXP(-LN(2)/25)*EW167+(1-EXP(-LN(2)/25))/(LN(2)/25)*Calculateur!ER168*Calculateur!ET168*VLOOKUP('Données projet'!$B$15,Paramètres!$A$1:$I$89,3,0)*0.475*44/12</f>
        <v>3.7375104207523737</v>
      </c>
      <c r="EX168" s="21">
        <f>EXP(-LN(2)/2)*EX167+(1-EXP(-LN(2)/2))/(LN(2)/2)*ER168*EU168*VLOOKUP('Données projet'!$B$15,Paramètres!$A$1:$I$89,3,0)*0.475*44/12</f>
        <v>3.5931180539285612E-8</v>
      </c>
      <c r="EY168" s="22">
        <f t="shared" si="181"/>
        <v>8.3655309057292833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-1.4897523215040567E-13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328.93328163316073</v>
      </c>
      <c r="FK168" s="59">
        <f t="shared" si="156"/>
        <v>320.27831321887072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8.5584957637634123</v>
      </c>
      <c r="FR168" s="21">
        <f>EXP(-LN(2)/25)*FR167+(1-EXP(-LN(2)/25))/(LN(2)/25)*Calculateur!FM168*Calculateur!FO168*VLOOKUP('Données projet'!$B$16,Paramètres!$A$1:$I$89,3,0)*0.475*44/12</f>
        <v>4.4064928931663143</v>
      </c>
      <c r="FS168" s="21">
        <f>EXP(-LN(2)/2)*FS167+(1-EXP(-LN(2)/2))/(LN(2)/2)*FM168*FP168*VLOOKUP('Données projet'!$B$16,Paramètres!$A$1:$I$89,3,0)*0.475*44/12</f>
        <v>9.1765362005016154E-12</v>
      </c>
      <c r="FT168" s="22">
        <f t="shared" si="184"/>
        <v>12.964988656938903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173.07692307692307</v>
      </c>
      <c r="GA168" s="17">
        <f>FZ168*VLOOKUP('Données projet'!$B$17,Paramètres!$A$1:$I$89,3,0)*VLOOKUP('Données projet'!$B$17,Paramètres!$A$1:$I$89,5,0)</f>
        <v>116.1</v>
      </c>
      <c r="GB168" s="13">
        <f t="shared" si="185"/>
        <v>30.763646636385982</v>
      </c>
      <c r="GC168" s="20">
        <f t="shared" si="186"/>
        <v>255.78751789170556</v>
      </c>
      <c r="GD168" s="59">
        <f t="shared" si="134"/>
        <v>548.25262071319105</v>
      </c>
      <c r="GE168" s="59">
        <f ca="1">AVERAGE(OFFSET($GD$3,0,0,'Données projet'!$E$17+1,1))-AVERAGE(OFFSET($H$3,0,0,'Données projet'!$E$17+1,1))</f>
        <v>192.88444860121191</v>
      </c>
      <c r="GF168" s="59">
        <f t="shared" si="158"/>
        <v>136.13737493732751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3.7736166738372812</v>
      </c>
      <c r="GM168" s="21">
        <f>EXP(-LN(2)/25)*GM167+(1-EXP(-LN(2)/25))/(LN(2)/25)*Calculateur!GH168*Calculateur!GJ168*VLOOKUP('Données projet'!$B$17,Paramètres!$A$1:$I$89,3,0)*0.475*44/12</f>
        <v>3.0475084969211657</v>
      </c>
      <c r="GN168" s="21">
        <f>EXP(-LN(2)/2)*GN167+(1-EXP(-LN(2)/2))/(LN(2)/2)*GH168*GK168*VLOOKUP('Données projet'!$B$17,Paramètres!$A$1:$I$89,3,0)*0.475*44/12</f>
        <v>2.3769857895219723E-8</v>
      </c>
      <c r="GO168" s="21">
        <f t="shared" si="187"/>
        <v>6.8211251945283049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69.763209860405141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0.85000000000000009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3.1166666666666671</v>
      </c>
      <c r="H169" s="67">
        <f t="shared" si="110"/>
        <v>244.19999999999996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1322.0067486450544</v>
      </c>
      <c r="S169" s="59">
        <f ca="1">AVERAGE(OFFSET($R$3,0,0,'Données projet'!$E$9+1,1))-AVERAGE(OFFSET($H$3,0,0,'Données projet'!$E$9+1,1))</f>
        <v>643.492472896403</v>
      </c>
      <c r="T169" s="59">
        <f t="shared" si="142"/>
        <v>285.0259479655341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-2.8421709430404007E-13</v>
      </c>
      <c r="AJ169" s="13">
        <f>AI169*VLOOKUP('Données projet'!$B$10,Paramètres!$A$1:$I$89,3,0)*VLOOKUP('Données projet'!$B$10,Paramètres!$A$1:$I$89,5,0)</f>
        <v>-2.2168933355715128E-13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289.89907502443873</v>
      </c>
      <c r="AO169" s="59">
        <f t="shared" si="144"/>
        <v>267.42183550360301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5.8705437745471061</v>
      </c>
      <c r="AV169" s="21">
        <f>EXP(-LN(2)/25)*AV168+(1-EXP(-LN(2)/25))/(LN(2)/25)*Calculateur!AQ169*Calculateur!AS169*VLOOKUP('Données projet'!$B$10,Paramètres!$A$1:$I$89,3,0)*0.475*44/12</f>
        <v>3.1434980120516882</v>
      </c>
      <c r="AW169" s="21">
        <f>EXP(-LN(2)/2)*AW168+(1-EXP(-LN(2)/2))/(LN(2)/2)*AQ169*AT169*VLOOKUP('Données projet'!$B$10,Paramètres!$A$1:$I$89,3,0)*0.475*44/12</f>
        <v>1.074284464954128E-12</v>
      </c>
      <c r="AX169" s="21">
        <f t="shared" si="166"/>
        <v>9.0140417865998685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-9.9475983006414026E-14</v>
      </c>
      <c r="BE169" s="13">
        <f>BD169*VLOOKUP('Données projet'!$B$11,Paramètres!$A$1:$I$89,3,0)*VLOOKUP('Données projet'!$B$11,Paramètres!$A$1:$I$89,5,0)</f>
        <v>-9.6213170763803652E-14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177.54241137663234</v>
      </c>
      <c r="BJ169" s="59">
        <f t="shared" si="146"/>
        <v>114.71095021456071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7.9226276297131779</v>
      </c>
      <c r="BQ169" s="21">
        <f>EXP(-LN(2)/25)*BQ168+(1-EXP(-LN(2)/25))/(LN(2)/25)*Calculateur!BL169*Calculateur!BN169*VLOOKUP('Données projet'!$B$11,Paramètres!$A$1:$I$89,3,0)*0.475*44/12</f>
        <v>7.0444324120115036</v>
      </c>
      <c r="BR169" s="21">
        <f>EXP(-LN(2)/2)*BR168+(1-EXP(-LN(2)/2))/(LN(2)/2)*BL169*BO169*VLOOKUP('Données projet'!$B$11,Paramètres!$A$1:$I$89,3,0)*0.475*44/12</f>
        <v>1.3618879083032113E-6</v>
      </c>
      <c r="BS169" s="22">
        <f t="shared" si="169"/>
        <v>14.967061403612592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-9.9475983006414026E-14</v>
      </c>
      <c r="BZ169" s="13">
        <f>BY169*VLOOKUP('Données projet'!$B$12,Paramètres!$A$1:$I$89,3,0)*VLOOKUP('Données projet'!$B$12,Paramètres!$A$1:$I$89,5,0)</f>
        <v>-1.0707594810810407E-13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192.88977161349993</v>
      </c>
      <c r="CE169" s="59">
        <f t="shared" si="148"/>
        <v>122.91376861456772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8.8171178459711204</v>
      </c>
      <c r="CL169" s="21">
        <f>EXP(-LN(2)/25)*CL168+(1-EXP(-LN(2)/25))/(LN(2)/25)*Calculateur!CG169*Calculateur!CI169*VLOOKUP('Données projet'!$B$12,Paramètres!$A$1:$I$89,3,0)*0.475*44/12</f>
        <v>7.839771555303126</v>
      </c>
      <c r="CM169" s="21">
        <f>EXP(-LN(2)/2)*CM168+(1-EXP(-LN(2)/2))/(LN(2)/2)*CG169*CJ169*VLOOKUP('Données projet'!$B$12,Paramètres!$A$1:$I$89,3,0)*0.475*44/12</f>
        <v>1.5156494463374445E-6</v>
      </c>
      <c r="CN169" s="22">
        <f t="shared" si="172"/>
        <v>16.656890916923693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-8.5265128291212022E-14</v>
      </c>
      <c r="CU169" s="17">
        <f>CT169*VLOOKUP('Données projet'!$B$13,Paramètres!$A$1:$I$89,3,0)*VLOOKUP('Données projet'!$B$13,Paramètres!$A$1:$I$89,5,0)</f>
        <v>-6.9167072069831198E-14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163.16040389635825</v>
      </c>
      <c r="CZ169" s="59">
        <f t="shared" si="150"/>
        <v>138.57856782158811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1.967113295365609</v>
      </c>
      <c r="DH169" s="21">
        <f>EXP(-LN(2)/2)*DH168+(1-EXP(-LN(2)/2))/(LN(2)/2)*DB169*DE169*VLOOKUP('Données projet'!$B$13,Paramètres!$A$1:$I$89,3,0)*0.475*44/12</f>
        <v>9.1113420869917512E-11</v>
      </c>
      <c r="DI169" s="22">
        <f t="shared" si="175"/>
        <v>1.9671132954567223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1.7053025658242404E-13</v>
      </c>
      <c r="DP169" s="17">
        <f>DO169*VLOOKUP('Données projet'!$B$14,Paramètres!$A$1:$I$89,3,0)*VLOOKUP('Données projet'!$B$14,Paramètres!$A$1:$I$89,5,0)</f>
        <v>7.9808160080574461E-14</v>
      </c>
      <c r="DQ169" s="13">
        <f t="shared" si="176"/>
        <v>1.2308384591775343E-12</v>
      </c>
      <c r="DR169" s="20">
        <f t="shared" si="177"/>
        <v>2.282709528541206E-12</v>
      </c>
      <c r="DS169" s="59">
        <f t="shared" si="125"/>
        <v>292.48016467979568</v>
      </c>
      <c r="DT169" s="59">
        <f ca="1">AVERAGE(OFFSET($DS$3,0,0,'Données projet'!$E$14+1,1))-AVERAGE(OFFSET($H$3,0,0,'Données projet'!$E$14+1,1))</f>
        <v>343.44193069803498</v>
      </c>
      <c r="DU169" s="59">
        <f t="shared" si="152"/>
        <v>280.67367019483481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72.725863092605039</v>
      </c>
      <c r="EB169" s="21">
        <f>EXP(-LN(2)/25)*EB168+(1-EXP(-LN(2)/25))/(LN(2)/25)*Calculateur!DW169*Calculateur!DY169*VLOOKUP('Données projet'!$B$14,Paramètres!$A$1:$I$89,3,0)*0.475*44/12</f>
        <v>17.018881685534208</v>
      </c>
      <c r="EC169" s="21">
        <f>EXP(-LN(2)/2)*EC168+(1-EXP(-LN(2)/2))/(LN(2)/2)*DW169*DZ169*VLOOKUP('Données projet'!$B$14,Paramètres!$A$1:$I$89,3,0)*0.475*44/12</f>
        <v>1.7483809495865633E-4</v>
      </c>
      <c r="ED169" s="22">
        <f t="shared" si="178"/>
        <v>89.744919616234213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173.07692307692307</v>
      </c>
      <c r="EK169" s="17">
        <f>EJ169*VLOOKUP('Données projet'!$B$15,Paramètres!$A$1:$I$89,3,0)*VLOOKUP('Données projet'!$B$15,Paramètres!$A$1:$I$89,5,0)</f>
        <v>175.5</v>
      </c>
      <c r="EL169" s="13">
        <f t="shared" si="179"/>
        <v>44.319548641773906</v>
      </c>
      <c r="EM169" s="20">
        <f t="shared" si="180"/>
        <v>382.85238055108954</v>
      </c>
      <c r="EN169" s="59">
        <f t="shared" si="128"/>
        <v>675.33254523088294</v>
      </c>
      <c r="EO169" s="59">
        <f ca="1">AVERAGE(OFFSET($EN$3,0,0,'Données projet'!$E$15+1,1))-AVERAGE(OFFSET($H$3,0,0,'Données projet'!$E$15+1,1))</f>
        <v>270.0029254736703</v>
      </c>
      <c r="EP169" s="59">
        <f t="shared" si="154"/>
        <v>183.80022202211441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4.5372677908536883</v>
      </c>
      <c r="EW169" s="21">
        <f>EXP(-LN(2)/25)*EW168+(1-EXP(-LN(2)/25))/(LN(2)/25)*Calculateur!ER169*Calculateur!ET169*VLOOKUP('Données projet'!$B$15,Paramètres!$A$1:$I$89,3,0)*0.475*44/12</f>
        <v>3.6353080017497694</v>
      </c>
      <c r="EX169" s="21">
        <f>EXP(-LN(2)/2)*EX168+(1-EXP(-LN(2)/2))/(LN(2)/2)*ER169*EU169*VLOOKUP('Données projet'!$B$15,Paramètres!$A$1:$I$89,3,0)*0.475*44/12</f>
        <v>2.5407181415366966E-8</v>
      </c>
      <c r="EY169" s="22">
        <f t="shared" si="181"/>
        <v>8.1725758180106389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-1.4897523215040567E-13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328.93328163316073</v>
      </c>
      <c r="FK169" s="59">
        <f t="shared" si="156"/>
        <v>320.27831321887072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8.3906688820029789</v>
      </c>
      <c r="FR169" s="21">
        <f>EXP(-LN(2)/25)*FR168+(1-EXP(-LN(2)/25))/(LN(2)/25)*Calculateur!FM169*Calculateur!FO169*VLOOKUP('Données projet'!$B$16,Paramètres!$A$1:$I$89,3,0)*0.475*44/12</f>
        <v>4.2859971132752914</v>
      </c>
      <c r="FS169" s="21">
        <f>EXP(-LN(2)/2)*FS168+(1-EXP(-LN(2)/2))/(LN(2)/2)*FM169*FP169*VLOOKUP('Données projet'!$B$16,Paramètres!$A$1:$I$89,3,0)*0.475*44/12</f>
        <v>6.4887909751785281E-12</v>
      </c>
      <c r="FT169" s="22">
        <f t="shared" si="184"/>
        <v>12.676665995284759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173.07692307692307</v>
      </c>
      <c r="GA169" s="17">
        <f>FZ169*VLOOKUP('Données projet'!$B$17,Paramètres!$A$1:$I$89,3,0)*VLOOKUP('Données projet'!$B$17,Paramètres!$A$1:$I$89,5,0)</f>
        <v>116.1</v>
      </c>
      <c r="GB169" s="13">
        <f t="shared" si="185"/>
        <v>30.763646636385982</v>
      </c>
      <c r="GC169" s="20">
        <f t="shared" si="186"/>
        <v>255.78751789170556</v>
      </c>
      <c r="GD169" s="59">
        <f t="shared" si="134"/>
        <v>548.26768257149899</v>
      </c>
      <c r="GE169" s="59">
        <f ca="1">AVERAGE(OFFSET($GD$3,0,0,'Données projet'!$E$17+1,1))-AVERAGE(OFFSET($H$3,0,0,'Données projet'!$E$17+1,1))</f>
        <v>192.88444860121191</v>
      </c>
      <c r="GF169" s="59">
        <f t="shared" si="158"/>
        <v>136.13737493732751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3.699618352542231</v>
      </c>
      <c r="GM169" s="21">
        <f>EXP(-LN(2)/25)*GM168+(1-EXP(-LN(2)/25))/(LN(2)/25)*Calculateur!GH169*Calculateur!GJ169*VLOOKUP('Données projet'!$B$17,Paramètres!$A$1:$I$89,3,0)*0.475*44/12</f>
        <v>2.9641742168113496</v>
      </c>
      <c r="GN169" s="21">
        <f>EXP(-LN(2)/2)*GN168+(1-EXP(-LN(2)/2))/(LN(2)/2)*GH169*GK169*VLOOKUP('Données projet'!$B$17,Paramètres!$A$1:$I$89,3,0)*0.475*44/12</f>
        <v>1.6807827705550462E-8</v>
      </c>
      <c r="GO169" s="21">
        <f t="shared" si="187"/>
        <v>6.6637925861614082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69.767317639943656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0.85000000000000009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3.1166666666666671</v>
      </c>
      <c r="H170" s="67">
        <f t="shared" si="110"/>
        <v>244.19999999999996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1340.1888369862872</v>
      </c>
      <c r="S170" s="59">
        <f ca="1">AVERAGE(OFFSET($R$3,0,0,'Données projet'!$E$9+1,1))-AVERAGE(OFFSET($H$3,0,0,'Données projet'!$E$9+1,1))</f>
        <v>643.492472896403</v>
      </c>
      <c r="T170" s="59">
        <f t="shared" si="142"/>
        <v>285.0259479655341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-2.8421709430404007E-13</v>
      </c>
      <c r="AJ170" s="13">
        <f>AI170*VLOOKUP('Données projet'!$B$10,Paramètres!$A$1:$I$89,3,0)*VLOOKUP('Données projet'!$B$10,Paramètres!$A$1:$I$89,5,0)</f>
        <v>-2.2168933355715128E-13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289.89907502443873</v>
      </c>
      <c r="AO170" s="59">
        <f t="shared" si="144"/>
        <v>267.42183550360301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5.7554259918063773</v>
      </c>
      <c r="AV170" s="21">
        <f>EXP(-LN(2)/25)*AV169+(1-EXP(-LN(2)/25))/(LN(2)/25)*Calculateur!AQ170*Calculateur!AS170*VLOOKUP('Données projet'!$B$10,Paramètres!$A$1:$I$89,3,0)*0.475*44/12</f>
        <v>3.057538893602759</v>
      </c>
      <c r="AW170" s="21">
        <f>EXP(-LN(2)/2)*AW169+(1-EXP(-LN(2)/2))/(LN(2)/2)*AQ170*AT170*VLOOKUP('Données projet'!$B$10,Paramètres!$A$1:$I$89,3,0)*0.475*44/12</f>
        <v>7.5963383009242592E-13</v>
      </c>
      <c r="AX170" s="21">
        <f t="shared" si="166"/>
        <v>8.8129648854098974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-9.9475983006414026E-14</v>
      </c>
      <c r="BE170" s="13">
        <f>BD170*VLOOKUP('Données projet'!$B$11,Paramètres!$A$1:$I$89,3,0)*VLOOKUP('Données projet'!$B$11,Paramètres!$A$1:$I$89,5,0)</f>
        <v>-9.6213170763803652E-14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177.54241137663234</v>
      </c>
      <c r="BJ170" s="59">
        <f t="shared" si="146"/>
        <v>114.71095021456071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7.7672697342202044</v>
      </c>
      <c r="BQ170" s="21">
        <f>EXP(-LN(2)/25)*BQ169+(1-EXP(-LN(2)/25))/(LN(2)/25)*Calculateur!BL170*Calculateur!BN170*VLOOKUP('Données projet'!$B$11,Paramètres!$A$1:$I$89,3,0)*0.475*44/12</f>
        <v>6.8518020372544486</v>
      </c>
      <c r="BR170" s="21">
        <f>EXP(-LN(2)/2)*BR169+(1-EXP(-LN(2)/2))/(LN(2)/2)*BL170*BO170*VLOOKUP('Données projet'!$B$11,Paramètres!$A$1:$I$89,3,0)*0.475*44/12</f>
        <v>9.6300017517716375E-7</v>
      </c>
      <c r="BS170" s="22">
        <f t="shared" si="169"/>
        <v>14.619072734474829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-9.9475983006414026E-14</v>
      </c>
      <c r="BZ170" s="13">
        <f>BY170*VLOOKUP('Données projet'!$B$12,Paramètres!$A$1:$I$89,3,0)*VLOOKUP('Données projet'!$B$12,Paramètres!$A$1:$I$89,5,0)</f>
        <v>-1.0707594810810407E-13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192.88977161349993</v>
      </c>
      <c r="CE170" s="59">
        <f t="shared" si="148"/>
        <v>122.91376861456772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8.6442195429224888</v>
      </c>
      <c r="CL170" s="21">
        <f>EXP(-LN(2)/25)*CL169+(1-EXP(-LN(2)/25))/(LN(2)/25)*Calculateur!CG170*Calculateur!CI170*VLOOKUP('Données projet'!$B$12,Paramètres!$A$1:$I$89,3,0)*0.475*44/12</f>
        <v>7.625392589847694</v>
      </c>
      <c r="CM170" s="21">
        <f>EXP(-LN(2)/2)*CM169+(1-EXP(-LN(2)/2))/(LN(2)/2)*CG170*CJ170*VLOOKUP('Données projet'!$B$12,Paramètres!$A$1:$I$89,3,0)*0.475*44/12</f>
        <v>1.0717260014068433E-6</v>
      </c>
      <c r="CN170" s="22">
        <f t="shared" si="172"/>
        <v>16.269613204496185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-8.5265128291212022E-14</v>
      </c>
      <c r="CU170" s="17">
        <f>CT170*VLOOKUP('Données projet'!$B$13,Paramètres!$A$1:$I$89,3,0)*VLOOKUP('Données projet'!$B$13,Paramètres!$A$1:$I$89,5,0)</f>
        <v>-6.9167072069831198E-14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163.16040389635825</v>
      </c>
      <c r="CZ170" s="59">
        <f t="shared" si="150"/>
        <v>138.57856782158811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1.913322478857844</v>
      </c>
      <c r="DH170" s="21">
        <f>EXP(-LN(2)/2)*DH169+(1-EXP(-LN(2)/2))/(LN(2)/2)*DB170*DE170*VLOOKUP('Données projet'!$B$13,Paramètres!$A$1:$I$89,3,0)*0.475*44/12</f>
        <v>6.4426917754222573E-11</v>
      </c>
      <c r="DI170" s="22">
        <f t="shared" si="175"/>
        <v>1.9133224789222709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1.7053025658242404E-13</v>
      </c>
      <c r="DP170" s="17">
        <f>DO170*VLOOKUP('Données projet'!$B$14,Paramètres!$A$1:$I$89,3,0)*VLOOKUP('Données projet'!$B$14,Paramètres!$A$1:$I$89,5,0)</f>
        <v>7.9808160080574461E-14</v>
      </c>
      <c r="DQ170" s="13">
        <f t="shared" si="176"/>
        <v>1.2308384591775343E-12</v>
      </c>
      <c r="DR170" s="20">
        <f t="shared" si="177"/>
        <v>2.282709528541206E-12</v>
      </c>
      <c r="DS170" s="59">
        <f t="shared" si="125"/>
        <v>292.49496524853527</v>
      </c>
      <c r="DT170" s="59">
        <f ca="1">AVERAGE(OFFSET($DS$3,0,0,'Données projet'!$E$14+1,1))-AVERAGE(OFFSET($H$3,0,0,'Données projet'!$E$14+1,1))</f>
        <v>343.44193069803498</v>
      </c>
      <c r="DU170" s="59">
        <f t="shared" si="152"/>
        <v>280.67367019483481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71.299753275755506</v>
      </c>
      <c r="EB170" s="21">
        <f>EXP(-LN(2)/25)*EB169+(1-EXP(-LN(2)/25))/(LN(2)/25)*Calculateur!DW170*Calculateur!DY170*VLOOKUP('Données projet'!$B$14,Paramètres!$A$1:$I$89,3,0)*0.475*44/12</f>
        <v>16.553499470859183</v>
      </c>
      <c r="EC170" s="21">
        <f>EXP(-LN(2)/2)*EC169+(1-EXP(-LN(2)/2))/(LN(2)/2)*DW170*DZ170*VLOOKUP('Données projet'!$B$14,Paramètres!$A$1:$I$89,3,0)*0.475*44/12</f>
        <v>1.2362920255500341E-4</v>
      </c>
      <c r="ED170" s="22">
        <f t="shared" si="178"/>
        <v>87.853376375817234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173.07692307692307</v>
      </c>
      <c r="EK170" s="17">
        <f>EJ170*VLOOKUP('Données projet'!$B$15,Paramètres!$A$1:$I$89,3,0)*VLOOKUP('Données projet'!$B$15,Paramètres!$A$1:$I$89,5,0)</f>
        <v>175.5</v>
      </c>
      <c r="EL170" s="13">
        <f t="shared" si="179"/>
        <v>44.319548641773906</v>
      </c>
      <c r="EM170" s="20">
        <f t="shared" si="180"/>
        <v>382.85238055108954</v>
      </c>
      <c r="EN170" s="59">
        <f t="shared" si="128"/>
        <v>675.34734579962253</v>
      </c>
      <c r="EO170" s="59">
        <f ca="1">AVERAGE(OFFSET($EN$3,0,0,'Données projet'!$E$15+1,1))-AVERAGE(OFFSET($H$3,0,0,'Données projet'!$E$15+1,1))</f>
        <v>270.0029254736703</v>
      </c>
      <c r="EP170" s="59">
        <f t="shared" si="154"/>
        <v>183.80022202211441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4.4482947369351358</v>
      </c>
      <c r="EW170" s="21">
        <f>EXP(-LN(2)/25)*EW169+(1-EXP(-LN(2)/25))/(LN(2)/25)*Calculateur!ER170*Calculateur!ET170*VLOOKUP('Données projet'!$B$15,Paramètres!$A$1:$I$89,3,0)*0.475*44/12</f>
        <v>3.5359003132693827</v>
      </c>
      <c r="EX170" s="21">
        <f>EXP(-LN(2)/2)*EX169+(1-EXP(-LN(2)/2))/(LN(2)/2)*ER170*EU170*VLOOKUP('Données projet'!$B$15,Paramètres!$A$1:$I$89,3,0)*0.475*44/12</f>
        <v>1.7965590269642806E-8</v>
      </c>
      <c r="EY170" s="22">
        <f t="shared" si="181"/>
        <v>7.9841950681701084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-1.4897523215040567E-13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328.93328163316073</v>
      </c>
      <c r="FK170" s="59">
        <f t="shared" si="156"/>
        <v>320.27831321887072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8.2261329830295775</v>
      </c>
      <c r="FR170" s="21">
        <f>EXP(-LN(2)/25)*FR169+(1-EXP(-LN(2)/25))/(LN(2)/25)*Calculateur!FM170*Calculateur!FO170*VLOOKUP('Données projet'!$B$16,Paramètres!$A$1:$I$89,3,0)*0.475*44/12</f>
        <v>4.168796296821986</v>
      </c>
      <c r="FS170" s="21">
        <f>EXP(-LN(2)/2)*FS169+(1-EXP(-LN(2)/2))/(LN(2)/2)*FM170*FP170*VLOOKUP('Données projet'!$B$16,Paramètres!$A$1:$I$89,3,0)*0.475*44/12</f>
        <v>4.5882681002508077E-12</v>
      </c>
      <c r="FT170" s="22">
        <f t="shared" si="184"/>
        <v>12.394929279856152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173.07692307692307</v>
      </c>
      <c r="GA170" s="17">
        <f>FZ170*VLOOKUP('Données projet'!$B$17,Paramètres!$A$1:$I$89,3,0)*VLOOKUP('Données projet'!$B$17,Paramètres!$A$1:$I$89,5,0)</f>
        <v>116.1</v>
      </c>
      <c r="GB170" s="13">
        <f t="shared" si="185"/>
        <v>30.763646636385982</v>
      </c>
      <c r="GC170" s="20">
        <f t="shared" si="186"/>
        <v>255.78751789170556</v>
      </c>
      <c r="GD170" s="59">
        <f t="shared" si="134"/>
        <v>548.28248314023858</v>
      </c>
      <c r="GE170" s="59">
        <f ca="1">AVERAGE(OFFSET($GD$3,0,0,'Données projet'!$E$17+1,1))-AVERAGE(OFFSET($H$3,0,0,'Données projet'!$E$17+1,1))</f>
        <v>192.88444860121191</v>
      </c>
      <c r="GF170" s="59">
        <f t="shared" si="158"/>
        <v>136.13737493732751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3.6270710931932575</v>
      </c>
      <c r="GM170" s="21">
        <f>EXP(-LN(2)/25)*GM169+(1-EXP(-LN(2)/25))/(LN(2)/25)*Calculateur!GH170*Calculateur!GJ170*VLOOKUP('Données projet'!$B$17,Paramètres!$A$1:$I$89,3,0)*0.475*44/12</f>
        <v>2.8831187169734958</v>
      </c>
      <c r="GN170" s="21">
        <f>EXP(-LN(2)/2)*GN169+(1-EXP(-LN(2)/2))/(LN(2)/2)*GH170*GK170*VLOOKUP('Données projet'!$B$17,Paramètres!$A$1:$I$89,3,0)*0.475*44/12</f>
        <v>1.1884928947609862E-8</v>
      </c>
      <c r="GO170" s="21">
        <f t="shared" si="187"/>
        <v>6.5101898220516823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69.771354158690812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0.85000000000000009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3.1166666666666671</v>
      </c>
      <c r="H171" s="67">
        <f t="shared" si="110"/>
        <v>244.19999999999996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1358.3644796563467</v>
      </c>
      <c r="S171" s="59">
        <f ca="1">AVERAGE(OFFSET($R$3,0,0,'Données projet'!$E$9+1,1))-AVERAGE(OFFSET($H$3,0,0,'Données projet'!$E$9+1,1))</f>
        <v>643.492472896403</v>
      </c>
      <c r="T171" s="59">
        <f t="shared" si="142"/>
        <v>285.0259479655341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-2.8421709430404007E-13</v>
      </c>
      <c r="AJ171" s="13">
        <f>AI171*VLOOKUP('Données projet'!$B$10,Paramètres!$A$1:$I$89,3,0)*VLOOKUP('Données projet'!$B$10,Paramètres!$A$1:$I$89,5,0)</f>
        <v>-2.2168933355715128E-13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289.89907502443873</v>
      </c>
      <c r="AO171" s="59">
        <f t="shared" si="144"/>
        <v>267.42183550360301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5.6425655985702798</v>
      </c>
      <c r="AV171" s="21">
        <f>EXP(-LN(2)/25)*AV170+(1-EXP(-LN(2)/25))/(LN(2)/25)*Calculateur!AQ171*Calculateur!AS171*VLOOKUP('Données projet'!$B$10,Paramètres!$A$1:$I$89,3,0)*0.475*44/12</f>
        <v>2.9739303317682091</v>
      </c>
      <c r="AW171" s="21">
        <f>EXP(-LN(2)/2)*AW170+(1-EXP(-LN(2)/2))/(LN(2)/2)*AQ171*AT171*VLOOKUP('Données projet'!$B$10,Paramètres!$A$1:$I$89,3,0)*0.475*44/12</f>
        <v>5.3714223247706402E-13</v>
      </c>
      <c r="AX171" s="21">
        <f t="shared" si="166"/>
        <v>8.6164959303390258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-9.9475983006414026E-14</v>
      </c>
      <c r="BE171" s="13">
        <f>BD171*VLOOKUP('Données projet'!$B$11,Paramètres!$A$1:$I$89,3,0)*VLOOKUP('Données projet'!$B$11,Paramètres!$A$1:$I$89,5,0)</f>
        <v>-9.6213170763803652E-14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177.54241137663234</v>
      </c>
      <c r="BJ171" s="59">
        <f t="shared" si="146"/>
        <v>114.71095021456071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7.6149583122988878</v>
      </c>
      <c r="BQ171" s="21">
        <f>EXP(-LN(2)/25)*BQ170+(1-EXP(-LN(2)/25))/(LN(2)/25)*Calculateur!BL171*Calculateur!BN171*VLOOKUP('Données projet'!$B$11,Paramètres!$A$1:$I$89,3,0)*0.475*44/12</f>
        <v>6.6644391502251166</v>
      </c>
      <c r="BR171" s="21">
        <f>EXP(-LN(2)/2)*BR170+(1-EXP(-LN(2)/2))/(LN(2)/2)*BL171*BO171*VLOOKUP('Données projet'!$B$11,Paramètres!$A$1:$I$89,3,0)*0.475*44/12</f>
        <v>6.8094395415160567E-7</v>
      </c>
      <c r="BS171" s="22">
        <f t="shared" si="169"/>
        <v>14.279398143467958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-9.9475983006414026E-14</v>
      </c>
      <c r="BZ171" s="13">
        <f>BY171*VLOOKUP('Données projet'!$B$12,Paramètres!$A$1:$I$89,3,0)*VLOOKUP('Données projet'!$B$12,Paramètres!$A$1:$I$89,5,0)</f>
        <v>-1.0707594810810407E-13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192.88977161349993</v>
      </c>
      <c r="CE171" s="59">
        <f t="shared" si="148"/>
        <v>122.91376861456772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8.4747116701390883</v>
      </c>
      <c r="CL171" s="21">
        <f>EXP(-LN(2)/25)*CL170+(1-EXP(-LN(2)/25))/(LN(2)/25)*Calculateur!CG171*Calculateur!CI171*VLOOKUP('Données projet'!$B$12,Paramètres!$A$1:$I$89,3,0)*0.475*44/12</f>
        <v>7.416875828476341</v>
      </c>
      <c r="CM171" s="21">
        <f>EXP(-LN(2)/2)*CM170+(1-EXP(-LN(2)/2))/(LN(2)/2)*CG171*CJ171*VLOOKUP('Données projet'!$B$12,Paramètres!$A$1:$I$89,3,0)*0.475*44/12</f>
        <v>7.5782472316872227E-7</v>
      </c>
      <c r="CN171" s="22">
        <f t="shared" si="172"/>
        <v>15.891588256440153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-8.5265128291212022E-14</v>
      </c>
      <c r="CU171" s="17">
        <f>CT171*VLOOKUP('Données projet'!$B$13,Paramètres!$A$1:$I$89,3,0)*VLOOKUP('Données projet'!$B$13,Paramètres!$A$1:$I$89,5,0)</f>
        <v>-6.9167072069831198E-14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163.16040389635825</v>
      </c>
      <c r="CZ171" s="59">
        <f t="shared" si="150"/>
        <v>138.57856782158811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1.86100257505622</v>
      </c>
      <c r="DH171" s="21">
        <f>EXP(-LN(2)/2)*DH170+(1-EXP(-LN(2)/2))/(LN(2)/2)*DB171*DE171*VLOOKUP('Données projet'!$B$13,Paramètres!$A$1:$I$89,3,0)*0.475*44/12</f>
        <v>4.5556710434958756E-11</v>
      </c>
      <c r="DI171" s="22">
        <f t="shared" si="175"/>
        <v>1.8610025751017767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1.7053025658242404E-13</v>
      </c>
      <c r="DP171" s="17">
        <f>DO171*VLOOKUP('Données projet'!$B$14,Paramètres!$A$1:$I$89,3,0)*VLOOKUP('Données projet'!$B$14,Paramètres!$A$1:$I$89,5,0)</f>
        <v>7.9808160080574461E-14</v>
      </c>
      <c r="DQ171" s="13">
        <f t="shared" si="176"/>
        <v>1.2308384591775343E-12</v>
      </c>
      <c r="DR171" s="20">
        <f t="shared" si="177"/>
        <v>2.282709528541206E-12</v>
      </c>
      <c r="DS171" s="59">
        <f t="shared" si="125"/>
        <v>292.50950906049633</v>
      </c>
      <c r="DT171" s="59">
        <f ca="1">AVERAGE(OFFSET($DS$3,0,0,'Données projet'!$E$14+1,1))-AVERAGE(OFFSET($H$3,0,0,'Données projet'!$E$14+1,1))</f>
        <v>343.44193069803498</v>
      </c>
      <c r="DU171" s="59">
        <f t="shared" si="152"/>
        <v>280.67367019483481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69.901608602573305</v>
      </c>
      <c r="EB171" s="21">
        <f>EXP(-LN(2)/25)*EB170+(1-EXP(-LN(2)/25))/(LN(2)/25)*Calculateur!DW171*Calculateur!DY171*VLOOKUP('Données projet'!$B$14,Paramètres!$A$1:$I$89,3,0)*0.475*44/12</f>
        <v>16.100843157317836</v>
      </c>
      <c r="EC171" s="21">
        <f>EXP(-LN(2)/2)*EC170+(1-EXP(-LN(2)/2))/(LN(2)/2)*DW171*DZ171*VLOOKUP('Données projet'!$B$14,Paramètres!$A$1:$I$89,3,0)*0.475*44/12</f>
        <v>8.7419047479328165E-5</v>
      </c>
      <c r="ED171" s="22">
        <f t="shared" si="178"/>
        <v>86.002539178938619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173.07692307692307</v>
      </c>
      <c r="EK171" s="17">
        <f>EJ171*VLOOKUP('Données projet'!$B$15,Paramètres!$A$1:$I$89,3,0)*VLOOKUP('Données projet'!$B$15,Paramètres!$A$1:$I$89,5,0)</f>
        <v>175.5</v>
      </c>
      <c r="EL171" s="13">
        <f t="shared" si="179"/>
        <v>44.319548641773906</v>
      </c>
      <c r="EM171" s="20">
        <f t="shared" si="180"/>
        <v>382.85238055108954</v>
      </c>
      <c r="EN171" s="59">
        <f t="shared" si="128"/>
        <v>675.36188961158359</v>
      </c>
      <c r="EO171" s="59">
        <f ca="1">AVERAGE(OFFSET($EN$3,0,0,'Données projet'!$E$15+1,1))-AVERAGE(OFFSET($H$3,0,0,'Données projet'!$E$15+1,1))</f>
        <v>270.0029254736703</v>
      </c>
      <c r="EP171" s="59">
        <f t="shared" si="154"/>
        <v>183.80022202211441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4.3610663903357221</v>
      </c>
      <c r="EW171" s="21">
        <f>EXP(-LN(2)/25)*EW170+(1-EXP(-LN(2)/25))/(LN(2)/25)*Calculateur!ER171*Calculateur!ET171*VLOOKUP('Données projet'!$B$15,Paramètres!$A$1:$I$89,3,0)*0.475*44/12</f>
        <v>3.4392109332581153</v>
      </c>
      <c r="EX171" s="21">
        <f>EXP(-LN(2)/2)*EX170+(1-EXP(-LN(2)/2))/(LN(2)/2)*ER171*EU171*VLOOKUP('Données projet'!$B$15,Paramètres!$A$1:$I$89,3,0)*0.475*44/12</f>
        <v>1.2703590707683483E-8</v>
      </c>
      <c r="EY171" s="22">
        <f t="shared" si="181"/>
        <v>7.8002773362974285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-1.4897523215040567E-13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328.93328163316073</v>
      </c>
      <c r="FK171" s="59">
        <f t="shared" si="156"/>
        <v>320.27831321887072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8.0648235326780551</v>
      </c>
      <c r="FR171" s="21">
        <f>EXP(-LN(2)/25)*FR170+(1-EXP(-LN(2)/25))/(LN(2)/25)*Calculateur!FM171*Calculateur!FO171*VLOOKUP('Données projet'!$B$16,Paramètres!$A$1:$I$89,3,0)*0.475*44/12</f>
        <v>4.0548003428579191</v>
      </c>
      <c r="FS171" s="21">
        <f>EXP(-LN(2)/2)*FS170+(1-EXP(-LN(2)/2))/(LN(2)/2)*FM171*FP171*VLOOKUP('Données projet'!$B$16,Paramètres!$A$1:$I$89,3,0)*0.475*44/12</f>
        <v>3.244395487589264E-12</v>
      </c>
      <c r="FT171" s="22">
        <f t="shared" si="184"/>
        <v>12.119623875539219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173.07692307692307</v>
      </c>
      <c r="GA171" s="17">
        <f>FZ171*VLOOKUP('Données projet'!$B$17,Paramètres!$A$1:$I$89,3,0)*VLOOKUP('Données projet'!$B$17,Paramètres!$A$1:$I$89,5,0)</f>
        <v>116.1</v>
      </c>
      <c r="GB171" s="13">
        <f t="shared" si="185"/>
        <v>30.763646636385982</v>
      </c>
      <c r="GC171" s="20">
        <f t="shared" si="186"/>
        <v>255.78751789170556</v>
      </c>
      <c r="GD171" s="59">
        <f t="shared" si="134"/>
        <v>548.29702695219964</v>
      </c>
      <c r="GE171" s="59">
        <f ca="1">AVERAGE(OFFSET($GD$3,0,0,'Données projet'!$E$17+1,1))-AVERAGE(OFFSET($H$3,0,0,'Données projet'!$E$17+1,1))</f>
        <v>192.88444860121191</v>
      </c>
      <c r="GF171" s="59">
        <f t="shared" si="158"/>
        <v>136.13737493732751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3.5559464413506587</v>
      </c>
      <c r="GM171" s="21">
        <f>EXP(-LN(2)/25)*GM170+(1-EXP(-LN(2)/25))/(LN(2)/25)*Calculateur!GH171*Calculateur!GJ171*VLOOKUP('Données projet'!$B$17,Paramètres!$A$1:$I$89,3,0)*0.475*44/12</f>
        <v>2.8042796840412318</v>
      </c>
      <c r="GN171" s="21">
        <f>EXP(-LN(2)/2)*GN170+(1-EXP(-LN(2)/2))/(LN(2)/2)*GH171*GK171*VLOOKUP('Données projet'!$B$17,Paramètres!$A$1:$I$89,3,0)*0.475*44/12</f>
        <v>8.4039138527752308E-9</v>
      </c>
      <c r="GO171" s="21">
        <f t="shared" si="187"/>
        <v>6.3602261337958046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69.775320652862007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0.85000000000000009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3.1166666666666671</v>
      </c>
      <c r="H172" s="67">
        <f t="shared" si="110"/>
        <v>244.19999999999996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1376.5338012653629</v>
      </c>
      <c r="S172" s="59">
        <f ca="1">AVERAGE(OFFSET($R$3,0,0,'Données projet'!$E$9+1,1))-AVERAGE(OFFSET($H$3,0,0,'Données projet'!$E$9+1,1))</f>
        <v>643.492472896403</v>
      </c>
      <c r="T172" s="59">
        <f t="shared" si="142"/>
        <v>285.0259479655341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-2.8421709430404007E-13</v>
      </c>
      <c r="AJ172" s="13">
        <f>AI172*VLOOKUP('Données projet'!$B$10,Paramètres!$A$1:$I$89,3,0)*VLOOKUP('Données projet'!$B$10,Paramètres!$A$1:$I$89,5,0)</f>
        <v>-2.2168933355715128E-13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289.89907502443873</v>
      </c>
      <c r="AO172" s="59">
        <f t="shared" si="144"/>
        <v>267.42183550360301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5.5319183288074996</v>
      </c>
      <c r="AV172" s="21">
        <f>EXP(-LN(2)/25)*AV171+(1-EXP(-LN(2)/25))/(LN(2)/25)*Calculateur!AQ172*Calculateur!AS172*VLOOKUP('Données projet'!$B$10,Paramètres!$A$1:$I$89,3,0)*0.475*44/12</f>
        <v>2.8926080504538083</v>
      </c>
      <c r="AW172" s="21">
        <f>EXP(-LN(2)/2)*AW171+(1-EXP(-LN(2)/2))/(LN(2)/2)*AQ172*AT172*VLOOKUP('Données projet'!$B$10,Paramètres!$A$1:$I$89,3,0)*0.475*44/12</f>
        <v>3.7981691504621296E-13</v>
      </c>
      <c r="AX172" s="21">
        <f t="shared" si="166"/>
        <v>8.4245263792616889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-9.9475983006414026E-14</v>
      </c>
      <c r="BE172" s="13">
        <f>BD172*VLOOKUP('Données projet'!$B$11,Paramètres!$A$1:$I$89,3,0)*VLOOKUP('Données projet'!$B$11,Paramètres!$A$1:$I$89,5,0)</f>
        <v>-9.6213170763803652E-14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177.54241137663234</v>
      </c>
      <c r="BJ172" s="59">
        <f t="shared" si="146"/>
        <v>114.71095021456071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7.4656336244606543</v>
      </c>
      <c r="BQ172" s="21">
        <f>EXP(-LN(2)/25)*BQ171+(1-EXP(-LN(2)/25))/(LN(2)/25)*Calculateur!BL172*Calculateur!BN172*VLOOKUP('Données projet'!$B$11,Paramètres!$A$1:$I$89,3,0)*0.475*44/12</f>
        <v>6.4821997111945873</v>
      </c>
      <c r="BR172" s="21">
        <f>EXP(-LN(2)/2)*BR171+(1-EXP(-LN(2)/2))/(LN(2)/2)*BL172*BO172*VLOOKUP('Données projet'!$B$11,Paramètres!$A$1:$I$89,3,0)*0.475*44/12</f>
        <v>4.8150008758858188E-7</v>
      </c>
      <c r="BS172" s="22">
        <f t="shared" si="169"/>
        <v>13.947833817155329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-9.9475983006414026E-14</v>
      </c>
      <c r="BZ172" s="13">
        <f>BY172*VLOOKUP('Données projet'!$B$12,Paramètres!$A$1:$I$89,3,0)*VLOOKUP('Données projet'!$B$12,Paramètres!$A$1:$I$89,5,0)</f>
        <v>-1.0707594810810407E-13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192.88977161349993</v>
      </c>
      <c r="CE172" s="59">
        <f t="shared" si="148"/>
        <v>122.91376861456772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8.3085277433513767</v>
      </c>
      <c r="CL172" s="21">
        <f>EXP(-LN(2)/25)*CL171+(1-EXP(-LN(2)/25))/(LN(2)/25)*Calculateur!CG172*Calculateur!CI172*VLOOKUP('Données projet'!$B$12,Paramètres!$A$1:$I$89,3,0)*0.475*44/12</f>
        <v>7.2140609689101067</v>
      </c>
      <c r="CM172" s="21">
        <f>EXP(-LN(2)/2)*CM171+(1-EXP(-LN(2)/2))/(LN(2)/2)*CG172*CJ172*VLOOKUP('Données projet'!$B$12,Paramètres!$A$1:$I$89,3,0)*0.475*44/12</f>
        <v>5.3586300070342165E-7</v>
      </c>
      <c r="CN172" s="22">
        <f t="shared" si="172"/>
        <v>15.522589248124484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-8.5265128291212022E-14</v>
      </c>
      <c r="CU172" s="17">
        <f>CT172*VLOOKUP('Données projet'!$B$13,Paramètres!$A$1:$I$89,3,0)*VLOOKUP('Données projet'!$B$13,Paramètres!$A$1:$I$89,5,0)</f>
        <v>-6.9167072069831198E-14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163.16040389635825</v>
      </c>
      <c r="CZ172" s="59">
        <f t="shared" si="150"/>
        <v>138.57856782158811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1.8101133617754357</v>
      </c>
      <c r="DH172" s="21">
        <f>EXP(-LN(2)/2)*DH171+(1-EXP(-LN(2)/2))/(LN(2)/2)*DB172*DE172*VLOOKUP('Données projet'!$B$13,Paramètres!$A$1:$I$89,3,0)*0.475*44/12</f>
        <v>3.2213458877111287E-11</v>
      </c>
      <c r="DI172" s="22">
        <f t="shared" si="175"/>
        <v>1.8101133618076493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1.7053025658242404E-13</v>
      </c>
      <c r="DP172" s="17">
        <f>DO172*VLOOKUP('Données projet'!$B$14,Paramètres!$A$1:$I$89,3,0)*VLOOKUP('Données projet'!$B$14,Paramètres!$A$1:$I$89,5,0)</f>
        <v>7.9808160080574461E-14</v>
      </c>
      <c r="DQ172" s="13">
        <f t="shared" si="176"/>
        <v>1.2308384591775343E-12</v>
      </c>
      <c r="DR172" s="20">
        <f t="shared" si="177"/>
        <v>2.282709528541206E-12</v>
      </c>
      <c r="DS172" s="59">
        <f t="shared" si="125"/>
        <v>292.52380056983492</v>
      </c>
      <c r="DT172" s="59">
        <f ca="1">AVERAGE(OFFSET($DS$3,0,0,'Données projet'!$E$14+1,1))-AVERAGE(OFFSET($H$3,0,0,'Données projet'!$E$14+1,1))</f>
        <v>343.44193069803498</v>
      </c>
      <c r="DU172" s="59">
        <f t="shared" si="152"/>
        <v>280.67367019483481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68.530880693648157</v>
      </c>
      <c r="EB172" s="21">
        <f>EXP(-LN(2)/25)*EB171+(1-EXP(-LN(2)/25))/(LN(2)/25)*Calculateur!DW172*Calculateur!DY172*VLOOKUP('Données projet'!$B$14,Paramètres!$A$1:$I$89,3,0)*0.475*44/12</f>
        <v>15.660564754474438</v>
      </c>
      <c r="EC172" s="21">
        <f>EXP(-LN(2)/2)*EC171+(1-EXP(-LN(2)/2))/(LN(2)/2)*DW172*DZ172*VLOOKUP('Données projet'!$B$14,Paramètres!$A$1:$I$89,3,0)*0.475*44/12</f>
        <v>6.1814601277501707E-5</v>
      </c>
      <c r="ED172" s="22">
        <f t="shared" si="178"/>
        <v>84.191507262723874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173.07692307692307</v>
      </c>
      <c r="EK172" s="17">
        <f>EJ172*VLOOKUP('Données projet'!$B$15,Paramètres!$A$1:$I$89,3,0)*VLOOKUP('Données projet'!$B$15,Paramètres!$A$1:$I$89,5,0)</f>
        <v>175.5</v>
      </c>
      <c r="EL172" s="13">
        <f t="shared" si="179"/>
        <v>44.319548641773906</v>
      </c>
      <c r="EM172" s="20">
        <f t="shared" si="180"/>
        <v>382.85238055108954</v>
      </c>
      <c r="EN172" s="59">
        <f t="shared" si="128"/>
        <v>675.37618112092218</v>
      </c>
      <c r="EO172" s="59">
        <f ca="1">AVERAGE(OFFSET($EN$3,0,0,'Données projet'!$E$15+1,1))-AVERAGE(OFFSET($H$3,0,0,'Données projet'!$E$15+1,1))</f>
        <v>270.0029254736703</v>
      </c>
      <c r="EP172" s="59">
        <f t="shared" si="154"/>
        <v>183.80022202211441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4.275548538409085</v>
      </c>
      <c r="EW172" s="21">
        <f>EXP(-LN(2)/25)*EW171+(1-EXP(-LN(2)/25))/(LN(2)/25)*Calculateur!ER172*Calculateur!ET172*VLOOKUP('Données projet'!$B$15,Paramètres!$A$1:$I$89,3,0)*0.475*44/12</f>
        <v>3.3451655294279297</v>
      </c>
      <c r="EX172" s="21">
        <f>EXP(-LN(2)/2)*EX171+(1-EXP(-LN(2)/2))/(LN(2)/2)*ER172*EU172*VLOOKUP('Données projet'!$B$15,Paramètres!$A$1:$I$89,3,0)*0.475*44/12</f>
        <v>8.982795134821403E-9</v>
      </c>
      <c r="EY172" s="22">
        <f t="shared" si="181"/>
        <v>7.6207140768198096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-1.4897523215040567E-13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328.93328163316073</v>
      </c>
      <c r="FK172" s="59">
        <f t="shared" si="156"/>
        <v>320.27831321887072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7.906677262258877</v>
      </c>
      <c r="FR172" s="21">
        <f>EXP(-LN(2)/25)*FR171+(1-EXP(-LN(2)/25))/(LN(2)/25)*Calculateur!FM172*Calculateur!FO172*VLOOKUP('Données projet'!$B$16,Paramètres!$A$1:$I$89,3,0)*0.475*44/12</f>
        <v>3.9439216142497866</v>
      </c>
      <c r="FS172" s="21">
        <f>EXP(-LN(2)/2)*FS171+(1-EXP(-LN(2)/2))/(LN(2)/2)*FM172*FP172*VLOOKUP('Données projet'!$B$16,Paramètres!$A$1:$I$89,3,0)*0.475*44/12</f>
        <v>2.2941340501254038E-12</v>
      </c>
      <c r="FT172" s="22">
        <f t="shared" si="184"/>
        <v>11.850598876510956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173.07692307692307</v>
      </c>
      <c r="GA172" s="17">
        <f>FZ172*VLOOKUP('Données projet'!$B$17,Paramètres!$A$1:$I$89,3,0)*VLOOKUP('Données projet'!$B$17,Paramètres!$A$1:$I$89,5,0)</f>
        <v>116.1</v>
      </c>
      <c r="GB172" s="13">
        <f t="shared" si="185"/>
        <v>30.763646636385982</v>
      </c>
      <c r="GC172" s="20">
        <f t="shared" si="186"/>
        <v>255.78751789170556</v>
      </c>
      <c r="GD172" s="59">
        <f t="shared" si="134"/>
        <v>548.31131846153824</v>
      </c>
      <c r="GE172" s="59">
        <f ca="1">AVERAGE(OFFSET($GD$3,0,0,'Données projet'!$E$17+1,1))-AVERAGE(OFFSET($H$3,0,0,'Données projet'!$E$17+1,1))</f>
        <v>192.88444860121191</v>
      </c>
      <c r="GF172" s="59">
        <f t="shared" si="158"/>
        <v>136.13737493732751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3.4862165005489389</v>
      </c>
      <c r="GM172" s="21">
        <f>EXP(-LN(2)/25)*GM171+(1-EXP(-LN(2)/25))/(LN(2)/25)*Calculateur!GH172*Calculateur!GJ172*VLOOKUP('Données projet'!$B$17,Paramètres!$A$1:$I$89,3,0)*0.475*44/12</f>
        <v>2.727596508610465</v>
      </c>
      <c r="GN172" s="21">
        <f>EXP(-LN(2)/2)*GN171+(1-EXP(-LN(2)/2))/(LN(2)/2)*GH172*GK172*VLOOKUP('Données projet'!$B$17,Paramètres!$A$1:$I$89,3,0)*0.475*44/12</f>
        <v>5.9424644738049308E-9</v>
      </c>
      <c r="GO172" s="21">
        <f t="shared" si="187"/>
        <v>6.2138130151018682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69.779218337227078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0.85000000000000009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3.1166666666666671</v>
      </c>
      <c r="H173" s="67">
        <f t="shared" si="110"/>
        <v>244.19999999999996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1394.6969219992297</v>
      </c>
      <c r="S173" s="59">
        <f ca="1">AVERAGE(OFFSET($R$3,0,0,'Données projet'!$E$9+1,1))-AVERAGE(OFFSET($H$3,0,0,'Données projet'!$E$9+1,1))</f>
        <v>643.492472896403</v>
      </c>
      <c r="T173" s="59">
        <f t="shared" si="142"/>
        <v>285.0259479655341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-2.8421709430404007E-13</v>
      </c>
      <c r="AJ173" s="13">
        <f>AI173*VLOOKUP('Données projet'!$B$10,Paramètres!$A$1:$I$89,3,0)*VLOOKUP('Données projet'!$B$10,Paramètres!$A$1:$I$89,5,0)</f>
        <v>-2.2168933355715128E-13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289.89907502443873</v>
      </c>
      <c r="AO173" s="59">
        <f t="shared" si="144"/>
        <v>267.42183550360301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5.4234407845165968</v>
      </c>
      <c r="AV173" s="21">
        <f>EXP(-LN(2)/25)*AV172+(1-EXP(-LN(2)/25))/(LN(2)/25)*Calculateur!AQ173*Calculateur!AS173*VLOOKUP('Données projet'!$B$10,Paramètres!$A$1:$I$89,3,0)*0.475*44/12</f>
        <v>2.8135095311985028</v>
      </c>
      <c r="AW173" s="21">
        <f>EXP(-LN(2)/2)*AW172+(1-EXP(-LN(2)/2))/(LN(2)/2)*AQ173*AT173*VLOOKUP('Données projet'!$B$10,Paramètres!$A$1:$I$89,3,0)*0.475*44/12</f>
        <v>2.6857111623853201E-13</v>
      </c>
      <c r="AX173" s="21">
        <f t="shared" si="166"/>
        <v>8.236950315715367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-9.9475983006414026E-14</v>
      </c>
      <c r="BE173" s="13">
        <f>BD173*VLOOKUP('Données projet'!$B$11,Paramètres!$A$1:$I$89,3,0)*VLOOKUP('Données projet'!$B$11,Paramètres!$A$1:$I$89,5,0)</f>
        <v>-9.6213170763803652E-14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177.54241137663234</v>
      </c>
      <c r="BJ173" s="59">
        <f t="shared" si="146"/>
        <v>114.71095021456071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7.3192371026718623</v>
      </c>
      <c r="BQ173" s="21">
        <f>EXP(-LN(2)/25)*BQ172+(1-EXP(-LN(2)/25))/(LN(2)/25)*Calculateur!BL173*Calculateur!BN173*VLOOKUP('Données projet'!$B$11,Paramètres!$A$1:$I$89,3,0)*0.475*44/12</f>
        <v>6.3049436192079034</v>
      </c>
      <c r="BR173" s="21">
        <f>EXP(-LN(2)/2)*BR172+(1-EXP(-LN(2)/2))/(LN(2)/2)*BL173*BO173*VLOOKUP('Données projet'!$B$11,Paramètres!$A$1:$I$89,3,0)*0.475*44/12</f>
        <v>3.4047197707580283E-7</v>
      </c>
      <c r="BS173" s="22">
        <f t="shared" si="169"/>
        <v>13.624181062351743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-9.9475983006414026E-14</v>
      </c>
      <c r="BZ173" s="13">
        <f>BY173*VLOOKUP('Données projet'!$B$12,Paramètres!$A$1:$I$89,3,0)*VLOOKUP('Données projet'!$B$12,Paramètres!$A$1:$I$89,5,0)</f>
        <v>-1.0707594810810407E-13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192.88977161349993</v>
      </c>
      <c r="CE173" s="59">
        <f t="shared" si="148"/>
        <v>122.91376861456772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8.145602582005786</v>
      </c>
      <c r="CL173" s="21">
        <f>EXP(-LN(2)/25)*CL172+(1-EXP(-LN(2)/25))/(LN(2)/25)*Calculateur!CG173*Calculateur!CI173*VLOOKUP('Données projet'!$B$12,Paramètres!$A$1:$I$89,3,0)*0.475*44/12</f>
        <v>7.0167920923442813</v>
      </c>
      <c r="CM173" s="21">
        <f>EXP(-LN(2)/2)*CM172+(1-EXP(-LN(2)/2))/(LN(2)/2)*CG173*CJ173*VLOOKUP('Données projet'!$B$12,Paramètres!$A$1:$I$89,3,0)*0.475*44/12</f>
        <v>3.7891236158436113E-7</v>
      </c>
      <c r="CN173" s="22">
        <f t="shared" si="172"/>
        <v>15.162395053262429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-8.5265128291212022E-14</v>
      </c>
      <c r="CU173" s="17">
        <f>CT173*VLOOKUP('Données projet'!$B$13,Paramètres!$A$1:$I$89,3,0)*VLOOKUP('Données projet'!$B$13,Paramètres!$A$1:$I$89,5,0)</f>
        <v>-6.9167072069831198E-14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163.16040389635825</v>
      </c>
      <c r="CZ173" s="59">
        <f t="shared" si="150"/>
        <v>138.57856782158811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1.7606157167079617</v>
      </c>
      <c r="DH173" s="21">
        <f>EXP(-LN(2)/2)*DH172+(1-EXP(-LN(2)/2))/(LN(2)/2)*DB173*DE173*VLOOKUP('Données projet'!$B$13,Paramètres!$A$1:$I$89,3,0)*0.475*44/12</f>
        <v>2.2778355217479378E-11</v>
      </c>
      <c r="DI173" s="22">
        <f t="shared" si="175"/>
        <v>1.7606157167307401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1.7053025658242404E-13</v>
      </c>
      <c r="DP173" s="17">
        <f>DO173*VLOOKUP('Données projet'!$B$14,Paramètres!$A$1:$I$89,3,0)*VLOOKUP('Données projet'!$B$14,Paramètres!$A$1:$I$89,5,0)</f>
        <v>7.9808160080574461E-14</v>
      </c>
      <c r="DQ173" s="13">
        <f t="shared" si="176"/>
        <v>1.2308384591775343E-12</v>
      </c>
      <c r="DR173" s="20">
        <f t="shared" si="177"/>
        <v>2.282709528541206E-12</v>
      </c>
      <c r="DS173" s="59">
        <f t="shared" si="125"/>
        <v>292.5378441534375</v>
      </c>
      <c r="DT173" s="59">
        <f ca="1">AVERAGE(OFFSET($DS$3,0,0,'Données projet'!$E$14+1,1))-AVERAGE(OFFSET($H$3,0,0,'Données projet'!$E$14+1,1))</f>
        <v>343.44193069803498</v>
      </c>
      <c r="DU173" s="59">
        <f t="shared" si="152"/>
        <v>280.67367019483481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67.187031922955555</v>
      </c>
      <c r="EB173" s="21">
        <f>EXP(-LN(2)/25)*EB172+(1-EXP(-LN(2)/25))/(LN(2)/25)*Calculateur!DW173*Calculateur!DY173*VLOOKUP('Données projet'!$B$14,Paramètres!$A$1:$I$89,3,0)*0.475*44/12</f>
        <v>15.232325787710026</v>
      </c>
      <c r="EC173" s="21">
        <f>EXP(-LN(2)/2)*EC172+(1-EXP(-LN(2)/2))/(LN(2)/2)*DW173*DZ173*VLOOKUP('Données projet'!$B$14,Paramètres!$A$1:$I$89,3,0)*0.475*44/12</f>
        <v>4.3709523739664083E-5</v>
      </c>
      <c r="ED173" s="22">
        <f t="shared" si="178"/>
        <v>82.419401420189317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173.07692307692307</v>
      </c>
      <c r="EK173" s="17">
        <f>EJ173*VLOOKUP('Données projet'!$B$15,Paramètres!$A$1:$I$89,3,0)*VLOOKUP('Données projet'!$B$15,Paramètres!$A$1:$I$89,5,0)</f>
        <v>175.5</v>
      </c>
      <c r="EL173" s="13">
        <f t="shared" si="179"/>
        <v>44.319548641773906</v>
      </c>
      <c r="EM173" s="20">
        <f t="shared" si="180"/>
        <v>382.85238055108954</v>
      </c>
      <c r="EN173" s="59">
        <f t="shared" si="128"/>
        <v>675.39022470452483</v>
      </c>
      <c r="EO173" s="59">
        <f ca="1">AVERAGE(OFFSET($EN$3,0,0,'Données projet'!$E$15+1,1))-AVERAGE(OFFSET($H$3,0,0,'Données projet'!$E$15+1,1))</f>
        <v>270.0029254736703</v>
      </c>
      <c r="EP173" s="59">
        <f t="shared" si="154"/>
        <v>183.80022202211441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4.1917076393979897</v>
      </c>
      <c r="EW173" s="21">
        <f>EXP(-LN(2)/25)*EW172+(1-EXP(-LN(2)/25))/(LN(2)/25)*Calculateur!ER173*Calculateur!ET173*VLOOKUP('Données projet'!$B$15,Paramètres!$A$1:$I$89,3,0)*0.475*44/12</f>
        <v>3.2536918021111134</v>
      </c>
      <c r="EX173" s="21">
        <f>EXP(-LN(2)/2)*EX172+(1-EXP(-LN(2)/2))/(LN(2)/2)*ER173*EU173*VLOOKUP('Données projet'!$B$15,Paramètres!$A$1:$I$89,3,0)*0.475*44/12</f>
        <v>6.3517953538417416E-9</v>
      </c>
      <c r="EY173" s="22">
        <f t="shared" si="181"/>
        <v>7.4453994478608987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-1.4897523215040567E-13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328.93328163316073</v>
      </c>
      <c r="FK173" s="59">
        <f t="shared" si="156"/>
        <v>320.27831321887072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7.7516321437429188</v>
      </c>
      <c r="FR173" s="21">
        <f>EXP(-LN(2)/25)*FR172+(1-EXP(-LN(2)/25))/(LN(2)/25)*Calculateur!FM173*Calculateur!FO173*VLOOKUP('Données projet'!$B$16,Paramètres!$A$1:$I$89,3,0)*0.475*44/12</f>
        <v>3.8360748703063026</v>
      </c>
      <c r="FS173" s="21">
        <f>EXP(-LN(2)/2)*FS172+(1-EXP(-LN(2)/2))/(LN(2)/2)*FM173*FP173*VLOOKUP('Données projet'!$B$16,Paramètres!$A$1:$I$89,3,0)*0.475*44/12</f>
        <v>1.622197743794632E-12</v>
      </c>
      <c r="FT173" s="22">
        <f t="shared" si="184"/>
        <v>11.587707014050844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173.07692307692307</v>
      </c>
      <c r="GA173" s="17">
        <f>FZ173*VLOOKUP('Données projet'!$B$17,Paramètres!$A$1:$I$89,3,0)*VLOOKUP('Données projet'!$B$17,Paramètres!$A$1:$I$89,5,0)</f>
        <v>116.1</v>
      </c>
      <c r="GB173" s="13">
        <f t="shared" si="185"/>
        <v>30.763646636385982</v>
      </c>
      <c r="GC173" s="20">
        <f t="shared" si="186"/>
        <v>255.78751789170556</v>
      </c>
      <c r="GD173" s="59">
        <f t="shared" si="134"/>
        <v>548.32536204514076</v>
      </c>
      <c r="GE173" s="59">
        <f ca="1">AVERAGE(OFFSET($GD$3,0,0,'Données projet'!$E$17+1,1))-AVERAGE(OFFSET($H$3,0,0,'Données projet'!$E$17+1,1))</f>
        <v>192.88444860121191</v>
      </c>
      <c r="GF173" s="59">
        <f t="shared" si="158"/>
        <v>136.13737493732751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3.417853921355277</v>
      </c>
      <c r="GM173" s="21">
        <f>EXP(-LN(2)/25)*GM172+(1-EXP(-LN(2)/25))/(LN(2)/25)*Calculateur!GH173*Calculateur!GJ173*VLOOKUP('Données projet'!$B$17,Paramètres!$A$1:$I$89,3,0)*0.475*44/12</f>
        <v>2.6530102386444456</v>
      </c>
      <c r="GN173" s="21">
        <f>EXP(-LN(2)/2)*GN172+(1-EXP(-LN(2)/2))/(LN(2)/2)*GH173*GK173*VLOOKUP('Données projet'!$B$17,Paramètres!$A$1:$I$89,3,0)*0.475*44/12</f>
        <v>4.2019569263876154E-9</v>
      </c>
      <c r="GO173" s="21">
        <f t="shared" si="187"/>
        <v>6.0708641642016792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69.783048405482333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0.85000000000000009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3.1166666666666671</v>
      </c>
      <c r="H174" s="67">
        <f t="shared" si="110"/>
        <v>244.19999999999996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1412.8539578486327</v>
      </c>
      <c r="S174" s="59">
        <f ca="1">AVERAGE(OFFSET($R$3,0,0,'Données projet'!$E$9+1,1))-AVERAGE(OFFSET($H$3,0,0,'Données projet'!$E$9+1,1))</f>
        <v>643.492472896403</v>
      </c>
      <c r="T174" s="59">
        <f t="shared" si="142"/>
        <v>285.0259479655341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-2.8421709430404007E-13</v>
      </c>
      <c r="AJ174" s="13">
        <f>AI174*VLOOKUP('Données projet'!$B$10,Paramètres!$A$1:$I$89,3,0)*VLOOKUP('Données projet'!$B$10,Paramètres!$A$1:$I$89,5,0)</f>
        <v>-2.2168933355715128E-13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289.89907502443873</v>
      </c>
      <c r="AO174" s="59">
        <f t="shared" si="144"/>
        <v>267.42183550360301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5.3170904187044696</v>
      </c>
      <c r="AV174" s="21">
        <f>EXP(-LN(2)/25)*AV173+(1-EXP(-LN(2)/25))/(LN(2)/25)*Calculateur!AQ174*Calculateur!AS174*VLOOKUP('Données projet'!$B$10,Paramètres!$A$1:$I$89,3,0)*0.475*44/12</f>
        <v>2.7365739651118437</v>
      </c>
      <c r="AW174" s="21">
        <f>EXP(-LN(2)/2)*AW173+(1-EXP(-LN(2)/2))/(LN(2)/2)*AQ174*AT174*VLOOKUP('Données projet'!$B$10,Paramètres!$A$1:$I$89,3,0)*0.475*44/12</f>
        <v>1.8990845752310648E-13</v>
      </c>
      <c r="AX174" s="21">
        <f t="shared" si="166"/>
        <v>8.0536643838165034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-9.9475983006414026E-14</v>
      </c>
      <c r="BE174" s="13">
        <f>BD174*VLOOKUP('Données projet'!$B$11,Paramètres!$A$1:$I$89,3,0)*VLOOKUP('Données projet'!$B$11,Paramètres!$A$1:$I$89,5,0)</f>
        <v>-9.6213170763803652E-14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177.54241137663234</v>
      </c>
      <c r="BJ174" s="59">
        <f t="shared" si="146"/>
        <v>114.71095021456071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7.1757113273822872</v>
      </c>
      <c r="BQ174" s="21">
        <f>EXP(-LN(2)/25)*BQ173+(1-EXP(-LN(2)/25))/(LN(2)/25)*Calculateur!BL174*Calculateur!BN174*VLOOKUP('Données projet'!$B$11,Paramètres!$A$1:$I$89,3,0)*0.475*44/12</f>
        <v>6.1325346043780886</v>
      </c>
      <c r="BR174" s="21">
        <f>EXP(-LN(2)/2)*BR173+(1-EXP(-LN(2)/2))/(LN(2)/2)*BL174*BO174*VLOOKUP('Données projet'!$B$11,Paramètres!$A$1:$I$89,3,0)*0.475*44/12</f>
        <v>2.4075004379429094E-7</v>
      </c>
      <c r="BS174" s="22">
        <f t="shared" si="169"/>
        <v>13.308246172510419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-9.9475983006414026E-14</v>
      </c>
      <c r="BZ174" s="13">
        <f>BY174*VLOOKUP('Données projet'!$B$12,Paramètres!$A$1:$I$89,3,0)*VLOOKUP('Données projet'!$B$12,Paramètres!$A$1:$I$89,5,0)</f>
        <v>-1.0707594810810407E-13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192.88977161349993</v>
      </c>
      <c r="CE174" s="59">
        <f t="shared" si="148"/>
        <v>122.91376861456772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7.9858722836996456</v>
      </c>
      <c r="CL174" s="21">
        <f>EXP(-LN(2)/25)*CL173+(1-EXP(-LN(2)/25))/(LN(2)/25)*Calculateur!CG174*Calculateur!CI174*VLOOKUP('Données projet'!$B$12,Paramètres!$A$1:$I$89,3,0)*0.475*44/12</f>
        <v>6.8249175435820675</v>
      </c>
      <c r="CM174" s="21">
        <f>EXP(-LN(2)/2)*CM173+(1-EXP(-LN(2)/2))/(LN(2)/2)*CG174*CJ174*VLOOKUP('Données projet'!$B$12,Paramètres!$A$1:$I$89,3,0)*0.475*44/12</f>
        <v>2.6793150035171082E-7</v>
      </c>
      <c r="CN174" s="22">
        <f t="shared" si="172"/>
        <v>14.810790095213214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-8.5265128291212022E-14</v>
      </c>
      <c r="CU174" s="17">
        <f>CT174*VLOOKUP('Données projet'!$B$13,Paramètres!$A$1:$I$89,3,0)*VLOOKUP('Données projet'!$B$13,Paramètres!$A$1:$I$89,5,0)</f>
        <v>-6.9167072069831198E-14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163.16040389635825</v>
      </c>
      <c r="CZ174" s="59">
        <f t="shared" si="150"/>
        <v>138.57856782158811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1.7124715873478258</v>
      </c>
      <c r="DH174" s="21">
        <f>EXP(-LN(2)/2)*DH173+(1-EXP(-LN(2)/2))/(LN(2)/2)*DB174*DE174*VLOOKUP('Données projet'!$B$13,Paramètres!$A$1:$I$89,3,0)*0.475*44/12</f>
        <v>1.6106729438555643E-11</v>
      </c>
      <c r="DI174" s="22">
        <f t="shared" si="175"/>
        <v>1.7124715873639325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1.7053025658242404E-13</v>
      </c>
      <c r="DP174" s="17">
        <f>DO174*VLOOKUP('Données projet'!$B$14,Paramètres!$A$1:$I$89,3,0)*VLOOKUP('Données projet'!$B$14,Paramètres!$A$1:$I$89,5,0)</f>
        <v>7.9808160080574461E-14</v>
      </c>
      <c r="DQ174" s="13">
        <f t="shared" si="176"/>
        <v>1.2308384591775343E-12</v>
      </c>
      <c r="DR174" s="20">
        <f t="shared" si="177"/>
        <v>2.282709528541206E-12</v>
      </c>
      <c r="DS174" s="59">
        <f t="shared" si="125"/>
        <v>292.55164411226139</v>
      </c>
      <c r="DT174" s="59">
        <f ca="1">AVERAGE(OFFSET($DS$3,0,0,'Données projet'!$E$14+1,1))-AVERAGE(OFFSET($H$3,0,0,'Données projet'!$E$14+1,1))</f>
        <v>343.44193069803498</v>
      </c>
      <c r="DU174" s="59">
        <f t="shared" si="152"/>
        <v>280.67367019483481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65.869535206989426</v>
      </c>
      <c r="EB174" s="21">
        <f>EXP(-LN(2)/25)*EB173+(1-EXP(-LN(2)/25))/(LN(2)/25)*Calculateur!DW174*Calculateur!DY174*VLOOKUP('Données projet'!$B$14,Paramètres!$A$1:$I$89,3,0)*0.475*44/12</f>
        <v>14.815797038011896</v>
      </c>
      <c r="EC174" s="21">
        <f>EXP(-LN(2)/2)*EC173+(1-EXP(-LN(2)/2))/(LN(2)/2)*DW174*DZ174*VLOOKUP('Données projet'!$B$14,Paramètres!$A$1:$I$89,3,0)*0.475*44/12</f>
        <v>3.0907300638750854E-5</v>
      </c>
      <c r="ED174" s="22">
        <f t="shared" si="178"/>
        <v>80.68536315230196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173.07692307692307</v>
      </c>
      <c r="EK174" s="17">
        <f>EJ174*VLOOKUP('Données projet'!$B$15,Paramètres!$A$1:$I$89,3,0)*VLOOKUP('Données projet'!$B$15,Paramètres!$A$1:$I$89,5,0)</f>
        <v>175.5</v>
      </c>
      <c r="EL174" s="13">
        <f t="shared" si="179"/>
        <v>44.319548641773906</v>
      </c>
      <c r="EM174" s="20">
        <f t="shared" si="180"/>
        <v>382.85238055108954</v>
      </c>
      <c r="EN174" s="59">
        <f t="shared" si="128"/>
        <v>675.40402466334865</v>
      </c>
      <c r="EO174" s="59">
        <f ca="1">AVERAGE(OFFSET($EN$3,0,0,'Données projet'!$E$15+1,1))-AVERAGE(OFFSET($H$3,0,0,'Données projet'!$E$15+1,1))</f>
        <v>270.0029254736703</v>
      </c>
      <c r="EP174" s="59">
        <f t="shared" si="154"/>
        <v>183.80022202211441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4.1095108092786035</v>
      </c>
      <c r="EW174" s="21">
        <f>EXP(-LN(2)/25)*EW173+(1-EXP(-LN(2)/25))/(LN(2)/25)*Calculateur!ER174*Calculateur!ET174*VLOOKUP('Données projet'!$B$15,Paramètres!$A$1:$I$89,3,0)*0.475*44/12</f>
        <v>3.1647194286781697</v>
      </c>
      <c r="EX174" s="21">
        <f>EXP(-LN(2)/2)*EX173+(1-EXP(-LN(2)/2))/(LN(2)/2)*ER174*EU174*VLOOKUP('Données projet'!$B$15,Paramètres!$A$1:$I$89,3,0)*0.475*44/12</f>
        <v>4.4913975674107015E-9</v>
      </c>
      <c r="EY174" s="22">
        <f t="shared" si="181"/>
        <v>7.2742302424481711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-1.4897523215040567E-13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328.93328163316073</v>
      </c>
      <c r="FK174" s="59">
        <f t="shared" si="156"/>
        <v>320.27831321887072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7.5996273654328741</v>
      </c>
      <c r="FR174" s="21">
        <f>EXP(-LN(2)/25)*FR173+(1-EXP(-LN(2)/25))/(LN(2)/25)*Calculateur!FM174*Calculateur!FO174*VLOOKUP('Données projet'!$B$16,Paramètres!$A$1:$I$89,3,0)*0.475*44/12</f>
        <v>3.731177201247367</v>
      </c>
      <c r="FS174" s="21">
        <f>EXP(-LN(2)/2)*FS173+(1-EXP(-LN(2)/2))/(LN(2)/2)*FM174*FP174*VLOOKUP('Données projet'!$B$16,Paramètres!$A$1:$I$89,3,0)*0.475*44/12</f>
        <v>1.1470670250627019E-12</v>
      </c>
      <c r="FT174" s="22">
        <f t="shared" si="184"/>
        <v>11.330804566681389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173.07692307692307</v>
      </c>
      <c r="GA174" s="17">
        <f>FZ174*VLOOKUP('Données projet'!$B$17,Paramètres!$A$1:$I$89,3,0)*VLOOKUP('Données projet'!$B$17,Paramètres!$A$1:$I$89,5,0)</f>
        <v>116.1</v>
      </c>
      <c r="GB174" s="13">
        <f t="shared" si="185"/>
        <v>30.763646636385982</v>
      </c>
      <c r="GC174" s="20">
        <f t="shared" si="186"/>
        <v>255.78751789170556</v>
      </c>
      <c r="GD174" s="59">
        <f t="shared" si="134"/>
        <v>548.3391620039647</v>
      </c>
      <c r="GE174" s="59">
        <f ca="1">AVERAGE(OFFSET($GD$3,0,0,'Données projet'!$E$17+1,1))-AVERAGE(OFFSET($H$3,0,0,'Données projet'!$E$17+1,1))</f>
        <v>192.88444860121191</v>
      </c>
      <c r="GF174" s="59">
        <f t="shared" si="158"/>
        <v>136.13737493732751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3.3508318906425463</v>
      </c>
      <c r="GM174" s="21">
        <f>EXP(-LN(2)/25)*GM173+(1-EXP(-LN(2)/25))/(LN(2)/25)*Calculateur!GH174*Calculateur!GJ174*VLOOKUP('Données projet'!$B$17,Paramètres!$A$1:$I$89,3,0)*0.475*44/12</f>
        <v>2.5804635341529685</v>
      </c>
      <c r="GN174" s="21">
        <f>EXP(-LN(2)/2)*GN173+(1-EXP(-LN(2)/2))/(LN(2)/2)*GH174*GK174*VLOOKUP('Données projet'!$B$17,Paramètres!$A$1:$I$89,3,0)*0.475*44/12</f>
        <v>2.9712322369024654E-9</v>
      </c>
      <c r="GO174" s="21">
        <f t="shared" si="187"/>
        <v>5.9312954277667469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69.786812030616119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0.85000000000000009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3.1166666666666671</v>
      </c>
      <c r="H175" s="67">
        <f t="shared" si="110"/>
        <v>244.19999999999996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1431.0050208225593</v>
      </c>
      <c r="S175" s="59">
        <f ca="1">AVERAGE(OFFSET($R$3,0,0,'Données projet'!$E$9+1,1))-AVERAGE(OFFSET($H$3,0,0,'Données projet'!$E$9+1,1))</f>
        <v>643.492472896403</v>
      </c>
      <c r="T175" s="59">
        <f t="shared" si="142"/>
        <v>285.0259479655341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-2.2168933355715128E-13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289.89907502443873</v>
      </c>
      <c r="AO175" s="59">
        <f t="shared" si="144"/>
        <v>267.42183550360301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5.2128255186986001</v>
      </c>
      <c r="AV175" s="21">
        <f>EXP(-LN(2)/25)*AV174+(1-EXP(-LN(2)/25))/(LN(2)/25)*Calculateur!AQ175*Calculateur!AS175*VLOOKUP('Données projet'!$B$10,Paramètres!$A$1:$I$89,3,0)*0.475*44/12</f>
        <v>2.6617422061256901</v>
      </c>
      <c r="AW175" s="21">
        <f>EXP(-LN(2)/2)*AW174+(1-EXP(-LN(2)/2))/(LN(2)/2)*AQ175*AT175*VLOOKUP('Données projet'!$B$10,Paramètres!$A$1:$I$89,3,0)*0.475*44/12</f>
        <v>1.3428555811926601E-13</v>
      </c>
      <c r="AX175" s="21">
        <f t="shared" si="166"/>
        <v>7.8745677248244244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-9.9475983006414026E-14</v>
      </c>
      <c r="BE175" s="13">
        <f>BD175*VLOOKUP('Données projet'!$B$11,Paramètres!$A$1:$I$89,3,0)*VLOOKUP('Données projet'!$B$11,Paramètres!$A$1:$I$89,5,0)</f>
        <v>-9.6213170763803652E-14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177.54241137663234</v>
      </c>
      <c r="BJ175" s="59">
        <f t="shared" si="146"/>
        <v>114.71095021456071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7.0350000050040622</v>
      </c>
      <c r="BQ175" s="21">
        <f>EXP(-LN(2)/25)*BQ174+(1-EXP(-LN(2)/25))/(LN(2)/25)*Calculateur!BL175*Calculateur!BN175*VLOOKUP('Données projet'!$B$11,Paramètres!$A$1:$I$89,3,0)*0.475*44/12</f>
        <v>5.9648401231253914</v>
      </c>
      <c r="BR175" s="21">
        <f>EXP(-LN(2)/2)*BR174+(1-EXP(-LN(2)/2))/(LN(2)/2)*BL175*BO175*VLOOKUP('Données projet'!$B$11,Paramètres!$A$1:$I$89,3,0)*0.475*44/12</f>
        <v>1.7023598853790142E-7</v>
      </c>
      <c r="BS175" s="22">
        <f t="shared" si="169"/>
        <v>12.999840298365442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-9.9475983006414026E-14</v>
      </c>
      <c r="BZ175" s="13">
        <f>BY175*VLOOKUP('Données projet'!$B$12,Paramètres!$A$1:$I$89,3,0)*VLOOKUP('Données projet'!$B$12,Paramètres!$A$1:$I$89,5,0)</f>
        <v>-1.0707594810810407E-13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192.88977161349993</v>
      </c>
      <c r="CE175" s="59">
        <f t="shared" si="148"/>
        <v>122.91376861456772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7.8292741991174273</v>
      </c>
      <c r="CL175" s="21">
        <f>EXP(-LN(2)/25)*CL174+(1-EXP(-LN(2)/25))/(LN(2)/25)*Calculateur!CG175*Calculateur!CI175*VLOOKUP('Données projet'!$B$12,Paramètres!$A$1:$I$89,3,0)*0.475*44/12</f>
        <v>6.6382898144460007</v>
      </c>
      <c r="CM175" s="21">
        <f>EXP(-LN(2)/2)*CM174+(1-EXP(-LN(2)/2))/(LN(2)/2)*CG175*CJ175*VLOOKUP('Données projet'!$B$12,Paramètres!$A$1:$I$89,3,0)*0.475*44/12</f>
        <v>1.8945618079218057E-7</v>
      </c>
      <c r="CN175" s="22">
        <f t="shared" si="172"/>
        <v>14.467564203019609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-8.5265128291212022E-14</v>
      </c>
      <c r="CU175" s="17">
        <f>CT175*VLOOKUP('Données projet'!$B$13,Paramètres!$A$1:$I$89,3,0)*VLOOKUP('Données projet'!$B$13,Paramètres!$A$1:$I$89,5,0)</f>
        <v>-6.9167072069831198E-14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163.16040389635825</v>
      </c>
      <c r="CZ175" s="59">
        <f t="shared" si="150"/>
        <v>138.57856782158811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1.6656439617368326</v>
      </c>
      <c r="DH175" s="21">
        <f>EXP(-LN(2)/2)*DH174+(1-EXP(-LN(2)/2))/(LN(2)/2)*DB175*DE175*VLOOKUP('Données projet'!$B$13,Paramètres!$A$1:$I$89,3,0)*0.475*44/12</f>
        <v>1.1389177608739689E-11</v>
      </c>
      <c r="DI175" s="22">
        <f t="shared" si="175"/>
        <v>1.6656439617482217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1.7053025658242404E-13</v>
      </c>
      <c r="DP175" s="17">
        <f>DO175*VLOOKUP('Données projet'!$B$14,Paramètres!$A$1:$I$89,3,0)*VLOOKUP('Données projet'!$B$14,Paramètres!$A$1:$I$89,5,0)</f>
        <v>7.9808160080574461E-14</v>
      </c>
      <c r="DQ175" s="13">
        <f t="shared" si="176"/>
        <v>1.2308384591775343E-12</v>
      </c>
      <c r="DR175" s="20">
        <f t="shared" si="177"/>
        <v>2.282709528541206E-12</v>
      </c>
      <c r="DS175" s="59">
        <f t="shared" si="125"/>
        <v>292.56520467265176</v>
      </c>
      <c r="DT175" s="59">
        <f ca="1">AVERAGE(OFFSET($DS$3,0,0,'Données projet'!$E$14+1,1))-AVERAGE(OFFSET($H$3,0,0,'Données projet'!$E$14+1,1))</f>
        <v>343.44193069803498</v>
      </c>
      <c r="DU175" s="59">
        <f t="shared" si="152"/>
        <v>280.67367019483481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64.577873798029742</v>
      </c>
      <c r="EB175" s="21">
        <f>EXP(-LN(2)/25)*EB174+(1-EXP(-LN(2)/25))/(LN(2)/25)*Calculateur!DW175*Calculateur!DY175*VLOOKUP('Données projet'!$B$14,Paramètres!$A$1:$I$89,3,0)*0.475*44/12</f>
        <v>14.410658288878556</v>
      </c>
      <c r="EC175" s="21">
        <f>EXP(-LN(2)/2)*EC174+(1-EXP(-LN(2)/2))/(LN(2)/2)*DW175*DZ175*VLOOKUP('Données projet'!$B$14,Paramètres!$A$1:$I$89,3,0)*0.475*44/12</f>
        <v>2.1854761869832041E-5</v>
      </c>
      <c r="ED175" s="22">
        <f t="shared" si="178"/>
        <v>78.988553941670162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173.07692307692307</v>
      </c>
      <c r="EK175" s="17">
        <f>EJ175*VLOOKUP('Données projet'!$B$15,Paramètres!$A$1:$I$89,3,0)*VLOOKUP('Données projet'!$B$15,Paramètres!$A$1:$I$89,5,0)</f>
        <v>175.5</v>
      </c>
      <c r="EL175" s="13">
        <f t="shared" si="179"/>
        <v>44.319548641773906</v>
      </c>
      <c r="EM175" s="20">
        <f t="shared" si="180"/>
        <v>382.85238055108954</v>
      </c>
      <c r="EN175" s="59">
        <f t="shared" si="128"/>
        <v>675.41758522373902</v>
      </c>
      <c r="EO175" s="59">
        <f ca="1">AVERAGE(OFFSET($EN$3,0,0,'Données projet'!$E$15+1,1))-AVERAGE(OFFSET($H$3,0,0,'Données projet'!$E$15+1,1))</f>
        <v>270.0029254736703</v>
      </c>
      <c r="EP175" s="59">
        <f t="shared" si="154"/>
        <v>183.80022202211441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4.0289258088627422</v>
      </c>
      <c r="EW175" s="21">
        <f>EXP(-LN(2)/25)*EW174+(1-EXP(-LN(2)/25))/(LN(2)/25)*Calculateur!ER175*Calculateur!ET175*VLOOKUP('Données projet'!$B$15,Paramètres!$A$1:$I$89,3,0)*0.475*44/12</f>
        <v>3.0781800094756036</v>
      </c>
      <c r="EX175" s="21">
        <f>EXP(-LN(2)/2)*EX174+(1-EXP(-LN(2)/2))/(LN(2)/2)*ER175*EU175*VLOOKUP('Données projet'!$B$15,Paramètres!$A$1:$I$89,3,0)*0.475*44/12</f>
        <v>3.1758976769208708E-9</v>
      </c>
      <c r="EY175" s="22">
        <f t="shared" si="181"/>
        <v>7.1071058215142431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-1.4897523215040567E-13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328.93328163316073</v>
      </c>
      <c r="FK175" s="59">
        <f t="shared" si="156"/>
        <v>320.27831321887072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7.4506033081117291</v>
      </c>
      <c r="FR175" s="21">
        <f>EXP(-LN(2)/25)*FR174+(1-EXP(-LN(2)/25))/(LN(2)/25)*Calculateur!FM175*Calculateur!FO175*VLOOKUP('Données projet'!$B$16,Paramètres!$A$1:$I$89,3,0)*0.475*44/12</f>
        <v>3.6291479644651763</v>
      </c>
      <c r="FS175" s="21">
        <f>EXP(-LN(2)/2)*FS174+(1-EXP(-LN(2)/2))/(LN(2)/2)*FM175*FP175*VLOOKUP('Données projet'!$B$16,Paramètres!$A$1:$I$89,3,0)*0.475*44/12</f>
        <v>8.1109887189731601E-13</v>
      </c>
      <c r="FT175" s="22">
        <f t="shared" si="184"/>
        <v>11.079751272577717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173.07692307692307</v>
      </c>
      <c r="GA175" s="17">
        <f>FZ175*VLOOKUP('Données projet'!$B$17,Paramètres!$A$1:$I$89,3,0)*VLOOKUP('Données projet'!$B$17,Paramètres!$A$1:$I$89,5,0)</f>
        <v>116.1</v>
      </c>
      <c r="GB175" s="13">
        <f t="shared" si="185"/>
        <v>30.763646636385982</v>
      </c>
      <c r="GC175" s="20">
        <f t="shared" si="186"/>
        <v>255.78751789170556</v>
      </c>
      <c r="GD175" s="59">
        <f t="shared" si="134"/>
        <v>548.35272256435508</v>
      </c>
      <c r="GE175" s="59">
        <f ca="1">AVERAGE(OFFSET($GD$3,0,0,'Données projet'!$E$17+1,1))-AVERAGE(OFFSET($H$3,0,0,'Données projet'!$E$17+1,1))</f>
        <v>192.88444860121191</v>
      </c>
      <c r="GF175" s="59">
        <f t="shared" si="158"/>
        <v>136.13737493732751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3.2851241210726903</v>
      </c>
      <c r="GM175" s="21">
        <f>EXP(-LN(2)/25)*GM174+(1-EXP(-LN(2)/25))/(LN(2)/25)*Calculateur!GH175*Calculateur!GJ175*VLOOKUP('Données projet'!$B$17,Paramètres!$A$1:$I$89,3,0)*0.475*44/12</f>
        <v>2.5099006231108758</v>
      </c>
      <c r="GN175" s="21">
        <f>EXP(-LN(2)/2)*GN174+(1-EXP(-LN(2)/2))/(LN(2)/2)*GH175*GK175*VLOOKUP('Données projet'!$B$17,Paramètres!$A$1:$I$89,3,0)*0.475*44/12</f>
        <v>2.1009784631938077E-9</v>
      </c>
      <c r="GO175" s="21">
        <f t="shared" si="187"/>
        <v>5.7950247462845441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69.790510365268034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0.85000000000000009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3.1166666666666671</v>
      </c>
      <c r="H176" s="67">
        <f t="shared" si="110"/>
        <v>244.19999999999996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1449.1502191475881</v>
      </c>
      <c r="S176" s="59">
        <f ca="1">AVERAGE(OFFSET($R$3,0,0,'Données projet'!$E$9+1,1))-AVERAGE(OFFSET($H$3,0,0,'Données projet'!$E$9+1,1))</f>
        <v>643.492472896403</v>
      </c>
      <c r="T176" s="59">
        <f t="shared" si="142"/>
        <v>285.0259479655341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-2.2168933355715128E-13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289.89907502443873</v>
      </c>
      <c r="AO176" s="59">
        <f t="shared" si="144"/>
        <v>267.42183550360301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5.1106051897865363</v>
      </c>
      <c r="AV176" s="21">
        <f>EXP(-LN(2)/25)*AV175+(1-EXP(-LN(2)/25))/(LN(2)/25)*Calculateur!AQ176*Calculateur!AS176*VLOOKUP('Données projet'!$B$10,Paramètres!$A$1:$I$89,3,0)*0.475*44/12</f>
        <v>2.5889567255242438</v>
      </c>
      <c r="AW176" s="21">
        <f>EXP(-LN(2)/2)*AW175+(1-EXP(-LN(2)/2))/(LN(2)/2)*AQ176*AT176*VLOOKUP('Données projet'!$B$10,Paramètres!$A$1:$I$89,3,0)*0.475*44/12</f>
        <v>9.495422876155324E-14</v>
      </c>
      <c r="AX176" s="21">
        <f t="shared" si="166"/>
        <v>7.6995619153108752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-9.9475983006414026E-14</v>
      </c>
      <c r="BE176" s="13">
        <f>BD176*VLOOKUP('Données projet'!$B$11,Paramètres!$A$1:$I$89,3,0)*VLOOKUP('Données projet'!$B$11,Paramètres!$A$1:$I$89,5,0)</f>
        <v>-9.6213170763803652E-14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177.54241137663234</v>
      </c>
      <c r="BJ176" s="59">
        <f t="shared" si="146"/>
        <v>114.71095021456071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6.8970479458322416</v>
      </c>
      <c r="BQ176" s="21">
        <f>EXP(-LN(2)/25)*BQ175+(1-EXP(-LN(2)/25))/(LN(2)/25)*Calculateur!BL176*Calculateur!BN176*VLOOKUP('Données projet'!$B$11,Paramètres!$A$1:$I$89,3,0)*0.475*44/12</f>
        <v>5.8017312562812187</v>
      </c>
      <c r="BR176" s="21">
        <f>EXP(-LN(2)/2)*BR175+(1-EXP(-LN(2)/2))/(LN(2)/2)*BL176*BO176*VLOOKUP('Données projet'!$B$11,Paramètres!$A$1:$I$89,3,0)*0.475*44/12</f>
        <v>1.2037502189714547E-7</v>
      </c>
      <c r="BS176" s="22">
        <f t="shared" si="169"/>
        <v>12.698779322488482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-9.9475983006414026E-14</v>
      </c>
      <c r="BZ176" s="13">
        <f>BY176*VLOOKUP('Données projet'!$B$12,Paramètres!$A$1:$I$89,3,0)*VLOOKUP('Données projet'!$B$12,Paramètres!$A$1:$I$89,5,0)</f>
        <v>-1.0707594810810407E-13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192.88977161349993</v>
      </c>
      <c r="CE176" s="59">
        <f t="shared" si="148"/>
        <v>122.91376861456772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7.6757469074584659</v>
      </c>
      <c r="CL176" s="21">
        <f>EXP(-LN(2)/25)*CL175+(1-EXP(-LN(2)/25))/(LN(2)/25)*Calculateur!CG176*Calculateur!CI176*VLOOKUP('Données projet'!$B$12,Paramètres!$A$1:$I$89,3,0)*0.475*44/12</f>
        <v>6.4567654303774855</v>
      </c>
      <c r="CM176" s="21">
        <f>EXP(-LN(2)/2)*CM175+(1-EXP(-LN(2)/2))/(LN(2)/2)*CG176*CJ176*VLOOKUP('Données projet'!$B$12,Paramètres!$A$1:$I$89,3,0)*0.475*44/12</f>
        <v>1.3396575017585541E-7</v>
      </c>
      <c r="CN176" s="22">
        <f t="shared" si="172"/>
        <v>14.132512471801702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-8.5265128291212022E-14</v>
      </c>
      <c r="CU176" s="17">
        <f>CT176*VLOOKUP('Données projet'!$B$13,Paramètres!$A$1:$I$89,3,0)*VLOOKUP('Données projet'!$B$13,Paramètres!$A$1:$I$89,5,0)</f>
        <v>-6.9167072069831198E-14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163.16040389635825</v>
      </c>
      <c r="CZ176" s="59">
        <f t="shared" si="150"/>
        <v>138.57856782158811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1.6200968400107298</v>
      </c>
      <c r="DH176" s="21">
        <f>EXP(-LN(2)/2)*DH175+(1-EXP(-LN(2)/2))/(LN(2)/2)*DB176*DE176*VLOOKUP('Données projet'!$B$13,Paramètres!$A$1:$I$89,3,0)*0.475*44/12</f>
        <v>8.0533647192778216E-12</v>
      </c>
      <c r="DI176" s="22">
        <f t="shared" si="175"/>
        <v>1.6200968400187832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1.7053025658242404E-13</v>
      </c>
      <c r="DP176" s="17">
        <f>DO176*VLOOKUP('Données projet'!$B$14,Paramètres!$A$1:$I$89,3,0)*VLOOKUP('Données projet'!$B$14,Paramètres!$A$1:$I$89,5,0)</f>
        <v>7.9808160080574461E-14</v>
      </c>
      <c r="DQ176" s="13">
        <f t="shared" si="176"/>
        <v>1.2308384591775343E-12</v>
      </c>
      <c r="DR176" s="20">
        <f t="shared" si="177"/>
        <v>2.282709528541206E-12</v>
      </c>
      <c r="DS176" s="59">
        <f t="shared" si="125"/>
        <v>292.57852998763616</v>
      </c>
      <c r="DT176" s="59">
        <f ca="1">AVERAGE(OFFSET($DS$3,0,0,'Données projet'!$E$14+1,1))-AVERAGE(OFFSET($H$3,0,0,'Données projet'!$E$14+1,1))</f>
        <v>343.44193069803498</v>
      </c>
      <c r="DU176" s="59">
        <f t="shared" si="152"/>
        <v>280.67367019483481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63.311541081464092</v>
      </c>
      <c r="EB176" s="21">
        <f>EXP(-LN(2)/25)*EB175+(1-EXP(-LN(2)/25))/(LN(2)/25)*Calculateur!DW176*Calculateur!DY176*VLOOKUP('Données projet'!$B$14,Paramètres!$A$1:$I$89,3,0)*0.475*44/12</f>
        <v>14.016598080145588</v>
      </c>
      <c r="EC176" s="21">
        <f>EXP(-LN(2)/2)*EC175+(1-EXP(-LN(2)/2))/(LN(2)/2)*DW176*DZ176*VLOOKUP('Données projet'!$B$14,Paramètres!$A$1:$I$89,3,0)*0.475*44/12</f>
        <v>1.5453650319375427E-5</v>
      </c>
      <c r="ED176" s="22">
        <f t="shared" si="178"/>
        <v>77.328154615260004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173.07692307692307</v>
      </c>
      <c r="EK176" s="17">
        <f>EJ176*VLOOKUP('Données projet'!$B$15,Paramètres!$A$1:$I$89,3,0)*VLOOKUP('Données projet'!$B$15,Paramètres!$A$1:$I$89,5,0)</f>
        <v>175.5</v>
      </c>
      <c r="EL176" s="13">
        <f t="shared" si="179"/>
        <v>44.319548641773906</v>
      </c>
      <c r="EM176" s="20">
        <f t="shared" si="180"/>
        <v>382.85238055108954</v>
      </c>
      <c r="EN176" s="59">
        <f t="shared" si="128"/>
        <v>675.43091053872342</v>
      </c>
      <c r="EO176" s="59">
        <f ca="1">AVERAGE(OFFSET($EN$3,0,0,'Données projet'!$E$15+1,1))-AVERAGE(OFFSET($H$3,0,0,'Données projet'!$E$15+1,1))</f>
        <v>270.0029254736703</v>
      </c>
      <c r="EP176" s="59">
        <f t="shared" si="154"/>
        <v>183.80022202211441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3.9499210311530391</v>
      </c>
      <c r="EW176" s="21">
        <f>EXP(-LN(2)/25)*EW175+(1-EXP(-LN(2)/25))/(LN(2)/25)*Calculateur!ER176*Calculateur!ET176*VLOOKUP('Données projet'!$B$15,Paramètres!$A$1:$I$89,3,0)*0.475*44/12</f>
        <v>2.9940070152420417</v>
      </c>
      <c r="EX176" s="21">
        <f>EXP(-LN(2)/2)*EX175+(1-EXP(-LN(2)/2))/(LN(2)/2)*ER176*EU176*VLOOKUP('Données projet'!$B$15,Paramètres!$A$1:$I$89,3,0)*0.475*44/12</f>
        <v>2.2456987837053507E-9</v>
      </c>
      <c r="EY176" s="22">
        <f t="shared" si="181"/>
        <v>6.9439280486407799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-1.4897523215040567E-13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328.93328163316073</v>
      </c>
      <c r="FK176" s="59">
        <f t="shared" si="156"/>
        <v>320.27831321887072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7.3045015216589517</v>
      </c>
      <c r="FR176" s="21">
        <f>EXP(-LN(2)/25)*FR175+(1-EXP(-LN(2)/25))/(LN(2)/25)*Calculateur!FM176*Calculateur!FO176*VLOOKUP('Données projet'!$B$16,Paramètres!$A$1:$I$89,3,0)*0.475*44/12</f>
        <v>3.5299087225282793</v>
      </c>
      <c r="FS176" s="21">
        <f>EXP(-LN(2)/2)*FS175+(1-EXP(-LN(2)/2))/(LN(2)/2)*FM176*FP176*VLOOKUP('Données projet'!$B$16,Paramètres!$A$1:$I$89,3,0)*0.475*44/12</f>
        <v>5.7353351253135096E-13</v>
      </c>
      <c r="FT176" s="22">
        <f t="shared" si="184"/>
        <v>10.834410244187804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173.07692307692307</v>
      </c>
      <c r="GA176" s="17">
        <f>FZ176*VLOOKUP('Données projet'!$B$17,Paramètres!$A$1:$I$89,3,0)*VLOOKUP('Données projet'!$B$17,Paramètres!$A$1:$I$89,5,0)</f>
        <v>116.1</v>
      </c>
      <c r="GB176" s="13">
        <f t="shared" si="185"/>
        <v>30.763646636385982</v>
      </c>
      <c r="GC176" s="20">
        <f t="shared" si="186"/>
        <v>255.78751789170556</v>
      </c>
      <c r="GD176" s="59">
        <f t="shared" si="134"/>
        <v>548.36604787933948</v>
      </c>
      <c r="GE176" s="59">
        <f ca="1">AVERAGE(OFFSET($GD$3,0,0,'Données projet'!$E$17+1,1))-AVERAGE(OFFSET($H$3,0,0,'Données projet'!$E$17+1,1))</f>
        <v>192.88444860121191</v>
      </c>
      <c r="GF176" s="59">
        <f t="shared" si="158"/>
        <v>136.13737493732751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3.220704840786317</v>
      </c>
      <c r="GM176" s="21">
        <f>EXP(-LN(2)/25)*GM175+(1-EXP(-LN(2)/25))/(LN(2)/25)*Calculateur!GH176*Calculateur!GJ176*VLOOKUP('Données projet'!$B$17,Paramètres!$A$1:$I$89,3,0)*0.475*44/12</f>
        <v>2.4412672585819717</v>
      </c>
      <c r="GN176" s="21">
        <f>EXP(-LN(2)/2)*GN175+(1-EXP(-LN(2)/2))/(LN(2)/2)*GH176*GK176*VLOOKUP('Données projet'!$B$17,Paramètres!$A$1:$I$89,3,0)*0.475*44/12</f>
        <v>1.4856161184512327E-9</v>
      </c>
      <c r="GO176" s="21">
        <f t="shared" si="187"/>
        <v>5.6619721008539043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69.794144542081966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0.85000000000000009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3.1166666666666671</v>
      </c>
      <c r="H177" s="67">
        <f t="shared" si="110"/>
        <v>244.19999999999996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1467.2896574541082</v>
      </c>
      <c r="S177" s="59">
        <f ca="1">AVERAGE(OFFSET($R$3,0,0,'Données projet'!$E$9+1,1))-AVERAGE(OFFSET($H$3,0,0,'Données projet'!$E$9+1,1))</f>
        <v>643.492472896403</v>
      </c>
      <c r="T177" s="59">
        <f t="shared" si="142"/>
        <v>285.0259479655341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-2.2168933355715128E-13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289.89907502443873</v>
      </c>
      <c r="AO177" s="59">
        <f t="shared" si="144"/>
        <v>267.42183550360301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5.0103893391761938</v>
      </c>
      <c r="AV177" s="21">
        <f>EXP(-LN(2)/25)*AV176+(1-EXP(-LN(2)/25))/(LN(2)/25)*Calculateur!AQ177*Calculateur!AS177*VLOOKUP('Données projet'!$B$10,Paramètres!$A$1:$I$89,3,0)*0.475*44/12</f>
        <v>2.5181615677174665</v>
      </c>
      <c r="AW177" s="21">
        <f>EXP(-LN(2)/2)*AW176+(1-EXP(-LN(2)/2))/(LN(2)/2)*AQ177*AT177*VLOOKUP('Données projet'!$B$10,Paramètres!$A$1:$I$89,3,0)*0.475*44/12</f>
        <v>6.7142779059633003E-14</v>
      </c>
      <c r="AX177" s="21">
        <f t="shared" si="166"/>
        <v>7.5285509068937273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-9.9475983006414026E-14</v>
      </c>
      <c r="BE177" s="13">
        <f>BD177*VLOOKUP('Données projet'!$B$11,Paramètres!$A$1:$I$89,3,0)*VLOOKUP('Données projet'!$B$11,Paramètres!$A$1:$I$89,5,0)</f>
        <v>-9.6213170763803652E-14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177.54241137663234</v>
      </c>
      <c r="BJ177" s="59">
        <f t="shared" si="146"/>
        <v>114.71095021456071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6.761801042398333</v>
      </c>
      <c r="BQ177" s="21">
        <f>EXP(-LN(2)/25)*BQ176+(1-EXP(-LN(2)/25))/(LN(2)/25)*Calculateur!BL177*Calculateur!BN177*VLOOKUP('Données projet'!$B$11,Paramètres!$A$1:$I$89,3,0)*0.475*44/12</f>
        <v>5.6430826099784221</v>
      </c>
      <c r="BR177" s="21">
        <f>EXP(-LN(2)/2)*BR176+(1-EXP(-LN(2)/2))/(LN(2)/2)*BL177*BO177*VLOOKUP('Données projet'!$B$11,Paramètres!$A$1:$I$89,3,0)*0.475*44/12</f>
        <v>8.5117994268950708E-8</v>
      </c>
      <c r="BS177" s="22">
        <f t="shared" si="169"/>
        <v>12.40488373749475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-9.9475983006414026E-14</v>
      </c>
      <c r="BZ177" s="13">
        <f>BY177*VLOOKUP('Données projet'!$B$12,Paramètres!$A$1:$I$89,3,0)*VLOOKUP('Données projet'!$B$12,Paramètres!$A$1:$I$89,5,0)</f>
        <v>-1.0707594810810407E-13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192.88977161349993</v>
      </c>
      <c r="CE177" s="59">
        <f t="shared" si="148"/>
        <v>122.91376861456772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7.5252301923465348</v>
      </c>
      <c r="CL177" s="21">
        <f>EXP(-LN(2)/25)*CL176+(1-EXP(-LN(2)/25))/(LN(2)/25)*Calculateur!CG177*Calculateur!CI177*VLOOKUP('Données projet'!$B$12,Paramètres!$A$1:$I$89,3,0)*0.475*44/12</f>
        <v>6.2802048401372765</v>
      </c>
      <c r="CM177" s="21">
        <f>EXP(-LN(2)/2)*CM176+(1-EXP(-LN(2)/2))/(LN(2)/2)*CG177*CJ177*VLOOKUP('Données projet'!$B$12,Paramètres!$A$1:$I$89,3,0)*0.475*44/12</f>
        <v>9.4728090396090283E-8</v>
      </c>
      <c r="CN177" s="22">
        <f t="shared" si="172"/>
        <v>13.805435127211901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-8.5265128291212022E-14</v>
      </c>
      <c r="CU177" s="17">
        <f>CT177*VLOOKUP('Données projet'!$B$13,Paramètres!$A$1:$I$89,3,0)*VLOOKUP('Données projet'!$B$13,Paramètres!$A$1:$I$89,5,0)</f>
        <v>-6.9167072069831198E-14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163.16040389635825</v>
      </c>
      <c r="CZ177" s="59">
        <f t="shared" si="150"/>
        <v>138.57856782158811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1.5757952067234464</v>
      </c>
      <c r="DH177" s="21">
        <f>EXP(-LN(2)/2)*DH176+(1-EXP(-LN(2)/2))/(LN(2)/2)*DB177*DE177*VLOOKUP('Données projet'!$B$13,Paramètres!$A$1:$I$89,3,0)*0.475*44/12</f>
        <v>5.6945888043698445E-12</v>
      </c>
      <c r="DI177" s="22">
        <f t="shared" si="175"/>
        <v>1.575795206729141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1.7053025658242404E-13</v>
      </c>
      <c r="DP177" s="17">
        <f>DO177*VLOOKUP('Données projet'!$B$14,Paramètres!$A$1:$I$89,3,0)*VLOOKUP('Données projet'!$B$14,Paramètres!$A$1:$I$89,5,0)</f>
        <v>7.9808160080574461E-14</v>
      </c>
      <c r="DQ177" s="13">
        <f t="shared" si="176"/>
        <v>1.2308384591775343E-12</v>
      </c>
      <c r="DR177" s="20">
        <f t="shared" si="177"/>
        <v>2.282709528541206E-12</v>
      </c>
      <c r="DS177" s="59">
        <f t="shared" si="125"/>
        <v>292.59162413819655</v>
      </c>
      <c r="DT177" s="59">
        <f ca="1">AVERAGE(OFFSET($DS$3,0,0,'Données projet'!$E$14+1,1))-AVERAGE(OFFSET($H$3,0,0,'Données projet'!$E$14+1,1))</f>
        <v>343.44193069803498</v>
      </c>
      <c r="DU177" s="59">
        <f t="shared" si="152"/>
        <v>280.67367019483481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62.070040377083608</v>
      </c>
      <c r="EB177" s="21">
        <f>EXP(-LN(2)/25)*EB176+(1-EXP(-LN(2)/25))/(LN(2)/25)*Calculateur!DW177*Calculateur!DY177*VLOOKUP('Données projet'!$B$14,Paramètres!$A$1:$I$89,3,0)*0.475*44/12</f>
        <v>13.633313468543149</v>
      </c>
      <c r="EC177" s="21">
        <f>EXP(-LN(2)/2)*EC176+(1-EXP(-LN(2)/2))/(LN(2)/2)*DW177*DZ177*VLOOKUP('Données projet'!$B$14,Paramètres!$A$1:$I$89,3,0)*0.475*44/12</f>
        <v>1.0927380934916021E-5</v>
      </c>
      <c r="ED177" s="22">
        <f t="shared" si="178"/>
        <v>75.703364773007692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173.07692307692307</v>
      </c>
      <c r="EK177" s="17">
        <f>EJ177*VLOOKUP('Données projet'!$B$15,Paramètres!$A$1:$I$89,3,0)*VLOOKUP('Données projet'!$B$15,Paramètres!$A$1:$I$89,5,0)</f>
        <v>175.5</v>
      </c>
      <c r="EL177" s="13">
        <f t="shared" si="179"/>
        <v>44.319548641773906</v>
      </c>
      <c r="EM177" s="20">
        <f t="shared" si="180"/>
        <v>382.85238055108954</v>
      </c>
      <c r="EN177" s="59">
        <f t="shared" si="128"/>
        <v>675.44400468928382</v>
      </c>
      <c r="EO177" s="59">
        <f ca="1">AVERAGE(OFFSET($EN$3,0,0,'Données projet'!$E$15+1,1))-AVERAGE(OFFSET($H$3,0,0,'Données projet'!$E$15+1,1))</f>
        <v>270.0029254736703</v>
      </c>
      <c r="EP177" s="59">
        <f t="shared" si="154"/>
        <v>183.80022202211441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3.8724654889460668</v>
      </c>
      <c r="EW177" s="21">
        <f>EXP(-LN(2)/25)*EW176+(1-EXP(-LN(2)/25))/(LN(2)/25)*Calculateur!ER177*Calculateur!ET177*VLOOKUP('Données projet'!$B$15,Paramètres!$A$1:$I$89,3,0)*0.475*44/12</f>
        <v>2.9121357359622619</v>
      </c>
      <c r="EX177" s="21">
        <f>EXP(-LN(2)/2)*EX176+(1-EXP(-LN(2)/2))/(LN(2)/2)*ER177*EU177*VLOOKUP('Données projet'!$B$15,Paramètres!$A$1:$I$89,3,0)*0.475*44/12</f>
        <v>1.5879488384604354E-9</v>
      </c>
      <c r="EY177" s="22">
        <f t="shared" si="181"/>
        <v>6.7846012264962772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-1.4897523215040567E-13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328.93328163316073</v>
      </c>
      <c r="FK177" s="59">
        <f t="shared" si="156"/>
        <v>320.27831321887072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7.1612647021252229</v>
      </c>
      <c r="FR177" s="21">
        <f>EXP(-LN(2)/25)*FR176+(1-EXP(-LN(2)/25))/(LN(2)/25)*Calculateur!FM177*Calculateur!FO177*VLOOKUP('Données projet'!$B$16,Paramètres!$A$1:$I$89,3,0)*0.475*44/12</f>
        <v>3.4333831828809114</v>
      </c>
      <c r="FS177" s="21">
        <f>EXP(-LN(2)/2)*FS176+(1-EXP(-LN(2)/2))/(LN(2)/2)*FM177*FP177*VLOOKUP('Données projet'!$B$16,Paramètres!$A$1:$I$89,3,0)*0.475*44/12</f>
        <v>4.05549435948658E-13</v>
      </c>
      <c r="FT177" s="22">
        <f t="shared" si="184"/>
        <v>10.594647885006539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173.07692307692307</v>
      </c>
      <c r="GA177" s="17">
        <f>FZ177*VLOOKUP('Données projet'!$B$17,Paramètres!$A$1:$I$89,3,0)*VLOOKUP('Données projet'!$B$17,Paramètres!$A$1:$I$89,5,0)</f>
        <v>116.1</v>
      </c>
      <c r="GB177" s="13">
        <f t="shared" si="185"/>
        <v>30.763646636385982</v>
      </c>
      <c r="GC177" s="20">
        <f t="shared" si="186"/>
        <v>255.78751789170556</v>
      </c>
      <c r="GD177" s="59">
        <f t="shared" si="134"/>
        <v>548.37914202989987</v>
      </c>
      <c r="GE177" s="59">
        <f ca="1">AVERAGE(OFFSET($GD$3,0,0,'Données projet'!$E$17+1,1))-AVERAGE(OFFSET($H$3,0,0,'Données projet'!$E$17+1,1))</f>
        <v>192.88444860121191</v>
      </c>
      <c r="GF177" s="59">
        <f t="shared" si="158"/>
        <v>136.13737493732751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3.1575487832944784</v>
      </c>
      <c r="GM177" s="21">
        <f>EXP(-LN(2)/25)*GM176+(1-EXP(-LN(2)/25))/(LN(2)/25)*Calculateur!GH177*Calculateur!GJ177*VLOOKUP('Données projet'!$B$17,Paramètres!$A$1:$I$89,3,0)*0.475*44/12</f>
        <v>2.3745106770153823</v>
      </c>
      <c r="GN177" s="21">
        <f>EXP(-LN(2)/2)*GN176+(1-EXP(-LN(2)/2))/(LN(2)/2)*GH177*GK177*VLOOKUP('Données projet'!$B$17,Paramètres!$A$1:$I$89,3,0)*0.475*44/12</f>
        <v>1.0504892315969039E-9</v>
      </c>
      <c r="GO177" s="21">
        <f t="shared" si="187"/>
        <v>5.5320594613603502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69.797715674052995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0.85000000000000009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3.1166666666666671</v>
      </c>
      <c r="H178" s="67">
        <f t="shared" si="110"/>
        <v>244.19999999999996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1024.9188654904287</v>
      </c>
      <c r="S178" s="59">
        <f ca="1">AVERAGE(OFFSET($R$3,0,0,'Données projet'!$E$9+1,1))-AVERAGE(OFFSET($H$3,0,0,'Données projet'!$E$9+1,1))</f>
        <v>643.492472896403</v>
      </c>
      <c r="T178" s="59">
        <f t="shared" si="142"/>
        <v>285.0259479655341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-2.2168933355715128E-13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289.89907502443873</v>
      </c>
      <c r="AO178" s="59">
        <f t="shared" si="144"/>
        <v>267.42183550360301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4.9121386602706867</v>
      </c>
      <c r="AV178" s="21">
        <f>EXP(-LN(2)/25)*AV177+(1-EXP(-LN(2)/25))/(LN(2)/25)*Calculateur!AQ178*Calculateur!AS178*VLOOKUP('Données projet'!$B$10,Paramètres!$A$1:$I$89,3,0)*0.475*44/12</f>
        <v>2.4493023072238707</v>
      </c>
      <c r="AW178" s="21">
        <f>EXP(-LN(2)/2)*AW177+(1-EXP(-LN(2)/2))/(LN(2)/2)*AQ178*AT178*VLOOKUP('Données projet'!$B$10,Paramètres!$A$1:$I$89,3,0)*0.475*44/12</f>
        <v>4.747711438077662E-14</v>
      </c>
      <c r="AX178" s="21">
        <f t="shared" si="166"/>
        <v>7.3614409674946044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-9.9475983006414026E-14</v>
      </c>
      <c r="BE178" s="13">
        <f>BD178*VLOOKUP('Données projet'!$B$11,Paramètres!$A$1:$I$89,3,0)*VLOOKUP('Données projet'!$B$11,Paramètres!$A$1:$I$89,5,0)</f>
        <v>-9.6213170763803652E-14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177.54241137663234</v>
      </c>
      <c r="BJ178" s="59">
        <f t="shared" si="146"/>
        <v>114.71095021456071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6.6292062482482974</v>
      </c>
      <c r="BQ178" s="21">
        <f>EXP(-LN(2)/25)*BQ177+(1-EXP(-LN(2)/25))/(LN(2)/25)*Calculateur!BL178*Calculateur!BN178*VLOOKUP('Données projet'!$B$11,Paramètres!$A$1:$I$89,3,0)*0.475*44/12</f>
        <v>5.4887722192517447</v>
      </c>
      <c r="BR178" s="21">
        <f>EXP(-LN(2)/2)*BR177+(1-EXP(-LN(2)/2))/(LN(2)/2)*BL178*BO178*VLOOKUP('Données projet'!$B$11,Paramètres!$A$1:$I$89,3,0)*0.475*44/12</f>
        <v>6.0187510948572734E-8</v>
      </c>
      <c r="BS178" s="22">
        <f t="shared" si="169"/>
        <v>12.117978527687551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-9.9475983006414026E-14</v>
      </c>
      <c r="BZ178" s="13">
        <f>BY178*VLOOKUP('Données projet'!$B$12,Paramètres!$A$1:$I$89,3,0)*VLOOKUP('Données projet'!$B$12,Paramètres!$A$1:$I$89,5,0)</f>
        <v>-1.0707594810810407E-13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192.88977161349993</v>
      </c>
      <c r="CE178" s="59">
        <f t="shared" si="148"/>
        <v>122.91376861456772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7.3776650182118182</v>
      </c>
      <c r="CL178" s="21">
        <f>EXP(-LN(2)/25)*CL177+(1-EXP(-LN(2)/25))/(LN(2)/25)*Calculateur!CG178*Calculateur!CI178*VLOOKUP('Données projet'!$B$12,Paramètres!$A$1:$I$89,3,0)*0.475*44/12</f>
        <v>6.1084723085221038</v>
      </c>
      <c r="CM178" s="21">
        <f>EXP(-LN(2)/2)*CM177+(1-EXP(-LN(2)/2))/(LN(2)/2)*CG178*CJ178*VLOOKUP('Données projet'!$B$12,Paramètres!$A$1:$I$89,3,0)*0.475*44/12</f>
        <v>6.6982875087927706E-8</v>
      </c>
      <c r="CN178" s="22">
        <f t="shared" si="172"/>
        <v>13.486137393716795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-8.5265128291212022E-14</v>
      </c>
      <c r="CU178" s="17">
        <f>CT178*VLOOKUP('Données projet'!$B$13,Paramètres!$A$1:$I$89,3,0)*VLOOKUP('Données projet'!$B$13,Paramètres!$A$1:$I$89,5,0)</f>
        <v>-6.9167072069831198E-14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163.16040389635825</v>
      </c>
      <c r="CZ178" s="59">
        <f t="shared" si="150"/>
        <v>138.57856782158811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1.5327050039281254</v>
      </c>
      <c r="DH178" s="21">
        <f>EXP(-LN(2)/2)*DH177+(1-EXP(-LN(2)/2))/(LN(2)/2)*DB178*DE178*VLOOKUP('Données projet'!$B$13,Paramètres!$A$1:$I$89,3,0)*0.475*44/12</f>
        <v>4.0266823596389108E-12</v>
      </c>
      <c r="DI178" s="22">
        <f t="shared" si="175"/>
        <v>1.5327050039321521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1.7053025658242404E-13</v>
      </c>
      <c r="DP178" s="17">
        <f>DO178*VLOOKUP('Données projet'!$B$14,Paramètres!$A$1:$I$89,3,0)*VLOOKUP('Données projet'!$B$14,Paramètres!$A$1:$I$89,5,0)</f>
        <v>7.9808160080574461E-14</v>
      </c>
      <c r="DQ178" s="13">
        <f t="shared" si="176"/>
        <v>1.2308384591775343E-12</v>
      </c>
      <c r="DR178" s="20">
        <f t="shared" si="177"/>
        <v>2.282709528541206E-12</v>
      </c>
      <c r="DS178" s="59">
        <f t="shared" si="125"/>
        <v>292.60449113451887</v>
      </c>
      <c r="DT178" s="59">
        <f ca="1">AVERAGE(OFFSET($DS$3,0,0,'Données projet'!$E$14+1,1))-AVERAGE(OFFSET($H$3,0,0,'Données projet'!$E$14+1,1))</f>
        <v>343.44193069803498</v>
      </c>
      <c r="DU178" s="59">
        <f t="shared" si="152"/>
        <v>280.67367019483481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60.852884744275364</v>
      </c>
      <c r="EB178" s="21">
        <f>EXP(-LN(2)/25)*EB177+(1-EXP(-LN(2)/25))/(LN(2)/25)*Calculateur!DW178*Calculateur!DY178*VLOOKUP('Données projet'!$B$14,Paramètres!$A$1:$I$89,3,0)*0.475*44/12</f>
        <v>13.26050979480104</v>
      </c>
      <c r="EC178" s="21">
        <f>EXP(-LN(2)/2)*EC177+(1-EXP(-LN(2)/2))/(LN(2)/2)*DW178*DZ178*VLOOKUP('Données projet'!$B$14,Paramètres!$A$1:$I$89,3,0)*0.475*44/12</f>
        <v>7.7268251596877134E-6</v>
      </c>
      <c r="ED178" s="22">
        <f t="shared" si="178"/>
        <v>74.11340226590157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173.07692307692307</v>
      </c>
      <c r="EK178" s="17">
        <f>EJ178*VLOOKUP('Données projet'!$B$15,Paramètres!$A$1:$I$89,3,0)*VLOOKUP('Données projet'!$B$15,Paramètres!$A$1:$I$89,5,0)</f>
        <v>175.5</v>
      </c>
      <c r="EL178" s="13">
        <f t="shared" si="179"/>
        <v>44.319548641773906</v>
      </c>
      <c r="EM178" s="20">
        <f t="shared" si="180"/>
        <v>382.85238055108954</v>
      </c>
      <c r="EN178" s="59">
        <f t="shared" si="128"/>
        <v>675.45687168560607</v>
      </c>
      <c r="EO178" s="59">
        <f ca="1">AVERAGE(OFFSET($EN$3,0,0,'Données projet'!$E$15+1,1))-AVERAGE(OFFSET($H$3,0,0,'Données projet'!$E$15+1,1))</f>
        <v>270.0029254736703</v>
      </c>
      <c r="EP178" s="59">
        <f t="shared" si="154"/>
        <v>183.80022202211441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3.7965288026785573</v>
      </c>
      <c r="EW178" s="21">
        <f>EXP(-LN(2)/25)*EW177+(1-EXP(-LN(2)/25))/(LN(2)/25)*Calculateur!ER178*Calculateur!ET178*VLOOKUP('Données projet'!$B$15,Paramètres!$A$1:$I$89,3,0)*0.475*44/12</f>
        <v>2.8325032311198113</v>
      </c>
      <c r="EX178" s="21">
        <f>EXP(-LN(2)/2)*EX177+(1-EXP(-LN(2)/2))/(LN(2)/2)*ER178*EU178*VLOOKUP('Données projet'!$B$15,Paramètres!$A$1:$I$89,3,0)*0.475*44/12</f>
        <v>1.1228493918526754E-9</v>
      </c>
      <c r="EY178" s="22">
        <f t="shared" si="181"/>
        <v>6.6290320349212184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-1.4897523215040567E-13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328.93328163316073</v>
      </c>
      <c r="FK178" s="59">
        <f t="shared" si="156"/>
        <v>320.27831321887072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7.0208366692567177</v>
      </c>
      <c r="FR178" s="21">
        <f>EXP(-LN(2)/25)*FR177+(1-EXP(-LN(2)/25))/(LN(2)/25)*Calculateur!FM178*Calculateur!FO178*VLOOKUP('Données projet'!$B$16,Paramètres!$A$1:$I$89,3,0)*0.475*44/12</f>
        <v>3.3394971391912582</v>
      </c>
      <c r="FS178" s="21">
        <f>EXP(-LN(2)/2)*FS177+(1-EXP(-LN(2)/2))/(LN(2)/2)*FM178*FP178*VLOOKUP('Données projet'!$B$16,Paramètres!$A$1:$I$89,3,0)*0.475*44/12</f>
        <v>2.8676675626567548E-13</v>
      </c>
      <c r="FT178" s="22">
        <f t="shared" si="184"/>
        <v>10.360333808448262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173.07692307692307</v>
      </c>
      <c r="GA178" s="17">
        <f>FZ178*VLOOKUP('Données projet'!$B$17,Paramètres!$A$1:$I$89,3,0)*VLOOKUP('Données projet'!$B$17,Paramètres!$A$1:$I$89,5,0)</f>
        <v>116.1</v>
      </c>
      <c r="GB178" s="13">
        <f t="shared" si="185"/>
        <v>30.763646636385982</v>
      </c>
      <c r="GC178" s="20">
        <f t="shared" si="186"/>
        <v>255.78751789170556</v>
      </c>
      <c r="GD178" s="59">
        <f t="shared" si="134"/>
        <v>548.39200902622213</v>
      </c>
      <c r="GE178" s="59">
        <f ca="1">AVERAGE(OFFSET($GD$3,0,0,'Données projet'!$E$17+1,1))-AVERAGE(OFFSET($H$3,0,0,'Données projet'!$E$17+1,1))</f>
        <v>192.88444860121191</v>
      </c>
      <c r="GF178" s="59">
        <f t="shared" si="158"/>
        <v>136.13737493732751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3.0956311775686634</v>
      </c>
      <c r="GM178" s="21">
        <f>EXP(-LN(2)/25)*GM177+(1-EXP(-LN(2)/25))/(LN(2)/25)*Calculateur!GH178*Calculateur!GJ178*VLOOKUP('Données projet'!$B$17,Paramètres!$A$1:$I$89,3,0)*0.475*44/12</f>
        <v>2.3095795576823073</v>
      </c>
      <c r="GN178" s="21">
        <f>EXP(-LN(2)/2)*GN177+(1-EXP(-LN(2)/2))/(LN(2)/2)*GH178*GK178*VLOOKUP('Données projet'!$B$17,Paramètres!$A$1:$I$89,3,0)*0.475*44/12</f>
        <v>7.4280805922561634E-10</v>
      </c>
      <c r="GO178" s="21">
        <f t="shared" si="187"/>
        <v>5.4052107359937791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69.801224854868167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0.85000000000000009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3.1166666666666671</v>
      </c>
      <c r="H179" s="67">
        <f t="shared" si="110"/>
        <v>244.19999999999996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1036.6039343693787</v>
      </c>
      <c r="S179" s="59">
        <f ca="1">AVERAGE(OFFSET($R$3,0,0,'Données projet'!$E$9+1,1))-AVERAGE(OFFSET($H$3,0,0,'Données projet'!$E$9+1,1))</f>
        <v>643.492472896403</v>
      </c>
      <c r="T179" s="59">
        <f t="shared" si="142"/>
        <v>285.0259479655341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-2.2168933355715128E-13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289.89907502443873</v>
      </c>
      <c r="AO179" s="59">
        <f t="shared" si="144"/>
        <v>267.42183550360301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4.8158146172515197</v>
      </c>
      <c r="AV179" s="21">
        <f>EXP(-LN(2)/25)*AV178+(1-EXP(-LN(2)/25))/(LN(2)/25)*Calculateur!AQ179*Calculateur!AS179*VLOOKUP('Données projet'!$B$10,Paramètres!$A$1:$I$89,3,0)*0.475*44/12</f>
        <v>2.3823260068296235</v>
      </c>
      <c r="AW179" s="21">
        <f>EXP(-LN(2)/2)*AW178+(1-EXP(-LN(2)/2))/(LN(2)/2)*AQ179*AT179*VLOOKUP('Données projet'!$B$10,Paramètres!$A$1:$I$89,3,0)*0.475*44/12</f>
        <v>3.3571389529816501E-14</v>
      </c>
      <c r="AX179" s="21">
        <f t="shared" si="166"/>
        <v>7.1981406240811765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-9.9475983006414026E-14</v>
      </c>
      <c r="BE179" s="13">
        <f>BD179*VLOOKUP('Données projet'!$B$11,Paramètres!$A$1:$I$89,3,0)*VLOOKUP('Données projet'!$B$11,Paramètres!$A$1:$I$89,5,0)</f>
        <v>-9.6213170763803652E-14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177.54241137663234</v>
      </c>
      <c r="BJ179" s="59">
        <f t="shared" si="146"/>
        <v>114.71095021456071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6.4992115571367055</v>
      </c>
      <c r="BQ179" s="21">
        <f>EXP(-LN(2)/25)*BQ178+(1-EXP(-LN(2)/25))/(LN(2)/25)*Calculateur!BL179*Calculateur!BN179*VLOOKUP('Données projet'!$B$11,Paramètres!$A$1:$I$89,3,0)*0.475*44/12</f>
        <v>5.3386814542743197</v>
      </c>
      <c r="BR179" s="21">
        <f>EXP(-LN(2)/2)*BR178+(1-EXP(-LN(2)/2))/(LN(2)/2)*BL179*BO179*VLOOKUP('Données projet'!$B$11,Paramètres!$A$1:$I$89,3,0)*0.475*44/12</f>
        <v>4.2558997134475354E-8</v>
      </c>
      <c r="BS179" s="22">
        <f t="shared" si="169"/>
        <v>11.837893053970022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-9.9475983006414026E-14</v>
      </c>
      <c r="BZ179" s="13">
        <f>BY179*VLOOKUP('Données projet'!$B$12,Paramètres!$A$1:$I$89,3,0)*VLOOKUP('Données projet'!$B$12,Paramètres!$A$1:$I$89,5,0)</f>
        <v>-1.0707594810810407E-13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192.88977161349993</v>
      </c>
      <c r="CE179" s="59">
        <f t="shared" si="148"/>
        <v>122.91376861456772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7.2329935071360145</v>
      </c>
      <c r="CL179" s="21">
        <f>EXP(-LN(2)/25)*CL178+(1-EXP(-LN(2)/25))/(LN(2)/25)*Calculateur!CG179*Calculateur!CI179*VLOOKUP('Données projet'!$B$12,Paramètres!$A$1:$I$89,3,0)*0.475*44/12</f>
        <v>5.9414358120149693</v>
      </c>
      <c r="CM179" s="21">
        <f>EXP(-LN(2)/2)*CM178+(1-EXP(-LN(2)/2))/(LN(2)/2)*CG179*CJ179*VLOOKUP('Données projet'!$B$12,Paramètres!$A$1:$I$89,3,0)*0.475*44/12</f>
        <v>4.7364045198045142E-8</v>
      </c>
      <c r="CN179" s="22">
        <f t="shared" si="172"/>
        <v>13.17442936651503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-8.5265128291212022E-14</v>
      </c>
      <c r="CU179" s="17">
        <f>CT179*VLOOKUP('Données projet'!$B$13,Paramètres!$A$1:$I$89,3,0)*VLOOKUP('Données projet'!$B$13,Paramètres!$A$1:$I$89,5,0)</f>
        <v>-6.9167072069831198E-14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163.16040389635825</v>
      </c>
      <c r="CZ179" s="59">
        <f t="shared" si="150"/>
        <v>138.57856782158811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1.4907931049942578</v>
      </c>
      <c r="DH179" s="21">
        <f>EXP(-LN(2)/2)*DH178+(1-EXP(-LN(2)/2))/(LN(2)/2)*DB179*DE179*VLOOKUP('Données projet'!$B$13,Paramètres!$A$1:$I$89,3,0)*0.475*44/12</f>
        <v>2.8472944021849223E-12</v>
      </c>
      <c r="DI179" s="22">
        <f t="shared" si="175"/>
        <v>1.490793104997105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1.7053025658242404E-13</v>
      </c>
      <c r="DP179" s="17">
        <f>DO179*VLOOKUP('Données projet'!$B$14,Paramètres!$A$1:$I$89,3,0)*VLOOKUP('Données projet'!$B$14,Paramètres!$A$1:$I$89,5,0)</f>
        <v>7.9808160080574461E-14</v>
      </c>
      <c r="DQ179" s="13">
        <f t="shared" si="176"/>
        <v>1.2308384591775343E-12</v>
      </c>
      <c r="DR179" s="20">
        <f t="shared" si="177"/>
        <v>2.282709528541206E-12</v>
      </c>
      <c r="DS179" s="59">
        <f t="shared" si="125"/>
        <v>292.61713491722134</v>
      </c>
      <c r="DT179" s="59">
        <f ca="1">AVERAGE(OFFSET($DS$3,0,0,'Données projet'!$E$14+1,1))-AVERAGE(OFFSET($H$3,0,0,'Données projet'!$E$14+1,1))</f>
        <v>343.44193069803498</v>
      </c>
      <c r="DU179" s="59">
        <f t="shared" si="152"/>
        <v>280.67367019483481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59.659596791034858</v>
      </c>
      <c r="EB179" s="21">
        <f>EXP(-LN(2)/25)*EB178+(1-EXP(-LN(2)/25))/(LN(2)/25)*Calculateur!DW179*Calculateur!DY179*VLOOKUP('Données projet'!$B$14,Paramètres!$A$1:$I$89,3,0)*0.475*44/12</f>
        <v>12.897900457122303</v>
      </c>
      <c r="EC179" s="21">
        <f>EXP(-LN(2)/2)*EC178+(1-EXP(-LN(2)/2))/(LN(2)/2)*DW179*DZ179*VLOOKUP('Données projet'!$B$14,Paramètres!$A$1:$I$89,3,0)*0.475*44/12</f>
        <v>5.4636904674580103E-6</v>
      </c>
      <c r="ED179" s="22">
        <f t="shared" si="178"/>
        <v>72.557502711847633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173.07692307692307</v>
      </c>
      <c r="EK179" s="17">
        <f>EJ179*VLOOKUP('Données projet'!$B$15,Paramètres!$A$1:$I$89,3,0)*VLOOKUP('Données projet'!$B$15,Paramètres!$A$1:$I$89,5,0)</f>
        <v>175.5</v>
      </c>
      <c r="EL179" s="13">
        <f t="shared" si="179"/>
        <v>44.319548641773906</v>
      </c>
      <c r="EM179" s="20">
        <f t="shared" si="180"/>
        <v>382.85238055108954</v>
      </c>
      <c r="EN179" s="59">
        <f t="shared" si="128"/>
        <v>675.4695154683086</v>
      </c>
      <c r="EO179" s="59">
        <f ca="1">AVERAGE(OFFSET($EN$3,0,0,'Données projet'!$E$15+1,1))-AVERAGE(OFFSET($H$3,0,0,'Données projet'!$E$15+1,1))</f>
        <v>270.0029254736703</v>
      </c>
      <c r="EP179" s="59">
        <f t="shared" si="154"/>
        <v>183.80022202211441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3.7220811885119485</v>
      </c>
      <c r="EW179" s="21">
        <f>EXP(-LN(2)/25)*EW178+(1-EXP(-LN(2)/25))/(LN(2)/25)*Calculateur!ER179*Calculateur!ET179*VLOOKUP('Données projet'!$B$15,Paramètres!$A$1:$I$89,3,0)*0.475*44/12</f>
        <v>2.755048281309969</v>
      </c>
      <c r="EX179" s="21">
        <f>EXP(-LN(2)/2)*EX178+(1-EXP(-LN(2)/2))/(LN(2)/2)*ER179*EU179*VLOOKUP('Données projet'!$B$15,Paramètres!$A$1:$I$89,3,0)*0.475*44/12</f>
        <v>7.939744192302177E-10</v>
      </c>
      <c r="EY179" s="22">
        <f t="shared" si="181"/>
        <v>6.4771294706158926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-1.4897523215040567E-13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328.93328163316073</v>
      </c>
      <c r="FK179" s="59">
        <f t="shared" si="156"/>
        <v>320.27831321887072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6.8831623444601213</v>
      </c>
      <c r="FR179" s="21">
        <f>EXP(-LN(2)/25)*FR178+(1-EXP(-LN(2)/25))/(LN(2)/25)*Calculateur!FM179*Calculateur!FO179*VLOOKUP('Données projet'!$B$16,Paramètres!$A$1:$I$89,3,0)*0.475*44/12</f>
        <v>3.2481784143035513</v>
      </c>
      <c r="FS179" s="21">
        <f>EXP(-LN(2)/2)*FS178+(1-EXP(-LN(2)/2))/(LN(2)/2)*FM179*FP179*VLOOKUP('Données projet'!$B$16,Paramètres!$A$1:$I$89,3,0)*0.475*44/12</f>
        <v>2.02774717974329E-13</v>
      </c>
      <c r="FT179" s="22">
        <f t="shared" si="184"/>
        <v>10.131340758763875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173.07692307692307</v>
      </c>
      <c r="GA179" s="17">
        <f>FZ179*VLOOKUP('Données projet'!$B$17,Paramètres!$A$1:$I$89,3,0)*VLOOKUP('Données projet'!$B$17,Paramètres!$A$1:$I$89,5,0)</f>
        <v>116.1</v>
      </c>
      <c r="GB179" s="13">
        <f t="shared" si="185"/>
        <v>30.763646636385982</v>
      </c>
      <c r="GC179" s="20">
        <f t="shared" si="186"/>
        <v>255.78751789170556</v>
      </c>
      <c r="GD179" s="59">
        <f t="shared" si="134"/>
        <v>548.40465280892465</v>
      </c>
      <c r="GE179" s="59">
        <f ca="1">AVERAGE(OFFSET($GD$3,0,0,'Données projet'!$E$17+1,1))-AVERAGE(OFFSET($H$3,0,0,'Données projet'!$E$17+1,1))</f>
        <v>192.88444860121191</v>
      </c>
      <c r="GF179" s="59">
        <f t="shared" si="158"/>
        <v>136.13737493732751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3.0349277383251212</v>
      </c>
      <c r="GM179" s="21">
        <f>EXP(-LN(2)/25)*GM178+(1-EXP(-LN(2)/25))/(LN(2)/25)*Calculateur!GH179*Calculateur!GJ179*VLOOKUP('Données projet'!$B$17,Paramètres!$A$1:$I$89,3,0)*0.475*44/12</f>
        <v>2.2464239832219741</v>
      </c>
      <c r="GN179" s="21">
        <f>EXP(-LN(2)/2)*GN178+(1-EXP(-LN(2)/2))/(LN(2)/2)*GH179*GK179*VLOOKUP('Données projet'!$B$17,Paramètres!$A$1:$I$89,3,0)*0.475*44/12</f>
        <v>5.2524461579845193E-10</v>
      </c>
      <c r="GO179" s="21">
        <f t="shared" si="187"/>
        <v>5.2813517220723396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69.80467315924156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0.85000000000000009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3.1166666666666671</v>
      </c>
      <c r="H180" s="67">
        <f t="shared" si="110"/>
        <v>244.19999999999996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1048.2850594364152</v>
      </c>
      <c r="S180" s="59">
        <f ca="1">AVERAGE(OFFSET($R$3,0,0,'Données projet'!$E$9+1,1))-AVERAGE(OFFSET($H$3,0,0,'Données projet'!$E$9+1,1))</f>
        <v>643.492472896403</v>
      </c>
      <c r="T180" s="59">
        <f t="shared" si="142"/>
        <v>285.0259479655341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-2.2168933355715128E-13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289.89907502443873</v>
      </c>
      <c r="AO180" s="59">
        <f t="shared" si="144"/>
        <v>267.42183550360301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4.7213794299640943</v>
      </c>
      <c r="AV180" s="21">
        <f>EXP(-LN(2)/25)*AV179+(1-EXP(-LN(2)/25))/(LN(2)/25)*Calculateur!AQ180*Calculateur!AS180*VLOOKUP('Données projet'!$B$10,Paramètres!$A$1:$I$89,3,0)*0.475*44/12</f>
        <v>2.3171811768917876</v>
      </c>
      <c r="AW180" s="21">
        <f>EXP(-LN(2)/2)*AW179+(1-EXP(-LN(2)/2))/(LN(2)/2)*AQ180*AT180*VLOOKUP('Données projet'!$B$10,Paramètres!$A$1:$I$89,3,0)*0.475*44/12</f>
        <v>2.373855719038831E-14</v>
      </c>
      <c r="AX180" s="21">
        <f t="shared" si="166"/>
        <v>7.0385606068559055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-9.9475983006414026E-14</v>
      </c>
      <c r="BE180" s="13">
        <f>BD180*VLOOKUP('Données projet'!$B$11,Paramètres!$A$1:$I$89,3,0)*VLOOKUP('Données projet'!$B$11,Paramètres!$A$1:$I$89,5,0)</f>
        <v>-9.6213170763803652E-14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177.54241137663234</v>
      </c>
      <c r="BJ180" s="59">
        <f t="shared" si="146"/>
        <v>114.71095021456071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6.3717659826288795</v>
      </c>
      <c r="BQ180" s="21">
        <f>EXP(-LN(2)/25)*BQ179+(1-EXP(-LN(2)/25))/(LN(2)/25)*Calculateur!BL180*Calculateur!BN180*VLOOKUP('Données projet'!$B$11,Paramètres!$A$1:$I$89,3,0)*0.475*44/12</f>
        <v>5.1926949291581321</v>
      </c>
      <c r="BR180" s="21">
        <f>EXP(-LN(2)/2)*BR179+(1-EXP(-LN(2)/2))/(LN(2)/2)*BL180*BO180*VLOOKUP('Données projet'!$B$11,Paramètres!$A$1:$I$89,3,0)*0.475*44/12</f>
        <v>3.0093755474286367E-8</v>
      </c>
      <c r="BS180" s="22">
        <f t="shared" si="169"/>
        <v>11.564460941880768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-9.9475983006414026E-14</v>
      </c>
      <c r="BZ180" s="13">
        <f>BY180*VLOOKUP('Données projet'!$B$12,Paramètres!$A$1:$I$89,3,0)*VLOOKUP('Données projet'!$B$12,Paramètres!$A$1:$I$89,5,0)</f>
        <v>-1.0707594810810407E-13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192.88977161349993</v>
      </c>
      <c r="CE180" s="59">
        <f t="shared" si="148"/>
        <v>122.91376861456772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7.0911589161514987</v>
      </c>
      <c r="CL180" s="21">
        <f>EXP(-LN(2)/25)*CL179+(1-EXP(-LN(2)/25))/(LN(2)/25)*Calculateur!CG180*Calculateur!CI180*VLOOKUP('Données projet'!$B$12,Paramètres!$A$1:$I$89,3,0)*0.475*44/12</f>
        <v>5.7789669372888897</v>
      </c>
      <c r="CM180" s="21">
        <f>EXP(-LN(2)/2)*CM179+(1-EXP(-LN(2)/2))/(LN(2)/2)*CG180*CJ180*VLOOKUP('Données projet'!$B$12,Paramètres!$A$1:$I$89,3,0)*0.475*44/12</f>
        <v>3.3491437543963853E-8</v>
      </c>
      <c r="CN180" s="22">
        <f t="shared" si="172"/>
        <v>12.870125886931826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-8.5265128291212022E-14</v>
      </c>
      <c r="CU180" s="17">
        <f>CT180*VLOOKUP('Données projet'!$B$13,Paramètres!$A$1:$I$89,3,0)*VLOOKUP('Données projet'!$B$13,Paramètres!$A$1:$I$89,5,0)</f>
        <v>-6.9167072069831198E-14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163.16040389635825</v>
      </c>
      <c r="CZ180" s="59">
        <f t="shared" si="150"/>
        <v>138.57856782158811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1.4500272891407877</v>
      </c>
      <c r="DH180" s="21">
        <f>EXP(-LN(2)/2)*DH179+(1-EXP(-LN(2)/2))/(LN(2)/2)*DB180*DE180*VLOOKUP('Données projet'!$B$13,Paramètres!$A$1:$I$89,3,0)*0.475*44/12</f>
        <v>2.0133411798194554E-12</v>
      </c>
      <c r="DI180" s="22">
        <f t="shared" si="175"/>
        <v>1.450027289142801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1.7053025658242404E-13</v>
      </c>
      <c r="DP180" s="17">
        <f>DO180*VLOOKUP('Données projet'!$B$14,Paramètres!$A$1:$I$89,3,0)*VLOOKUP('Données projet'!$B$14,Paramètres!$A$1:$I$89,5,0)</f>
        <v>7.9808160080574461E-14</v>
      </c>
      <c r="DQ180" s="13">
        <f t="shared" si="176"/>
        <v>1.2308384591775343E-12</v>
      </c>
      <c r="DR180" s="20">
        <f t="shared" si="177"/>
        <v>2.282709528541206E-12</v>
      </c>
      <c r="DS180" s="59">
        <f t="shared" si="125"/>
        <v>292.62955935856115</v>
      </c>
      <c r="DT180" s="59">
        <f ca="1">AVERAGE(OFFSET($DS$3,0,0,'Données projet'!$E$14+1,1))-AVERAGE(OFFSET($H$3,0,0,'Données projet'!$E$14+1,1))</f>
        <v>343.44193069803498</v>
      </c>
      <c r="DU180" s="59">
        <f t="shared" si="152"/>
        <v>280.67367019483481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58.489708486723615</v>
      </c>
      <c r="EB180" s="21">
        <f>EXP(-LN(2)/25)*EB179+(1-EXP(-LN(2)/25))/(LN(2)/25)*Calculateur!DW180*Calculateur!DY180*VLOOKUP('Données projet'!$B$14,Paramètres!$A$1:$I$89,3,0)*0.475*44/12</f>
        <v>12.545206690851186</v>
      </c>
      <c r="EC180" s="21">
        <f>EXP(-LN(2)/2)*EC179+(1-EXP(-LN(2)/2))/(LN(2)/2)*DW180*DZ180*VLOOKUP('Données projet'!$B$14,Paramètres!$A$1:$I$89,3,0)*0.475*44/12</f>
        <v>3.8634125798438567E-6</v>
      </c>
      <c r="ED180" s="22">
        <f t="shared" si="178"/>
        <v>71.034919040987376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173.07692307692307</v>
      </c>
      <c r="EK180" s="17">
        <f>EJ180*VLOOKUP('Données projet'!$B$15,Paramètres!$A$1:$I$89,3,0)*VLOOKUP('Données projet'!$B$15,Paramètres!$A$1:$I$89,5,0)</f>
        <v>175.5</v>
      </c>
      <c r="EL180" s="13">
        <f t="shared" si="179"/>
        <v>44.319548641773906</v>
      </c>
      <c r="EM180" s="20">
        <f t="shared" si="180"/>
        <v>382.85238055108954</v>
      </c>
      <c r="EN180" s="59">
        <f t="shared" si="128"/>
        <v>675.48193990964842</v>
      </c>
      <c r="EO180" s="59">
        <f ca="1">AVERAGE(OFFSET($EN$3,0,0,'Données projet'!$E$15+1,1))-AVERAGE(OFFSET($H$3,0,0,'Données projet'!$E$15+1,1))</f>
        <v>270.0029254736703</v>
      </c>
      <c r="EP180" s="59">
        <f t="shared" si="154"/>
        <v>183.80022202211441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3.649093446650586</v>
      </c>
      <c r="EW180" s="21">
        <f>EXP(-LN(2)/25)*EW179+(1-EXP(-LN(2)/25))/(LN(2)/25)*Calculateur!ER180*Calculateur!ET180*VLOOKUP('Données projet'!$B$15,Paramètres!$A$1:$I$89,3,0)*0.475*44/12</f>
        <v>2.6797113411758557</v>
      </c>
      <c r="EX180" s="21">
        <f>EXP(-LN(2)/2)*EX179+(1-EXP(-LN(2)/2))/(LN(2)/2)*ER180*EU180*VLOOKUP('Données projet'!$B$15,Paramètres!$A$1:$I$89,3,0)*0.475*44/12</f>
        <v>5.6142469592633769E-10</v>
      </c>
      <c r="EY180" s="22">
        <f t="shared" si="181"/>
        <v>6.3288047883878669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-1.4897523215040567E-13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328.93328163316073</v>
      </c>
      <c r="FK180" s="59">
        <f t="shared" si="156"/>
        <v>320.27831321887072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6.7481877291997394</v>
      </c>
      <c r="FR180" s="21">
        <f>EXP(-LN(2)/25)*FR179+(1-EXP(-LN(2)/25))/(LN(2)/25)*Calculateur!FM180*Calculateur!FO180*VLOOKUP('Données projet'!$B$16,Paramètres!$A$1:$I$89,3,0)*0.475*44/12</f>
        <v>3.1593568047501415</v>
      </c>
      <c r="FS180" s="21">
        <f>EXP(-LN(2)/2)*FS179+(1-EXP(-LN(2)/2))/(LN(2)/2)*FM180*FP180*VLOOKUP('Données projet'!$B$16,Paramètres!$A$1:$I$89,3,0)*0.475*44/12</f>
        <v>1.4338337813283774E-13</v>
      </c>
      <c r="FT180" s="22">
        <f t="shared" si="184"/>
        <v>9.9075445339500252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173.07692307692307</v>
      </c>
      <c r="GA180" s="17">
        <f>FZ180*VLOOKUP('Données projet'!$B$17,Paramètres!$A$1:$I$89,3,0)*VLOOKUP('Données projet'!$B$17,Paramètres!$A$1:$I$89,5,0)</f>
        <v>116.1</v>
      </c>
      <c r="GB180" s="13">
        <f t="shared" si="185"/>
        <v>30.763646636385982</v>
      </c>
      <c r="GC180" s="20">
        <f t="shared" si="186"/>
        <v>255.78751789170556</v>
      </c>
      <c r="GD180" s="59">
        <f t="shared" si="134"/>
        <v>548.41707725026447</v>
      </c>
      <c r="GE180" s="59">
        <f ca="1">AVERAGE(OFFSET($GD$3,0,0,'Données projet'!$E$17+1,1))-AVERAGE(OFFSET($H$3,0,0,'Données projet'!$E$17+1,1))</f>
        <v>192.88444860121191</v>
      </c>
      <c r="GF180" s="59">
        <f t="shared" si="158"/>
        <v>136.13737493732751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2.9754146564997028</v>
      </c>
      <c r="GM180" s="21">
        <f>EXP(-LN(2)/25)*GM179+(1-EXP(-LN(2)/25))/(LN(2)/25)*Calculateur!GH180*Calculateur!GJ180*VLOOKUP('Données projet'!$B$17,Paramètres!$A$1:$I$89,3,0)*0.475*44/12</f>
        <v>2.1849954012664661</v>
      </c>
      <c r="GN180" s="21">
        <f>EXP(-LN(2)/2)*GN179+(1-EXP(-LN(2)/2))/(LN(2)/2)*GH180*GK180*VLOOKUP('Données projet'!$B$17,Paramètres!$A$1:$I$89,3,0)*0.475*44/12</f>
        <v>3.7140402961280817E-10</v>
      </c>
      <c r="GO180" s="21">
        <f t="shared" si="187"/>
        <v>5.1604100581375736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69.80806164324332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0.85000000000000009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3.1166666666666671</v>
      </c>
      <c r="H181" s="67">
        <f t="shared" si="110"/>
        <v>244.19999999999996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810.10298565953758</v>
      </c>
      <c r="S181" s="59">
        <f ca="1">AVERAGE(OFFSET($R$3,0,0,'Données projet'!$E$9+1,1))-AVERAGE(OFFSET($H$3,0,0,'Données projet'!$E$9+1,1))</f>
        <v>643.492472896403</v>
      </c>
      <c r="T181" s="59">
        <f t="shared" si="142"/>
        <v>285.0259479655341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-2.2168933355715128E-13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289.89907502443873</v>
      </c>
      <c r="AO181" s="59">
        <f t="shared" si="144"/>
        <v>267.42183550360301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4.6287960590995985</v>
      </c>
      <c r="AV181" s="21">
        <f>EXP(-LN(2)/25)*AV180+(1-EXP(-LN(2)/25))/(LN(2)/25)*Calculateur!AQ181*Calculateur!AS181*VLOOKUP('Données projet'!$B$10,Paramètres!$A$1:$I$89,3,0)*0.475*44/12</f>
        <v>2.2538177357544193</v>
      </c>
      <c r="AW181" s="21">
        <f>EXP(-LN(2)/2)*AW180+(1-EXP(-LN(2)/2))/(LN(2)/2)*AQ181*AT181*VLOOKUP('Données projet'!$B$10,Paramètres!$A$1:$I$89,3,0)*0.475*44/12</f>
        <v>1.6785694764908251E-14</v>
      </c>
      <c r="AX181" s="21">
        <f t="shared" si="166"/>
        <v>6.8826137948540351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-9.9475983006414026E-14</v>
      </c>
      <c r="BE181" s="13">
        <f>BD181*VLOOKUP('Données projet'!$B$11,Paramètres!$A$1:$I$89,3,0)*VLOOKUP('Données projet'!$B$11,Paramètres!$A$1:$I$89,5,0)</f>
        <v>-9.6213170763803652E-14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177.54241137663234</v>
      </c>
      <c r="BJ181" s="59">
        <f t="shared" si="146"/>
        <v>114.71095021456071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6.2468195381030274</v>
      </c>
      <c r="BQ181" s="21">
        <f>EXP(-LN(2)/25)*BQ180+(1-EXP(-LN(2)/25))/(LN(2)/25)*Calculateur!BL181*Calculateur!BN181*VLOOKUP('Données projet'!$B$11,Paramètres!$A$1:$I$89,3,0)*0.475*44/12</f>
        <v>5.0507004132483448</v>
      </c>
      <c r="BR181" s="21">
        <f>EXP(-LN(2)/2)*BR180+(1-EXP(-LN(2)/2))/(LN(2)/2)*BL181*BO181*VLOOKUP('Données projet'!$B$11,Paramètres!$A$1:$I$89,3,0)*0.475*44/12</f>
        <v>2.1279498567237677E-8</v>
      </c>
      <c r="BS181" s="22">
        <f t="shared" si="169"/>
        <v>11.297519972630871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-9.9475983006414026E-14</v>
      </c>
      <c r="BZ181" s="13">
        <f>BY181*VLOOKUP('Données projet'!$B$12,Paramètres!$A$1:$I$89,3,0)*VLOOKUP('Données projet'!$B$12,Paramètres!$A$1:$I$89,5,0)</f>
        <v>-1.0707594810810407E-13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192.88977161349993</v>
      </c>
      <c r="CE181" s="59">
        <f t="shared" si="148"/>
        <v>122.91376861456772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6.9521056149856308</v>
      </c>
      <c r="CL181" s="21">
        <f>EXP(-LN(2)/25)*CL180+(1-EXP(-LN(2)/25))/(LN(2)/25)*Calculateur!CG181*Calculateur!CI181*VLOOKUP('Données projet'!$B$12,Paramètres!$A$1:$I$89,3,0)*0.475*44/12</f>
        <v>5.6209407824860618</v>
      </c>
      <c r="CM181" s="21">
        <f>EXP(-LN(2)/2)*CM180+(1-EXP(-LN(2)/2))/(LN(2)/2)*CG181*CJ181*VLOOKUP('Données projet'!$B$12,Paramètres!$A$1:$I$89,3,0)*0.475*44/12</f>
        <v>2.3682022599022571E-8</v>
      </c>
      <c r="CN181" s="22">
        <f t="shared" si="172"/>
        <v>12.573046421153716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-8.5265128291212022E-14</v>
      </c>
      <c r="CU181" s="17">
        <f>CT181*VLOOKUP('Données projet'!$B$13,Paramètres!$A$1:$I$89,3,0)*VLOOKUP('Données projet'!$B$13,Paramètres!$A$1:$I$89,5,0)</f>
        <v>-6.9167072069831198E-14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163.16040389635825</v>
      </c>
      <c r="CZ181" s="59">
        <f t="shared" si="150"/>
        <v>138.57856782158811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1.4103762166656117</v>
      </c>
      <c r="DH181" s="21">
        <f>EXP(-LN(2)/2)*DH180+(1-EXP(-LN(2)/2))/(LN(2)/2)*DB181*DE181*VLOOKUP('Données projet'!$B$13,Paramètres!$A$1:$I$89,3,0)*0.475*44/12</f>
        <v>1.4236472010924611E-12</v>
      </c>
      <c r="DI181" s="22">
        <f t="shared" si="175"/>
        <v>1.4103762166670355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1.7053025658242404E-13</v>
      </c>
      <c r="DP181" s="17">
        <f>DO181*VLOOKUP('Données projet'!$B$14,Paramètres!$A$1:$I$89,3,0)*VLOOKUP('Données projet'!$B$14,Paramètres!$A$1:$I$89,5,0)</f>
        <v>7.9808160080574461E-14</v>
      </c>
      <c r="DQ181" s="13">
        <f t="shared" si="176"/>
        <v>1.2308384591775343E-12</v>
      </c>
      <c r="DR181" s="20">
        <f t="shared" si="177"/>
        <v>2.282709528541206E-12</v>
      </c>
      <c r="DS181" s="59">
        <f t="shared" si="125"/>
        <v>292.64176826362052</v>
      </c>
      <c r="DT181" s="59">
        <f ca="1">AVERAGE(OFFSET($DS$3,0,0,'Données projet'!$E$14+1,1))-AVERAGE(OFFSET($H$3,0,0,'Données projet'!$E$14+1,1))</f>
        <v>343.44193069803498</v>
      </c>
      <c r="DU181" s="59">
        <f t="shared" si="152"/>
        <v>280.67367019483481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57.342760978498511</v>
      </c>
      <c r="EB181" s="21">
        <f>EXP(-LN(2)/25)*EB180+(1-EXP(-LN(2)/25))/(LN(2)/25)*Calculateur!DW181*Calculateur!DY181*VLOOKUP('Données projet'!$B$14,Paramètres!$A$1:$I$89,3,0)*0.475*44/12</f>
        <v>12.202157354166113</v>
      </c>
      <c r="EC181" s="21">
        <f>EXP(-LN(2)/2)*EC180+(1-EXP(-LN(2)/2))/(LN(2)/2)*DW181*DZ181*VLOOKUP('Données projet'!$B$14,Paramètres!$A$1:$I$89,3,0)*0.475*44/12</f>
        <v>2.7318452337290052E-6</v>
      </c>
      <c r="ED181" s="22">
        <f t="shared" si="178"/>
        <v>69.54492106450985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173.07692307692307</v>
      </c>
      <c r="EK181" s="17">
        <f>EJ181*VLOOKUP('Données projet'!$B$15,Paramètres!$A$1:$I$89,3,0)*VLOOKUP('Données projet'!$B$15,Paramètres!$A$1:$I$89,5,0)</f>
        <v>175.5</v>
      </c>
      <c r="EL181" s="13">
        <f t="shared" si="179"/>
        <v>44.319548641773906</v>
      </c>
      <c r="EM181" s="20">
        <f t="shared" si="180"/>
        <v>382.85238055108954</v>
      </c>
      <c r="EN181" s="59">
        <f t="shared" si="128"/>
        <v>675.49414881470784</v>
      </c>
      <c r="EO181" s="59">
        <f ca="1">AVERAGE(OFFSET($EN$3,0,0,'Données projet'!$E$15+1,1))-AVERAGE(OFFSET($H$3,0,0,'Données projet'!$E$15+1,1))</f>
        <v>270.0029254736703</v>
      </c>
      <c r="EP181" s="59">
        <f t="shared" si="154"/>
        <v>183.80022202211441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3.577536949888998</v>
      </c>
      <c r="EW181" s="21">
        <f>EXP(-LN(2)/25)*EW180+(1-EXP(-LN(2)/25))/(LN(2)/25)*Calculateur!ER181*Calculateur!ET181*VLOOKUP('Données projet'!$B$15,Paramètres!$A$1:$I$89,3,0)*0.475*44/12</f>
        <v>2.6064344936315069</v>
      </c>
      <c r="EX181" s="21">
        <f>EXP(-LN(2)/2)*EX180+(1-EXP(-LN(2)/2))/(LN(2)/2)*ER181*EU181*VLOOKUP('Données projet'!$B$15,Paramètres!$A$1:$I$89,3,0)*0.475*44/12</f>
        <v>3.9698720961510885E-10</v>
      </c>
      <c r="EY181" s="22">
        <f t="shared" si="181"/>
        <v>6.1839714439174926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-1.4897523215040567E-13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328.93328163316073</v>
      </c>
      <c r="FK181" s="59">
        <f t="shared" si="156"/>
        <v>320.27831321887072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6.615859883818227</v>
      </c>
      <c r="FR181" s="21">
        <f>EXP(-LN(2)/25)*FR180+(1-EXP(-LN(2)/25))/(LN(2)/25)*Calculateur!FM181*Calculateur!FO181*VLOOKUP('Données projet'!$B$16,Paramètres!$A$1:$I$89,3,0)*0.475*44/12</f>
        <v>3.0729640267808951</v>
      </c>
      <c r="FS181" s="21">
        <f>EXP(-LN(2)/2)*FS180+(1-EXP(-LN(2)/2))/(LN(2)/2)*FM181*FP181*VLOOKUP('Données projet'!$B$16,Paramètres!$A$1:$I$89,3,0)*0.475*44/12</f>
        <v>1.013873589871645E-13</v>
      </c>
      <c r="FT181" s="22">
        <f t="shared" si="184"/>
        <v>9.6888239105992238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173.07692307692307</v>
      </c>
      <c r="GA181" s="17">
        <f>FZ181*VLOOKUP('Données projet'!$B$17,Paramètres!$A$1:$I$89,3,0)*VLOOKUP('Données projet'!$B$17,Paramètres!$A$1:$I$89,5,0)</f>
        <v>116.1</v>
      </c>
      <c r="GB181" s="13">
        <f t="shared" si="185"/>
        <v>30.763646636385982</v>
      </c>
      <c r="GC181" s="20">
        <f t="shared" si="186"/>
        <v>255.78751789170556</v>
      </c>
      <c r="GD181" s="59">
        <f t="shared" si="134"/>
        <v>548.42928615532378</v>
      </c>
      <c r="GE181" s="59">
        <f ca="1">AVERAGE(OFFSET($GD$3,0,0,'Données projet'!$E$17+1,1))-AVERAGE(OFFSET($H$3,0,0,'Données projet'!$E$17+1,1))</f>
        <v>192.88444860121191</v>
      </c>
      <c r="GF181" s="59">
        <f t="shared" si="158"/>
        <v>136.13737493732751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2.9170685899094853</v>
      </c>
      <c r="GM181" s="21">
        <f>EXP(-LN(2)/25)*GM180+(1-EXP(-LN(2)/25))/(LN(2)/25)*Calculateur!GH181*Calculateur!GJ181*VLOOKUP('Données projet'!$B$17,Paramètres!$A$1:$I$89,3,0)*0.475*44/12</f>
        <v>2.1252465871149204</v>
      </c>
      <c r="GN181" s="21">
        <f>EXP(-LN(2)/2)*GN180+(1-EXP(-LN(2)/2))/(LN(2)/2)*GH181*GK181*VLOOKUP('Données projet'!$B$17,Paramètres!$A$1:$I$89,3,0)*0.475*44/12</f>
        <v>2.6262230789922596E-10</v>
      </c>
      <c r="GO181" s="21">
        <f t="shared" si="187"/>
        <v>5.042315177287028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69.811391344623161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0.85000000000000009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3.1166666666666671</v>
      </c>
      <c r="H182" s="67">
        <f t="shared" si="110"/>
        <v>244.19999999999996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817.31468743495952</v>
      </c>
      <c r="S182" s="59">
        <f ca="1">AVERAGE(OFFSET($R$3,0,0,'Données projet'!$E$9+1,1))-AVERAGE(OFFSET($H$3,0,0,'Données projet'!$E$9+1,1))</f>
        <v>643.492472896403</v>
      </c>
      <c r="T182" s="59">
        <f t="shared" si="142"/>
        <v>285.0259479655341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-2.2168933355715128E-13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289.89907502443873</v>
      </c>
      <c r="AO182" s="59">
        <f t="shared" si="144"/>
        <v>267.42183550360301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4.5380281916674754</v>
      </c>
      <c r="AV182" s="21">
        <f>EXP(-LN(2)/25)*AV181+(1-EXP(-LN(2)/25))/(LN(2)/25)*Calculateur!AQ182*Calculateur!AS182*VLOOKUP('Données projet'!$B$10,Paramètres!$A$1:$I$89,3,0)*0.475*44/12</f>
        <v>2.1921869712470912</v>
      </c>
      <c r="AW182" s="21">
        <f>EXP(-LN(2)/2)*AW181+(1-EXP(-LN(2)/2))/(LN(2)/2)*AQ182*AT182*VLOOKUP('Données projet'!$B$10,Paramètres!$A$1:$I$89,3,0)*0.475*44/12</f>
        <v>1.1869278595194155E-14</v>
      </c>
      <c r="AX182" s="21">
        <f t="shared" si="166"/>
        <v>6.7302151629145781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-9.9475983006414026E-14</v>
      </c>
      <c r="BE182" s="13">
        <f>BD182*VLOOKUP('Données projet'!$B$11,Paramètres!$A$1:$I$89,3,0)*VLOOKUP('Données projet'!$B$11,Paramètres!$A$1:$I$89,5,0)</f>
        <v>-9.6213170763803652E-14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177.54241137663234</v>
      </c>
      <c r="BJ182" s="59">
        <f t="shared" si="146"/>
        <v>114.71095021456071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6.1243232171445205</v>
      </c>
      <c r="BQ182" s="21">
        <f>EXP(-LN(2)/25)*BQ181+(1-EXP(-LN(2)/25))/(LN(2)/25)*Calculateur!BL182*Calculateur!BN182*VLOOKUP('Données projet'!$B$11,Paramètres!$A$1:$I$89,3,0)*0.475*44/12</f>
        <v>4.9125887448432772</v>
      </c>
      <c r="BR182" s="21">
        <f>EXP(-LN(2)/2)*BR181+(1-EXP(-LN(2)/2))/(LN(2)/2)*BL182*BO182*VLOOKUP('Données projet'!$B$11,Paramètres!$A$1:$I$89,3,0)*0.475*44/12</f>
        <v>1.5046877737143184E-8</v>
      </c>
      <c r="BS182" s="22">
        <f t="shared" si="169"/>
        <v>11.036911977034675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-9.9475983006414026E-14</v>
      </c>
      <c r="BZ182" s="13">
        <f>BY182*VLOOKUP('Données projet'!$B$12,Paramètres!$A$1:$I$89,3,0)*VLOOKUP('Données projet'!$B$12,Paramètres!$A$1:$I$89,5,0)</f>
        <v>-1.0707594810810407E-13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192.88977161349993</v>
      </c>
      <c r="CE182" s="59">
        <f t="shared" si="148"/>
        <v>122.91376861456772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6.8157790642414868</v>
      </c>
      <c r="CL182" s="21">
        <f>EXP(-LN(2)/25)*CL181+(1-EXP(-LN(2)/25))/(LN(2)/25)*Calculateur!CG182*Calculateur!CI182*VLOOKUP('Données projet'!$B$12,Paramètres!$A$1:$I$89,3,0)*0.475*44/12</f>
        <v>5.4672358611965519</v>
      </c>
      <c r="CM182" s="21">
        <f>EXP(-LN(2)/2)*CM181+(1-EXP(-LN(2)/2))/(LN(2)/2)*CG182*CJ182*VLOOKUP('Données projet'!$B$12,Paramètres!$A$1:$I$89,3,0)*0.475*44/12</f>
        <v>1.6745718771981926E-8</v>
      </c>
      <c r="CN182" s="22">
        <f t="shared" si="172"/>
        <v>12.283014942183758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-8.5265128291212022E-14</v>
      </c>
      <c r="CU182" s="17">
        <f>CT182*VLOOKUP('Données projet'!$B$13,Paramètres!$A$1:$I$89,3,0)*VLOOKUP('Données projet'!$B$13,Paramètres!$A$1:$I$89,5,0)</f>
        <v>-6.9167072069831198E-14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163.16040389635825</v>
      </c>
      <c r="CZ182" s="59">
        <f t="shared" si="150"/>
        <v>138.57856782158811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1.3718094048524287</v>
      </c>
      <c r="DH182" s="21">
        <f>EXP(-LN(2)/2)*DH181+(1-EXP(-LN(2)/2))/(LN(2)/2)*DB182*DE182*VLOOKUP('Données projet'!$B$13,Paramètres!$A$1:$I$89,3,0)*0.475*44/12</f>
        <v>1.0066705899097277E-12</v>
      </c>
      <c r="DI182" s="22">
        <f t="shared" si="175"/>
        <v>1.3718094048534355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1.7053025658242404E-13</v>
      </c>
      <c r="DP182" s="17">
        <f>DO182*VLOOKUP('Données projet'!$B$14,Paramètres!$A$1:$I$89,3,0)*VLOOKUP('Données projet'!$B$14,Paramètres!$A$1:$I$89,5,0)</f>
        <v>7.9808160080574461E-14</v>
      </c>
      <c r="DQ182" s="13">
        <f t="shared" si="176"/>
        <v>1.2308384591775343E-12</v>
      </c>
      <c r="DR182" s="20">
        <f t="shared" si="177"/>
        <v>2.282709528541206E-12</v>
      </c>
      <c r="DS182" s="59">
        <f t="shared" si="125"/>
        <v>292.65376537147222</v>
      </c>
      <c r="DT182" s="59">
        <f ca="1">AVERAGE(OFFSET($DS$3,0,0,'Données projet'!$E$14+1,1))-AVERAGE(OFFSET($H$3,0,0,'Données projet'!$E$14+1,1))</f>
        <v>343.44193069803498</v>
      </c>
      <c r="DU182" s="59">
        <f t="shared" si="152"/>
        <v>280.67367019483481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56.218304411340796</v>
      </c>
      <c r="EB182" s="21">
        <f>EXP(-LN(2)/25)*EB181+(1-EXP(-LN(2)/25))/(LN(2)/25)*Calculateur!DW182*Calculateur!DY182*VLOOKUP('Données projet'!$B$14,Paramètres!$A$1:$I$89,3,0)*0.475*44/12</f>
        <v>11.868488719632873</v>
      </c>
      <c r="EC182" s="21">
        <f>EXP(-LN(2)/2)*EC181+(1-EXP(-LN(2)/2))/(LN(2)/2)*DW182*DZ182*VLOOKUP('Données projet'!$B$14,Paramètres!$A$1:$I$89,3,0)*0.475*44/12</f>
        <v>1.9317062899219284E-6</v>
      </c>
      <c r="ED182" s="22">
        <f t="shared" si="178"/>
        <v>68.086795062679968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173.07692307692307</v>
      </c>
      <c r="EK182" s="17">
        <f>EJ182*VLOOKUP('Données projet'!$B$15,Paramètres!$A$1:$I$89,3,0)*VLOOKUP('Données projet'!$B$15,Paramètres!$A$1:$I$89,5,0)</f>
        <v>175.5</v>
      </c>
      <c r="EL182" s="13">
        <f t="shared" si="179"/>
        <v>44.319548641773906</v>
      </c>
      <c r="EM182" s="20">
        <f t="shared" si="180"/>
        <v>382.85238055108954</v>
      </c>
      <c r="EN182" s="59">
        <f t="shared" si="128"/>
        <v>675.50614592255943</v>
      </c>
      <c r="EO182" s="59">
        <f ca="1">AVERAGE(OFFSET($EN$3,0,0,'Données projet'!$E$15+1,1))-AVERAGE(OFFSET($H$3,0,0,'Données projet'!$E$15+1,1))</f>
        <v>270.0029254736703</v>
      </c>
      <c r="EP182" s="59">
        <f t="shared" si="154"/>
        <v>183.80022202211441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3.5073836323837515</v>
      </c>
      <c r="EW182" s="21">
        <f>EXP(-LN(2)/25)*EW181+(1-EXP(-LN(2)/25))/(LN(2)/25)*Calculateur!ER182*Calculateur!ET182*VLOOKUP('Données projet'!$B$15,Paramètres!$A$1:$I$89,3,0)*0.475*44/12</f>
        <v>2.5351614053367206</v>
      </c>
      <c r="EX182" s="21">
        <f>EXP(-LN(2)/2)*EX181+(1-EXP(-LN(2)/2))/(LN(2)/2)*ER182*EU182*VLOOKUP('Données projet'!$B$15,Paramètres!$A$1:$I$89,3,0)*0.475*44/12</f>
        <v>2.8071234796316884E-10</v>
      </c>
      <c r="EY182" s="22">
        <f t="shared" si="181"/>
        <v>6.0425450380011849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-1.4897523215040567E-13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328.93328163316073</v>
      </c>
      <c r="FK182" s="59">
        <f t="shared" si="156"/>
        <v>320.27831321887072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6.4861269067726299</v>
      </c>
      <c r="FR182" s="21">
        <f>EXP(-LN(2)/25)*FR181+(1-EXP(-LN(2)/25))/(LN(2)/25)*Calculateur!FM182*Calculateur!FO182*VLOOKUP('Données projet'!$B$16,Paramètres!$A$1:$I$89,3,0)*0.475*44/12</f>
        <v>2.9889336638684165</v>
      </c>
      <c r="FS182" s="21">
        <f>EXP(-LN(2)/2)*FS181+(1-EXP(-LN(2)/2))/(LN(2)/2)*FM182*FP182*VLOOKUP('Données projet'!$B$16,Paramètres!$A$1:$I$89,3,0)*0.475*44/12</f>
        <v>7.169168906641887E-14</v>
      </c>
      <c r="FT182" s="22">
        <f t="shared" si="184"/>
        <v>9.4750605706411175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173.07692307692307</v>
      </c>
      <c r="GA182" s="17">
        <f>FZ182*VLOOKUP('Données projet'!$B$17,Paramètres!$A$1:$I$89,3,0)*VLOOKUP('Données projet'!$B$17,Paramètres!$A$1:$I$89,5,0)</f>
        <v>116.1</v>
      </c>
      <c r="GB182" s="13">
        <f t="shared" si="185"/>
        <v>30.763646636385982</v>
      </c>
      <c r="GC182" s="20">
        <f t="shared" si="186"/>
        <v>255.78751789170556</v>
      </c>
      <c r="GD182" s="59">
        <f t="shared" si="134"/>
        <v>548.44128326317548</v>
      </c>
      <c r="GE182" s="59">
        <f ca="1">AVERAGE(OFFSET($GD$3,0,0,'Données projet'!$E$17+1,1))-AVERAGE(OFFSET($H$3,0,0,'Données projet'!$E$17+1,1))</f>
        <v>192.88444860121191</v>
      </c>
      <c r="GF182" s="59">
        <f t="shared" si="158"/>
        <v>136.13737493732751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2.8598666540975151</v>
      </c>
      <c r="GM182" s="21">
        <f>EXP(-LN(2)/25)*GM181+(1-EXP(-LN(2)/25))/(LN(2)/25)*Calculateur!GH182*Calculateur!GJ182*VLOOKUP('Données projet'!$B$17,Paramètres!$A$1:$I$89,3,0)*0.475*44/12</f>
        <v>2.0671316074284021</v>
      </c>
      <c r="GN182" s="21">
        <f>EXP(-LN(2)/2)*GN181+(1-EXP(-LN(2)/2))/(LN(2)/2)*GH182*GK182*VLOOKUP('Données projet'!$B$17,Paramètres!$A$1:$I$89,3,0)*0.475*44/12</f>
        <v>1.8570201480640409E-10</v>
      </c>
      <c r="GO182" s="21">
        <f t="shared" si="187"/>
        <v>4.9269982617116188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69.814663283128169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0.85000000000000009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3.1166666666666671</v>
      </c>
      <c r="H183" s="67">
        <f t="shared" si="110"/>
        <v>244.19999999999996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824.5240998554184</v>
      </c>
      <c r="S183" s="59">
        <f ca="1">AVERAGE(OFFSET($R$3,0,0,'Données projet'!$E$9+1,1))-AVERAGE(OFFSET($H$3,0,0,'Données projet'!$E$9+1,1))</f>
        <v>643.492472896403</v>
      </c>
      <c r="T183" s="59">
        <f t="shared" si="142"/>
        <v>285.0259479655341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-2.2168933355715128E-13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289.89907502443873</v>
      </c>
      <c r="AO183" s="59">
        <f t="shared" si="144"/>
        <v>267.42183550360301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4.4490402267527633</v>
      </c>
      <c r="AV183" s="21">
        <f>EXP(-LN(2)/25)*AV182+(1-EXP(-LN(2)/25))/(LN(2)/25)*Calculateur!AQ183*Calculateur!AS183*VLOOKUP('Données projet'!$B$10,Paramètres!$A$1:$I$89,3,0)*0.475*44/12</f>
        <v>2.1322415032362367</v>
      </c>
      <c r="AW183" s="21">
        <f>EXP(-LN(2)/2)*AW182+(1-EXP(-LN(2)/2))/(LN(2)/2)*AQ183*AT183*VLOOKUP('Données projet'!$B$10,Paramètres!$A$1:$I$89,3,0)*0.475*44/12</f>
        <v>8.3928473824541253E-15</v>
      </c>
      <c r="AX183" s="21">
        <f t="shared" si="166"/>
        <v>6.5812817299890076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-9.9475983006414026E-14</v>
      </c>
      <c r="BE183" s="13">
        <f>BD183*VLOOKUP('Données projet'!$B$11,Paramètres!$A$1:$I$89,3,0)*VLOOKUP('Données projet'!$B$11,Paramètres!$A$1:$I$89,5,0)</f>
        <v>-9.6213170763803652E-14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177.54241137663234</v>
      </c>
      <c r="BJ183" s="59">
        <f t="shared" si="146"/>
        <v>114.71095021456071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6.004228974324632</v>
      </c>
      <c r="BQ183" s="21">
        <f>EXP(-LN(2)/25)*BQ182+(1-EXP(-LN(2)/25))/(LN(2)/25)*Calculateur!BL183*Calculateur!BN183*VLOOKUP('Données projet'!$B$11,Paramètres!$A$1:$I$89,3,0)*0.475*44/12</f>
        <v>4.7782537472737232</v>
      </c>
      <c r="BR183" s="21">
        <f>EXP(-LN(2)/2)*BR182+(1-EXP(-LN(2)/2))/(LN(2)/2)*BL183*BO183*VLOOKUP('Données projet'!$B$11,Paramètres!$A$1:$I$89,3,0)*0.475*44/12</f>
        <v>1.0639749283618839E-8</v>
      </c>
      <c r="BS183" s="22">
        <f t="shared" si="169"/>
        <v>10.782482732238105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-9.9475983006414026E-14</v>
      </c>
      <c r="BZ183" s="13">
        <f>BY183*VLOOKUP('Données projet'!$B$12,Paramètres!$A$1:$I$89,3,0)*VLOOKUP('Données projet'!$B$12,Paramètres!$A$1:$I$89,5,0)</f>
        <v>-1.0707594810810407E-13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192.88977161349993</v>
      </c>
      <c r="CE183" s="59">
        <f t="shared" si="148"/>
        <v>122.91376861456772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6.68212579400645</v>
      </c>
      <c r="CL183" s="21">
        <f>EXP(-LN(2)/25)*CL182+(1-EXP(-LN(2)/25))/(LN(2)/25)*Calculateur!CG183*Calculateur!CI183*VLOOKUP('Données projet'!$B$12,Paramètres!$A$1:$I$89,3,0)*0.475*44/12</f>
        <v>5.3177340090626934</v>
      </c>
      <c r="CM183" s="21">
        <f>EXP(-LN(2)/2)*CM182+(1-EXP(-LN(2)/2))/(LN(2)/2)*CG183*CJ183*VLOOKUP('Données projet'!$B$12,Paramètres!$A$1:$I$89,3,0)*0.475*44/12</f>
        <v>1.1841011299511285E-8</v>
      </c>
      <c r="CN183" s="22">
        <f t="shared" si="172"/>
        <v>11.999859814910154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-8.5265128291212022E-14</v>
      </c>
      <c r="CU183" s="17">
        <f>CT183*VLOOKUP('Données projet'!$B$13,Paramètres!$A$1:$I$89,3,0)*VLOOKUP('Données projet'!$B$13,Paramètres!$A$1:$I$89,5,0)</f>
        <v>-6.9167072069831198E-14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163.16040389635825</v>
      </c>
      <c r="CZ183" s="59">
        <f t="shared" si="150"/>
        <v>138.57856782158811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1.3342972045364179</v>
      </c>
      <c r="DH183" s="21">
        <f>EXP(-LN(2)/2)*DH182+(1-EXP(-LN(2)/2))/(LN(2)/2)*DB183*DE183*VLOOKUP('Données projet'!$B$13,Paramètres!$A$1:$I$89,3,0)*0.475*44/12</f>
        <v>7.1182360054623056E-13</v>
      </c>
      <c r="DI183" s="22">
        <f t="shared" si="175"/>
        <v>1.3342972045371297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1.7053025658242404E-13</v>
      </c>
      <c r="DP183" s="17">
        <f>DO183*VLOOKUP('Données projet'!$B$14,Paramètres!$A$1:$I$89,3,0)*VLOOKUP('Données projet'!$B$14,Paramètres!$A$1:$I$89,5,0)</f>
        <v>7.9808160080574461E-14</v>
      </c>
      <c r="DQ183" s="13">
        <f t="shared" si="176"/>
        <v>1.2308384591775343E-12</v>
      </c>
      <c r="DR183" s="20">
        <f t="shared" si="177"/>
        <v>2.282709528541206E-12</v>
      </c>
      <c r="DS183" s="59">
        <f t="shared" si="125"/>
        <v>292.66555435632421</v>
      </c>
      <c r="DT183" s="59">
        <f ca="1">AVERAGE(OFFSET($DS$3,0,0,'Données projet'!$E$14+1,1))-AVERAGE(OFFSET($H$3,0,0,'Données projet'!$E$14+1,1))</f>
        <v>343.44193069803498</v>
      </c>
      <c r="DU183" s="59">
        <f t="shared" si="152"/>
        <v>280.67367019483481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55.115897751614263</v>
      </c>
      <c r="EB183" s="21">
        <f>EXP(-LN(2)/25)*EB182+(1-EXP(-LN(2)/25))/(LN(2)/25)*Calculateur!DW183*Calculateur!DY183*VLOOKUP('Données projet'!$B$14,Paramètres!$A$1:$I$89,3,0)*0.475*44/12</f>
        <v>11.543944271457816</v>
      </c>
      <c r="EC183" s="21">
        <f>EXP(-LN(2)/2)*EC182+(1-EXP(-LN(2)/2))/(LN(2)/2)*DW183*DZ183*VLOOKUP('Données projet'!$B$14,Paramètres!$A$1:$I$89,3,0)*0.475*44/12</f>
        <v>1.3659226168645026E-6</v>
      </c>
      <c r="ED183" s="22">
        <f t="shared" si="178"/>
        <v>66.659843388994688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173.07692307692307</v>
      </c>
      <c r="EK183" s="17">
        <f>EJ183*VLOOKUP('Données projet'!$B$15,Paramètres!$A$1:$I$89,3,0)*VLOOKUP('Données projet'!$B$15,Paramètres!$A$1:$I$89,5,0)</f>
        <v>175.5</v>
      </c>
      <c r="EL183" s="13">
        <f t="shared" si="179"/>
        <v>44.319548641773906</v>
      </c>
      <c r="EM183" s="20">
        <f t="shared" si="180"/>
        <v>382.85238055108954</v>
      </c>
      <c r="EN183" s="59">
        <f t="shared" si="128"/>
        <v>675.51793490741147</v>
      </c>
      <c r="EO183" s="59">
        <f ca="1">AVERAGE(OFFSET($EN$3,0,0,'Données projet'!$E$15+1,1))-AVERAGE(OFFSET($H$3,0,0,'Données projet'!$E$15+1,1))</f>
        <v>270.0029254736703</v>
      </c>
      <c r="EP183" s="59">
        <f t="shared" si="154"/>
        <v>183.80022202211441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3.4386059786454841</v>
      </c>
      <c r="EW183" s="21">
        <f>EXP(-LN(2)/25)*EW182+(1-EXP(-LN(2)/25))/(LN(2)/25)*Calculateur!ER183*Calculateur!ET183*VLOOKUP('Données projet'!$B$15,Paramètres!$A$1:$I$89,3,0)*0.475*44/12</f>
        <v>2.465837283389444</v>
      </c>
      <c r="EX183" s="21">
        <f>EXP(-LN(2)/2)*EX182+(1-EXP(-LN(2)/2))/(LN(2)/2)*ER183*EU183*VLOOKUP('Données projet'!$B$15,Paramètres!$A$1:$I$89,3,0)*0.475*44/12</f>
        <v>1.9849360480755443E-10</v>
      </c>
      <c r="EY183" s="22">
        <f t="shared" si="181"/>
        <v>5.9044432622334213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-1.4897523215040567E-13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328.93328163316073</v>
      </c>
      <c r="FK183" s="59">
        <f t="shared" si="156"/>
        <v>320.27831321887072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6.358937914277595</v>
      </c>
      <c r="FR183" s="21">
        <f>EXP(-LN(2)/25)*FR182+(1-EXP(-LN(2)/25))/(LN(2)/25)*Calculateur!FM183*Calculateur!FO183*VLOOKUP('Données projet'!$B$16,Paramètres!$A$1:$I$89,3,0)*0.475*44/12</f>
        <v>2.9072011156487445</v>
      </c>
      <c r="FS183" s="21">
        <f>EXP(-LN(2)/2)*FS182+(1-EXP(-LN(2)/2))/(LN(2)/2)*FM183*FP183*VLOOKUP('Données projet'!$B$16,Paramètres!$A$1:$I$89,3,0)*0.475*44/12</f>
        <v>5.069367949358225E-14</v>
      </c>
      <c r="FT183" s="22">
        <f t="shared" si="184"/>
        <v>9.266139029926391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173.07692307692307</v>
      </c>
      <c r="GA183" s="17">
        <f>FZ183*VLOOKUP('Données projet'!$B$17,Paramètres!$A$1:$I$89,3,0)*VLOOKUP('Données projet'!$B$17,Paramètres!$A$1:$I$89,5,0)</f>
        <v>116.1</v>
      </c>
      <c r="GB183" s="13">
        <f t="shared" si="185"/>
        <v>30.763646636385982</v>
      </c>
      <c r="GC183" s="20">
        <f t="shared" si="186"/>
        <v>255.78751789170556</v>
      </c>
      <c r="GD183" s="59">
        <f t="shared" si="134"/>
        <v>548.45307224802752</v>
      </c>
      <c r="GE183" s="59">
        <f ca="1">AVERAGE(OFFSET($GD$3,0,0,'Données projet'!$E$17+1,1))-AVERAGE(OFFSET($H$3,0,0,'Données projet'!$E$17+1,1))</f>
        <v>192.88444860121191</v>
      </c>
      <c r="GF183" s="59">
        <f t="shared" si="158"/>
        <v>136.13737493732751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2.803786413357082</v>
      </c>
      <c r="GM183" s="21">
        <f>EXP(-LN(2)/25)*GM182+(1-EXP(-LN(2)/25))/(LN(2)/25)*Calculateur!GH183*Calculateur!GJ183*VLOOKUP('Données projet'!$B$17,Paramètres!$A$1:$I$89,3,0)*0.475*44/12</f>
        <v>2.0106057849175456</v>
      </c>
      <c r="GN183" s="21">
        <f>EXP(-LN(2)/2)*GN182+(1-EXP(-LN(2)/2))/(LN(2)/2)*GH183*GK183*VLOOKUP('Données projet'!$B$17,Paramètres!$A$1:$I$89,3,0)*0.475*44/12</f>
        <v>1.3131115394961298E-10</v>
      </c>
      <c r="GO183" s="21">
        <f t="shared" si="187"/>
        <v>4.8143921984059386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69.817878460815081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0.85000000000000009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3.1166666666666671</v>
      </c>
      <c r="H184" s="67">
        <f t="shared" si="110"/>
        <v>244.19999999999996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661.87328307197527</v>
      </c>
      <c r="S184" s="59">
        <f ca="1">AVERAGE(OFFSET($R$3,0,0,'Données projet'!$E$9+1,1))-AVERAGE(OFFSET($H$3,0,0,'Données projet'!$E$9+1,1))</f>
        <v>643.492472896403</v>
      </c>
      <c r="T184" s="59">
        <f t="shared" si="142"/>
        <v>285.0259479655341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-2.2168933355715128E-13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289.89907502443873</v>
      </c>
      <c r="AO184" s="59">
        <f t="shared" si="144"/>
        <v>267.42183550360301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4.3617972615527298</v>
      </c>
      <c r="AV184" s="21">
        <f>EXP(-LN(2)/25)*AV183+(1-EXP(-LN(2)/25))/(LN(2)/25)*Calculateur!AQ184*Calculateur!AS184*VLOOKUP('Données projet'!$B$10,Paramètres!$A$1:$I$89,3,0)*0.475*44/12</f>
        <v>2.0739352472005343</v>
      </c>
      <c r="AW184" s="21">
        <f>EXP(-LN(2)/2)*AW183+(1-EXP(-LN(2)/2))/(LN(2)/2)*AQ184*AT184*VLOOKUP('Données projet'!$B$10,Paramètres!$A$1:$I$89,3,0)*0.475*44/12</f>
        <v>5.9346392975970775E-15</v>
      </c>
      <c r="AX184" s="21">
        <f t="shared" si="166"/>
        <v>6.4357325087532704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-9.9475983006414026E-14</v>
      </c>
      <c r="BE184" s="13">
        <f>BD184*VLOOKUP('Données projet'!$B$11,Paramètres!$A$1:$I$89,3,0)*VLOOKUP('Données projet'!$B$11,Paramètres!$A$1:$I$89,5,0)</f>
        <v>-9.6213170763803652E-14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177.54241137663234</v>
      </c>
      <c r="BJ184" s="59">
        <f t="shared" si="146"/>
        <v>114.71095021456071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5.8864897063561861</v>
      </c>
      <c r="BQ184" s="21">
        <f>EXP(-LN(2)/25)*BQ183+(1-EXP(-LN(2)/25))/(LN(2)/25)*Calculateur!BL184*Calculateur!BN184*VLOOKUP('Données projet'!$B$11,Paramètres!$A$1:$I$89,3,0)*0.475*44/12</f>
        <v>4.6475921472770798</v>
      </c>
      <c r="BR184" s="21">
        <f>EXP(-LN(2)/2)*BR183+(1-EXP(-LN(2)/2))/(LN(2)/2)*BL184*BO184*VLOOKUP('Données projet'!$B$11,Paramètres!$A$1:$I$89,3,0)*0.475*44/12</f>
        <v>7.5234388685715918E-9</v>
      </c>
      <c r="BS184" s="22">
        <f t="shared" si="169"/>
        <v>10.534081861156706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-9.9475983006414026E-14</v>
      </c>
      <c r="BZ184" s="13">
        <f>BY184*VLOOKUP('Données projet'!$B$12,Paramètres!$A$1:$I$89,3,0)*VLOOKUP('Données projet'!$B$12,Paramètres!$A$1:$I$89,5,0)</f>
        <v>-1.0707594810810407E-13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192.88977161349993</v>
      </c>
      <c r="CE184" s="59">
        <f t="shared" si="148"/>
        <v>122.91376861456772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6.5510933828802766</v>
      </c>
      <c r="CL184" s="21">
        <f>EXP(-LN(2)/25)*CL183+(1-EXP(-LN(2)/25))/(LN(2)/25)*Calculateur!CG184*Calculateur!CI184*VLOOKUP('Données projet'!$B$12,Paramètres!$A$1:$I$89,3,0)*0.475*44/12</f>
        <v>5.1723202929373961</v>
      </c>
      <c r="CM184" s="21">
        <f>EXP(-LN(2)/2)*CM183+(1-EXP(-LN(2)/2))/(LN(2)/2)*CG184*CJ184*VLOOKUP('Données projet'!$B$12,Paramètres!$A$1:$I$89,3,0)*0.475*44/12</f>
        <v>8.3728593859909632E-9</v>
      </c>
      <c r="CN184" s="22">
        <f t="shared" si="172"/>
        <v>11.723413684190533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-8.5265128291212022E-14</v>
      </c>
      <c r="CU184" s="17">
        <f>CT184*VLOOKUP('Données projet'!$B$13,Paramètres!$A$1:$I$89,3,0)*VLOOKUP('Données projet'!$B$13,Paramètres!$A$1:$I$89,5,0)</f>
        <v>-6.9167072069831198E-14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163.16040389635825</v>
      </c>
      <c r="CZ184" s="59">
        <f t="shared" si="150"/>
        <v>138.57856782158811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1.297810777310729</v>
      </c>
      <c r="DH184" s="21">
        <f>EXP(-LN(2)/2)*DH183+(1-EXP(-LN(2)/2))/(LN(2)/2)*DB184*DE184*VLOOKUP('Données projet'!$B$13,Paramètres!$A$1:$I$89,3,0)*0.475*44/12</f>
        <v>5.0333529495486385E-13</v>
      </c>
      <c r="DI184" s="22">
        <f t="shared" si="175"/>
        <v>1.2978107773112324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1.7053025658242404E-13</v>
      </c>
      <c r="DP184" s="17">
        <f>DO184*VLOOKUP('Données projet'!$B$14,Paramètres!$A$1:$I$89,3,0)*VLOOKUP('Données projet'!$B$14,Paramètres!$A$1:$I$89,5,0)</f>
        <v>7.9808160080574461E-14</v>
      </c>
      <c r="DQ184" s="13">
        <f t="shared" si="176"/>
        <v>1.2308384591775343E-12</v>
      </c>
      <c r="DR184" s="20">
        <f t="shared" si="177"/>
        <v>2.282709528541206E-12</v>
      </c>
      <c r="DS184" s="59">
        <f t="shared" si="125"/>
        <v>292.67713882864524</v>
      </c>
      <c r="DT184" s="59">
        <f ca="1">AVERAGE(OFFSET($DS$3,0,0,'Données projet'!$E$14+1,1))-AVERAGE(OFFSET($H$3,0,0,'Données projet'!$E$14+1,1))</f>
        <v>343.44193069803498</v>
      </c>
      <c r="DU184" s="59">
        <f t="shared" si="152"/>
        <v>280.67367019483481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54.035108614083292</v>
      </c>
      <c r="EB184" s="21">
        <f>EXP(-LN(2)/25)*EB183+(1-EXP(-LN(2)/25))/(LN(2)/25)*Calculateur!DW184*Calculateur!DY184*VLOOKUP('Données projet'!$B$14,Paramètres!$A$1:$I$89,3,0)*0.475*44/12</f>
        <v>11.228274508285157</v>
      </c>
      <c r="EC184" s="21">
        <f>EXP(-LN(2)/2)*EC183+(1-EXP(-LN(2)/2))/(LN(2)/2)*DW184*DZ184*VLOOKUP('Données projet'!$B$14,Paramètres!$A$1:$I$89,3,0)*0.475*44/12</f>
        <v>9.6585314496096418E-7</v>
      </c>
      <c r="ED184" s="22">
        <f t="shared" si="178"/>
        <v>65.263384088221599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173.07692307692307</v>
      </c>
      <c r="EK184" s="17">
        <f>EJ184*VLOOKUP('Données projet'!$B$15,Paramètres!$A$1:$I$89,3,0)*VLOOKUP('Données projet'!$B$15,Paramètres!$A$1:$I$89,5,0)</f>
        <v>175.5</v>
      </c>
      <c r="EL184" s="13">
        <f t="shared" si="179"/>
        <v>44.319548641773906</v>
      </c>
      <c r="EM184" s="20">
        <f t="shared" si="180"/>
        <v>382.85238055108954</v>
      </c>
      <c r="EN184" s="59">
        <f t="shared" si="128"/>
        <v>675.52951937973251</v>
      </c>
      <c r="EO184" s="59">
        <f ca="1">AVERAGE(OFFSET($EN$3,0,0,'Données projet'!$E$15+1,1))-AVERAGE(OFFSET($H$3,0,0,'Données projet'!$E$15+1,1))</f>
        <v>270.0029254736703</v>
      </c>
      <c r="EP184" s="59">
        <f t="shared" si="154"/>
        <v>183.80022202211441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3.3711770127467977</v>
      </c>
      <c r="EW184" s="21">
        <f>EXP(-LN(2)/25)*EW183+(1-EXP(-LN(2)/25))/(LN(2)/25)*Calculateur!ER184*Calculateur!ET184*VLOOKUP('Données projet'!$B$15,Paramètres!$A$1:$I$89,3,0)*0.475*44/12</f>
        <v>2.3984088332024127</v>
      </c>
      <c r="EX184" s="21">
        <f>EXP(-LN(2)/2)*EX183+(1-EXP(-LN(2)/2))/(LN(2)/2)*ER184*EU184*VLOOKUP('Données projet'!$B$15,Paramètres!$A$1:$I$89,3,0)*0.475*44/12</f>
        <v>1.4035617398158442E-10</v>
      </c>
      <c r="EY184" s="22">
        <f t="shared" si="181"/>
        <v>5.7695858460895666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-1.4897523215040567E-13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328.93328163316073</v>
      </c>
      <c r="FK184" s="59">
        <f t="shared" si="156"/>
        <v>320.27831321887072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6.2342430203477619</v>
      </c>
      <c r="FR184" s="21">
        <f>EXP(-LN(2)/25)*FR183+(1-EXP(-LN(2)/25))/(LN(2)/25)*Calculateur!FM184*Calculateur!FO184*VLOOKUP('Données projet'!$B$16,Paramètres!$A$1:$I$89,3,0)*0.475*44/12</f>
        <v>2.8277035482582673</v>
      </c>
      <c r="FS184" s="21">
        <f>EXP(-LN(2)/2)*FS183+(1-EXP(-LN(2)/2))/(LN(2)/2)*FM184*FP184*VLOOKUP('Données projet'!$B$16,Paramètres!$A$1:$I$89,3,0)*0.475*44/12</f>
        <v>3.5845844533209435E-14</v>
      </c>
      <c r="FT184" s="22">
        <f t="shared" si="184"/>
        <v>9.0619465686060643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173.07692307692307</v>
      </c>
      <c r="GA184" s="17">
        <f>FZ184*VLOOKUP('Données projet'!$B$17,Paramètres!$A$1:$I$89,3,0)*VLOOKUP('Données projet'!$B$17,Paramètres!$A$1:$I$89,5,0)</f>
        <v>116.1</v>
      </c>
      <c r="GB184" s="13">
        <f t="shared" si="185"/>
        <v>30.763646636385982</v>
      </c>
      <c r="GC184" s="20">
        <f t="shared" si="186"/>
        <v>255.78751789170556</v>
      </c>
      <c r="GD184" s="59">
        <f t="shared" si="134"/>
        <v>548.46465672034856</v>
      </c>
      <c r="GE184" s="59">
        <f ca="1">AVERAGE(OFFSET($GD$3,0,0,'Données projet'!$E$17+1,1))-AVERAGE(OFFSET($H$3,0,0,'Données projet'!$E$17+1,1))</f>
        <v>192.88444860121191</v>
      </c>
      <c r="GF184" s="59">
        <f t="shared" si="158"/>
        <v>136.13737493732751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2.7488058719319994</v>
      </c>
      <c r="GM184" s="21">
        <f>EXP(-LN(2)/25)*GM183+(1-EXP(-LN(2)/25))/(LN(2)/25)*Calculateur!GH184*Calculateur!GJ184*VLOOKUP('Données projet'!$B$17,Paramètres!$A$1:$I$89,3,0)*0.475*44/12</f>
        <v>1.9556256639958123</v>
      </c>
      <c r="GN184" s="21">
        <f>EXP(-LN(2)/2)*GN183+(1-EXP(-LN(2)/2))/(LN(2)/2)*GH184*GK184*VLOOKUP('Données projet'!$B$17,Paramètres!$A$1:$I$89,3,0)*0.475*44/12</f>
        <v>9.2851007403202043E-11</v>
      </c>
      <c r="GO184" s="21">
        <f t="shared" si="187"/>
        <v>4.704431536020663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69.821037862357173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0.85000000000000009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3.1166666666666671</v>
      </c>
      <c r="H185" s="67">
        <f t="shared" si="110"/>
        <v>244.19999999999996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666.30797730103473</v>
      </c>
      <c r="S185" s="59">
        <f ca="1">AVERAGE(OFFSET($R$3,0,0,'Données projet'!$E$9+1,1))-AVERAGE(OFFSET($H$3,0,0,'Données projet'!$E$9+1,1))</f>
        <v>643.492472896403</v>
      </c>
      <c r="T185" s="59">
        <f t="shared" si="142"/>
        <v>285.0259479655341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-2.2168933355715128E-13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289.89907502443873</v>
      </c>
      <c r="AO185" s="59">
        <f t="shared" si="144"/>
        <v>267.42183550360301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4.2762650776873148</v>
      </c>
      <c r="AV185" s="21">
        <f>EXP(-LN(2)/25)*AV184+(1-EXP(-LN(2)/25))/(LN(2)/25)*Calculateur!AQ185*Calculateur!AS185*VLOOKUP('Données projet'!$B$10,Paramètres!$A$1:$I$89,3,0)*0.475*44/12</f>
        <v>2.0172233788023211</v>
      </c>
      <c r="AW185" s="21">
        <f>EXP(-LN(2)/2)*AW184+(1-EXP(-LN(2)/2))/(LN(2)/2)*AQ185*AT185*VLOOKUP('Données projet'!$B$10,Paramètres!$A$1:$I$89,3,0)*0.475*44/12</f>
        <v>4.1964236912270627E-15</v>
      </c>
      <c r="AX185" s="21">
        <f t="shared" si="166"/>
        <v>6.2934884564896398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-9.9475983006414026E-14</v>
      </c>
      <c r="BE185" s="13">
        <f>BD185*VLOOKUP('Données projet'!$B$11,Paramètres!$A$1:$I$89,3,0)*VLOOKUP('Données projet'!$B$11,Paramètres!$A$1:$I$89,5,0)</f>
        <v>-9.6213170763803652E-14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177.54241137663234</v>
      </c>
      <c r="BJ185" s="59">
        <f t="shared" si="146"/>
        <v>114.71095021456071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5.7710592336187387</v>
      </c>
      <c r="BQ185" s="21">
        <f>EXP(-LN(2)/25)*BQ184+(1-EXP(-LN(2)/25))/(LN(2)/25)*Calculateur!BL185*Calculateur!BN185*VLOOKUP('Données projet'!$B$11,Paramètres!$A$1:$I$89,3,0)*0.475*44/12</f>
        <v>4.5205034956035393</v>
      </c>
      <c r="BR185" s="21">
        <f>EXP(-LN(2)/2)*BR184+(1-EXP(-LN(2)/2))/(LN(2)/2)*BL185*BO185*VLOOKUP('Données projet'!$B$11,Paramètres!$A$1:$I$89,3,0)*0.475*44/12</f>
        <v>5.3198746418094193E-9</v>
      </c>
      <c r="BS185" s="22">
        <f t="shared" si="169"/>
        <v>10.291562734542152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-9.9475983006414026E-14</v>
      </c>
      <c r="BZ185" s="13">
        <f>BY185*VLOOKUP('Données projet'!$B$12,Paramètres!$A$1:$I$89,3,0)*VLOOKUP('Données projet'!$B$12,Paramètres!$A$1:$I$89,5,0)</f>
        <v>-1.0707594810810407E-13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192.88977161349993</v>
      </c>
      <c r="CE185" s="59">
        <f t="shared" si="148"/>
        <v>122.91376861456772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6.4226304374144085</v>
      </c>
      <c r="CL185" s="21">
        <f>EXP(-LN(2)/25)*CL184+(1-EXP(-LN(2)/25))/(LN(2)/25)*Calculateur!CG185*Calculateur!CI185*VLOOKUP('Données projet'!$B$12,Paramètres!$A$1:$I$89,3,0)*0.475*44/12</f>
        <v>5.0308829225265201</v>
      </c>
      <c r="CM185" s="21">
        <f>EXP(-LN(2)/2)*CM184+(1-EXP(-LN(2)/2))/(LN(2)/2)*CG185*CJ185*VLOOKUP('Données projet'!$B$12,Paramètres!$A$1:$I$89,3,0)*0.475*44/12</f>
        <v>5.9205056497556427E-9</v>
      </c>
      <c r="CN185" s="22">
        <f t="shared" si="172"/>
        <v>11.453513365861433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-8.5265128291212022E-14</v>
      </c>
      <c r="CU185" s="17">
        <f>CT185*VLOOKUP('Données projet'!$B$13,Paramètres!$A$1:$I$89,3,0)*VLOOKUP('Données projet'!$B$13,Paramètres!$A$1:$I$89,5,0)</f>
        <v>-6.9167072069831198E-14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163.16040389635825</v>
      </c>
      <c r="CZ185" s="59">
        <f t="shared" si="150"/>
        <v>138.57856782158811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1.2623220733562646</v>
      </c>
      <c r="DH185" s="21">
        <f>EXP(-LN(2)/2)*DH184+(1-EXP(-LN(2)/2))/(LN(2)/2)*DB185*DE185*VLOOKUP('Données projet'!$B$13,Paramètres!$A$1:$I$89,3,0)*0.475*44/12</f>
        <v>3.5591180027311528E-13</v>
      </c>
      <c r="DI185" s="22">
        <f t="shared" si="175"/>
        <v>1.2623220733566205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1.7053025658242404E-13</v>
      </c>
      <c r="DP185" s="17">
        <f>DO185*VLOOKUP('Données projet'!$B$14,Paramètres!$A$1:$I$89,3,0)*VLOOKUP('Données projet'!$B$14,Paramètres!$A$1:$I$89,5,0)</f>
        <v>7.9808160080574461E-14</v>
      </c>
      <c r="DQ185" s="13">
        <f t="shared" si="176"/>
        <v>1.2308384591775343E-12</v>
      </c>
      <c r="DR185" s="20">
        <f t="shared" si="177"/>
        <v>2.282709528541206E-12</v>
      </c>
      <c r="DS185" s="59">
        <f t="shared" si="125"/>
        <v>292.68852233627052</v>
      </c>
      <c r="DT185" s="59">
        <f ca="1">AVERAGE(OFFSET($DS$3,0,0,'Données projet'!$E$14+1,1))-AVERAGE(OFFSET($H$3,0,0,'Données projet'!$E$14+1,1))</f>
        <v>343.44193069803498</v>
      </c>
      <c r="DU185" s="59">
        <f t="shared" si="152"/>
        <v>280.67367019483481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52.975513092323027</v>
      </c>
      <c r="EB185" s="21">
        <f>EXP(-LN(2)/25)*EB184+(1-EXP(-LN(2)/25))/(LN(2)/25)*Calculateur!DW185*Calculateur!DY185*VLOOKUP('Données projet'!$B$14,Paramètres!$A$1:$I$89,3,0)*0.475*44/12</f>
        <v>10.921236751386806</v>
      </c>
      <c r="EC185" s="21">
        <f>EXP(-LN(2)/2)*EC184+(1-EXP(-LN(2)/2))/(LN(2)/2)*DW185*DZ185*VLOOKUP('Données projet'!$B$14,Paramètres!$A$1:$I$89,3,0)*0.475*44/12</f>
        <v>6.8296130843225129E-7</v>
      </c>
      <c r="ED185" s="22">
        <f t="shared" si="178"/>
        <v>63.896750526671141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173.07692307692307</v>
      </c>
      <c r="EK185" s="17">
        <f>EJ185*VLOOKUP('Données projet'!$B$15,Paramètres!$A$1:$I$89,3,0)*VLOOKUP('Données projet'!$B$15,Paramètres!$A$1:$I$89,5,0)</f>
        <v>175.5</v>
      </c>
      <c r="EL185" s="13">
        <f t="shared" si="179"/>
        <v>44.319548641773906</v>
      </c>
      <c r="EM185" s="20">
        <f t="shared" si="180"/>
        <v>382.85238055108954</v>
      </c>
      <c r="EN185" s="59">
        <f t="shared" si="128"/>
        <v>675.54090288735779</v>
      </c>
      <c r="EO185" s="59">
        <f ca="1">AVERAGE(OFFSET($EN$3,0,0,'Données projet'!$E$15+1,1))-AVERAGE(OFFSET($H$3,0,0,'Données projet'!$E$15+1,1))</f>
        <v>270.0029254736703</v>
      </c>
      <c r="EP185" s="59">
        <f t="shared" si="154"/>
        <v>183.80022202211441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3.3050702877417764</v>
      </c>
      <c r="EW185" s="21">
        <f>EXP(-LN(2)/25)*EW184+(1-EXP(-LN(2)/25))/(LN(2)/25)*Calculateur!ER185*Calculateur!ET185*VLOOKUP('Données projet'!$B$15,Paramètres!$A$1:$I$89,3,0)*0.475*44/12</f>
        <v>2.332824217531654</v>
      </c>
      <c r="EX185" s="21">
        <f>EXP(-LN(2)/2)*EX184+(1-EXP(-LN(2)/2))/(LN(2)/2)*ER185*EU185*VLOOKUP('Données projet'!$B$15,Paramètres!$A$1:$I$89,3,0)*0.475*44/12</f>
        <v>9.9246802403777213E-11</v>
      </c>
      <c r="EY185" s="22">
        <f t="shared" si="181"/>
        <v>5.6378945053726772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-1.4897523215040567E-13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328.93328163316073</v>
      </c>
      <c r="FK185" s="59">
        <f t="shared" si="156"/>
        <v>320.27831321887072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6.1119933172315175</v>
      </c>
      <c r="FR185" s="21">
        <f>EXP(-LN(2)/25)*FR184+(1-EXP(-LN(2)/25))/(LN(2)/25)*Calculateur!FM185*Calculateur!FO185*VLOOKUP('Données projet'!$B$16,Paramètres!$A$1:$I$89,3,0)*0.475*44/12</f>
        <v>2.7503798460286784</v>
      </c>
      <c r="FS185" s="21">
        <f>EXP(-LN(2)/2)*FS184+(1-EXP(-LN(2)/2))/(LN(2)/2)*FM185*FP185*VLOOKUP('Données projet'!$B$16,Paramètres!$A$1:$I$89,3,0)*0.475*44/12</f>
        <v>2.5346839746791125E-14</v>
      </c>
      <c r="FT185" s="22">
        <f t="shared" si="184"/>
        <v>8.8623731632602212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173.07692307692307</v>
      </c>
      <c r="GA185" s="17">
        <f>FZ185*VLOOKUP('Données projet'!$B$17,Paramètres!$A$1:$I$89,3,0)*VLOOKUP('Données projet'!$B$17,Paramètres!$A$1:$I$89,5,0)</f>
        <v>116.1</v>
      </c>
      <c r="GB185" s="13">
        <f t="shared" si="185"/>
        <v>30.763646636385982</v>
      </c>
      <c r="GC185" s="20">
        <f t="shared" si="186"/>
        <v>255.78751789170556</v>
      </c>
      <c r="GD185" s="59">
        <f t="shared" si="134"/>
        <v>548.47604022797384</v>
      </c>
      <c r="GE185" s="59">
        <f ca="1">AVERAGE(OFFSET($GD$3,0,0,'Données projet'!$E$17+1,1))-AVERAGE(OFFSET($H$3,0,0,'Données projet'!$E$17+1,1))</f>
        <v>192.88444860121191</v>
      </c>
      <c r="GF185" s="59">
        <f t="shared" si="158"/>
        <v>136.13737493732751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2.6949034653894439</v>
      </c>
      <c r="GM185" s="21">
        <f>EXP(-LN(2)/25)*GM184+(1-EXP(-LN(2)/25))/(LN(2)/25)*Calculateur!GH185*Calculateur!GJ185*VLOOKUP('Données projet'!$B$17,Paramètres!$A$1:$I$89,3,0)*0.475*44/12</f>
        <v>1.9021489773719629</v>
      </c>
      <c r="GN185" s="21">
        <f>EXP(-LN(2)/2)*GN184+(1-EXP(-LN(2)/2))/(LN(2)/2)*GH185*GK185*VLOOKUP('Données projet'!$B$17,Paramètres!$A$1:$I$89,3,0)*0.475*44/12</f>
        <v>6.5655576974806491E-11</v>
      </c>
      <c r="GO185" s="21">
        <f t="shared" si="187"/>
        <v>4.5970524428270627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69.824142455345878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0.85000000000000009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3.1166666666666671</v>
      </c>
      <c r="H186" s="67">
        <f t="shared" si="110"/>
        <v>244.19999999999996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670.74133278367901</v>
      </c>
      <c r="S186" s="59">
        <f ca="1">AVERAGE(OFFSET($R$3,0,0,'Données projet'!$E$9+1,1))-AVERAGE(OFFSET($H$3,0,0,'Données projet'!$E$9+1,1))</f>
        <v>643.492472896403</v>
      </c>
      <c r="T186" s="59">
        <f t="shared" si="142"/>
        <v>285.0259479655341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-2.2168933355715128E-13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289.89907502443873</v>
      </c>
      <c r="AO186" s="59">
        <f t="shared" si="144"/>
        <v>267.42183550360301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4.192410127778019</v>
      </c>
      <c r="AV186" s="21">
        <f>EXP(-LN(2)/25)*AV185+(1-EXP(-LN(2)/25))/(LN(2)/25)*Calculateur!AQ186*Calculateur!AS186*VLOOKUP('Données projet'!$B$10,Paramètres!$A$1:$I$89,3,0)*0.475*44/12</f>
        <v>1.9620622994278045</v>
      </c>
      <c r="AW186" s="21">
        <f>EXP(-LN(2)/2)*AW185+(1-EXP(-LN(2)/2))/(LN(2)/2)*AQ186*AT186*VLOOKUP('Données projet'!$B$10,Paramètres!$A$1:$I$89,3,0)*0.475*44/12</f>
        <v>2.9673196487985387E-15</v>
      </c>
      <c r="AX186" s="21">
        <f t="shared" si="166"/>
        <v>6.1544724272058264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-9.9475983006414026E-14</v>
      </c>
      <c r="BE186" s="13">
        <f>BD186*VLOOKUP('Données projet'!$B$11,Paramètres!$A$1:$I$89,3,0)*VLOOKUP('Données projet'!$B$11,Paramètres!$A$1:$I$89,5,0)</f>
        <v>-9.6213170763803652E-14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177.54241137663234</v>
      </c>
      <c r="BJ186" s="59">
        <f t="shared" si="146"/>
        <v>114.71095021456071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5.6578922820460367</v>
      </c>
      <c r="BQ186" s="21">
        <f>EXP(-LN(2)/25)*BQ185+(1-EXP(-LN(2)/25))/(LN(2)/25)*Calculateur!BL186*Calculateur!BN186*VLOOKUP('Données projet'!$B$11,Paramètres!$A$1:$I$89,3,0)*0.475*44/12</f>
        <v>4.3968900897933132</v>
      </c>
      <c r="BR186" s="21">
        <f>EXP(-LN(2)/2)*BR185+(1-EXP(-LN(2)/2))/(LN(2)/2)*BL186*BO186*VLOOKUP('Données projet'!$B$11,Paramètres!$A$1:$I$89,3,0)*0.475*44/12</f>
        <v>3.7617194342857959E-9</v>
      </c>
      <c r="BS186" s="22">
        <f t="shared" si="169"/>
        <v>10.05478237560107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-9.9475983006414026E-14</v>
      </c>
      <c r="BZ186" s="13">
        <f>BY186*VLOOKUP('Données projet'!$B$12,Paramètres!$A$1:$I$89,3,0)*VLOOKUP('Données projet'!$B$12,Paramètres!$A$1:$I$89,5,0)</f>
        <v>-1.0707594810810407E-13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192.88977161349993</v>
      </c>
      <c r="CE186" s="59">
        <f t="shared" si="148"/>
        <v>122.91376861456772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6.2966865719544662</v>
      </c>
      <c r="CL186" s="21">
        <f>EXP(-LN(2)/25)*CL185+(1-EXP(-LN(2)/25))/(LN(2)/25)*Calculateur!CG186*Calculateur!CI186*VLOOKUP('Données projet'!$B$12,Paramètres!$A$1:$I$89,3,0)*0.475*44/12</f>
        <v>4.8933131644473979</v>
      </c>
      <c r="CM186" s="21">
        <f>EXP(-LN(2)/2)*CM185+(1-EXP(-LN(2)/2))/(LN(2)/2)*CG186*CJ186*VLOOKUP('Données projet'!$B$12,Paramètres!$A$1:$I$89,3,0)*0.475*44/12</f>
        <v>4.1864296929954816E-9</v>
      </c>
      <c r="CN186" s="22">
        <f t="shared" si="172"/>
        <v>11.189999740588293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-8.5265128291212022E-14</v>
      </c>
      <c r="CU186" s="17">
        <f>CT186*VLOOKUP('Données projet'!$B$13,Paramètres!$A$1:$I$89,3,0)*VLOOKUP('Données projet'!$B$13,Paramètres!$A$1:$I$89,5,0)</f>
        <v>-6.9167072069831198E-14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163.16040389635825</v>
      </c>
      <c r="CZ186" s="59">
        <f t="shared" si="150"/>
        <v>138.57856782158811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1.2278038098777047</v>
      </c>
      <c r="DH186" s="21">
        <f>EXP(-LN(2)/2)*DH185+(1-EXP(-LN(2)/2))/(LN(2)/2)*DB186*DE186*VLOOKUP('Données projet'!$B$13,Paramètres!$A$1:$I$89,3,0)*0.475*44/12</f>
        <v>2.5166764747743193E-13</v>
      </c>
      <c r="DI186" s="22">
        <f t="shared" si="175"/>
        <v>1.2278038098779562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1.7053025658242404E-13</v>
      </c>
      <c r="DP186" s="17">
        <f>DO186*VLOOKUP('Données projet'!$B$14,Paramètres!$A$1:$I$89,3,0)*VLOOKUP('Données projet'!$B$14,Paramètres!$A$1:$I$89,5,0)</f>
        <v>7.9808160080574461E-14</v>
      </c>
      <c r="DQ186" s="13">
        <f t="shared" si="176"/>
        <v>1.2308384591775343E-12</v>
      </c>
      <c r="DR186" s="20">
        <f t="shared" si="177"/>
        <v>2.282709528541206E-12</v>
      </c>
      <c r="DS186" s="59">
        <f t="shared" si="125"/>
        <v>292.69970836548811</v>
      </c>
      <c r="DT186" s="59">
        <f ca="1">AVERAGE(OFFSET($DS$3,0,0,'Données projet'!$E$14+1,1))-AVERAGE(OFFSET($H$3,0,0,'Données projet'!$E$14+1,1))</f>
        <v>343.44193069803498</v>
      </c>
      <c r="DU186" s="59">
        <f t="shared" si="152"/>
        <v>280.67367019483481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51.936695592455024</v>
      </c>
      <c r="EB186" s="21">
        <f>EXP(-LN(2)/25)*EB185+(1-EXP(-LN(2)/25))/(LN(2)/25)*Calculateur!DW186*Calculateur!DY186*VLOOKUP('Données projet'!$B$14,Paramètres!$A$1:$I$89,3,0)*0.475*44/12</f>
        <v>10.622594958097254</v>
      </c>
      <c r="EC186" s="21">
        <f>EXP(-LN(2)/2)*EC185+(1-EXP(-LN(2)/2))/(LN(2)/2)*DW186*DZ186*VLOOKUP('Données projet'!$B$14,Paramètres!$A$1:$I$89,3,0)*0.475*44/12</f>
        <v>4.8292657248048209E-7</v>
      </c>
      <c r="ED186" s="22">
        <f t="shared" si="178"/>
        <v>62.55929103347885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173.07692307692307</v>
      </c>
      <c r="EK186" s="17">
        <f>EJ186*VLOOKUP('Données projet'!$B$15,Paramètres!$A$1:$I$89,3,0)*VLOOKUP('Données projet'!$B$15,Paramètres!$A$1:$I$89,5,0)</f>
        <v>175.5</v>
      </c>
      <c r="EL186" s="13">
        <f t="shared" si="179"/>
        <v>44.319548641773906</v>
      </c>
      <c r="EM186" s="20">
        <f t="shared" si="180"/>
        <v>382.85238055108954</v>
      </c>
      <c r="EN186" s="59">
        <f t="shared" si="128"/>
        <v>675.55208891657537</v>
      </c>
      <c r="EO186" s="59">
        <f ca="1">AVERAGE(OFFSET($EN$3,0,0,'Données projet'!$E$15+1,1))-AVERAGE(OFFSET($H$3,0,0,'Données projet'!$E$15+1,1))</f>
        <v>270.0029254736703</v>
      </c>
      <c r="EP186" s="59">
        <f t="shared" si="154"/>
        <v>183.80022202211441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3.2402598752929825</v>
      </c>
      <c r="EW186" s="21">
        <f>EXP(-LN(2)/25)*EW185+(1-EXP(-LN(2)/25))/(LN(2)/25)*Calculateur!ER186*Calculateur!ET186*VLOOKUP('Données projet'!$B$15,Paramètres!$A$1:$I$89,3,0)*0.475*44/12</f>
        <v>2.2690330166253569</v>
      </c>
      <c r="EX186" s="21">
        <f>EXP(-LN(2)/2)*EX185+(1-EXP(-LN(2)/2))/(LN(2)/2)*ER186*EU186*VLOOKUP('Données projet'!$B$15,Paramètres!$A$1:$I$89,3,0)*0.475*44/12</f>
        <v>7.0178086990792211E-11</v>
      </c>
      <c r="EY186" s="22">
        <f t="shared" si="181"/>
        <v>5.509292891988518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-1.4897523215040567E-13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328.93328163316073</v>
      </c>
      <c r="FK186" s="59">
        <f t="shared" si="156"/>
        <v>320.27831321887072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5.9921408562284268</v>
      </c>
      <c r="FR186" s="21">
        <f>EXP(-LN(2)/25)*FR185+(1-EXP(-LN(2)/25))/(LN(2)/25)*Calculateur!FM186*Calculateur!FO186*VLOOKUP('Données projet'!$B$16,Paramètres!$A$1:$I$89,3,0)*0.475*44/12</f>
        <v>2.6751705645028343</v>
      </c>
      <c r="FS186" s="21">
        <f>EXP(-LN(2)/2)*FS185+(1-EXP(-LN(2)/2))/(LN(2)/2)*FM186*FP186*VLOOKUP('Données projet'!$B$16,Paramètres!$A$1:$I$89,3,0)*0.475*44/12</f>
        <v>1.7922922266604718E-14</v>
      </c>
      <c r="FT186" s="22">
        <f t="shared" si="184"/>
        <v>8.6673114207312789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173.07692307692307</v>
      </c>
      <c r="GA186" s="17">
        <f>FZ186*VLOOKUP('Données projet'!$B$17,Paramètres!$A$1:$I$89,3,0)*VLOOKUP('Données projet'!$B$17,Paramètres!$A$1:$I$89,5,0)</f>
        <v>116.1</v>
      </c>
      <c r="GB186" s="13">
        <f t="shared" si="185"/>
        <v>30.763646636385982</v>
      </c>
      <c r="GC186" s="20">
        <f t="shared" si="186"/>
        <v>255.78751789170556</v>
      </c>
      <c r="GD186" s="59">
        <f t="shared" si="134"/>
        <v>548.48722625719142</v>
      </c>
      <c r="GE186" s="59">
        <f ca="1">AVERAGE(OFFSET($GD$3,0,0,'Données projet'!$E$17+1,1))-AVERAGE(OFFSET($H$3,0,0,'Données projet'!$E$17+1,1))</f>
        <v>192.88444860121191</v>
      </c>
      <c r="GF186" s="59">
        <f t="shared" si="158"/>
        <v>136.13737493732751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2.6420580521619659</v>
      </c>
      <c r="GM186" s="21">
        <f>EXP(-LN(2)/25)*GM185+(1-EXP(-LN(2)/25))/(LN(2)/25)*Calculateur!GH186*Calculateur!GJ186*VLOOKUP('Données projet'!$B$17,Paramètres!$A$1:$I$89,3,0)*0.475*44/12</f>
        <v>1.8501346135560592</v>
      </c>
      <c r="GN186" s="21">
        <f>EXP(-LN(2)/2)*GN185+(1-EXP(-LN(2)/2))/(LN(2)/2)*GH186*GK186*VLOOKUP('Données projet'!$B$17,Paramètres!$A$1:$I$89,3,0)*0.475*44/12</f>
        <v>4.6425503701601022E-11</v>
      </c>
      <c r="GO186" s="21">
        <f t="shared" si="187"/>
        <v>4.49219266576445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69.827193190587053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0.85000000000000009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3.1166666666666671</v>
      </c>
      <c r="H187" s="67">
        <f t="shared" si="110"/>
        <v>244.19999999999996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292.71070034212096</v>
      </c>
      <c r="S187" s="59">
        <f ca="1">AVERAGE(OFFSET($R$3,0,0,'Données projet'!$E$9+1,1))-AVERAGE(OFFSET($H$3,0,0,'Données projet'!$E$9+1,1))</f>
        <v>643.492472896403</v>
      </c>
      <c r="T187" s="59">
        <f t="shared" si="142"/>
        <v>285.0259479655341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-2.2168933355715128E-13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289.89907502443873</v>
      </c>
      <c r="AO187" s="59">
        <f t="shared" si="144"/>
        <v>267.42183550360301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4.1101995222899754</v>
      </c>
      <c r="AV187" s="21">
        <f>EXP(-LN(2)/25)*AV186+(1-EXP(-LN(2)/25))/(LN(2)/25)*Calculateur!AQ187*Calculateur!AS187*VLOOKUP('Données projet'!$B$10,Paramètres!$A$1:$I$89,3,0)*0.475*44/12</f>
        <v>1.9084096026695792</v>
      </c>
      <c r="AW187" s="21">
        <f>EXP(-LN(2)/2)*AW186+(1-EXP(-LN(2)/2))/(LN(2)/2)*AQ187*AT187*VLOOKUP('Données projet'!$B$10,Paramètres!$A$1:$I$89,3,0)*0.475*44/12</f>
        <v>2.0982118456135313E-15</v>
      </c>
      <c r="AX187" s="21">
        <f t="shared" si="166"/>
        <v>6.0186091249595561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-9.9475983006414026E-14</v>
      </c>
      <c r="BE187" s="13">
        <f>BD187*VLOOKUP('Données projet'!$B$11,Paramètres!$A$1:$I$89,3,0)*VLOOKUP('Données projet'!$B$11,Paramètres!$A$1:$I$89,5,0)</f>
        <v>-9.6213170763803652E-14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177.54241137663234</v>
      </c>
      <c r="BJ187" s="59">
        <f t="shared" si="146"/>
        <v>114.71095021456071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5.546944465368651</v>
      </c>
      <c r="BQ187" s="21">
        <f>EXP(-LN(2)/25)*BQ186+(1-EXP(-LN(2)/25))/(LN(2)/25)*Calculateur!BL187*Calculateur!BN187*VLOOKUP('Données projet'!$B$11,Paramètres!$A$1:$I$89,3,0)*0.475*44/12</f>
        <v>4.2766568990655145</v>
      </c>
      <c r="BR187" s="21">
        <f>EXP(-LN(2)/2)*BR186+(1-EXP(-LN(2)/2))/(LN(2)/2)*BL187*BO187*VLOOKUP('Données projet'!$B$11,Paramètres!$A$1:$I$89,3,0)*0.475*44/12</f>
        <v>2.6599373209047096E-9</v>
      </c>
      <c r="BS187" s="22">
        <f t="shared" si="169"/>
        <v>9.8236013670941027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-9.9475983006414026E-14</v>
      </c>
      <c r="BZ187" s="13">
        <f>BY187*VLOOKUP('Données projet'!$B$12,Paramètres!$A$1:$I$89,3,0)*VLOOKUP('Données projet'!$B$12,Paramètres!$A$1:$I$89,5,0)</f>
        <v>-1.0707594810810407E-13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192.88977161349993</v>
      </c>
      <c r="CE187" s="59">
        <f t="shared" si="148"/>
        <v>122.91376861456772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6.1732123888780199</v>
      </c>
      <c r="CL187" s="21">
        <f>EXP(-LN(2)/25)*CL186+(1-EXP(-LN(2)/25))/(LN(2)/25)*Calculateur!CG187*Calculateur!CI187*VLOOKUP('Données projet'!$B$12,Paramètres!$A$1:$I$89,3,0)*0.475*44/12</f>
        <v>4.7595052586374287</v>
      </c>
      <c r="CM187" s="21">
        <f>EXP(-LN(2)/2)*CM186+(1-EXP(-LN(2)/2))/(LN(2)/2)*CG187*CJ187*VLOOKUP('Données projet'!$B$12,Paramètres!$A$1:$I$89,3,0)*0.475*44/12</f>
        <v>2.9602528248778213E-9</v>
      </c>
      <c r="CN187" s="22">
        <f t="shared" si="172"/>
        <v>10.932717650475702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-8.5265128291212022E-14</v>
      </c>
      <c r="CU187" s="17">
        <f>CT187*VLOOKUP('Données projet'!$B$13,Paramètres!$A$1:$I$89,3,0)*VLOOKUP('Données projet'!$B$13,Paramètres!$A$1:$I$89,5,0)</f>
        <v>-6.9167072069831198E-14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163.16040389635825</v>
      </c>
      <c r="CZ187" s="59">
        <f t="shared" si="150"/>
        <v>138.57856782158811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1.1942294501292026</v>
      </c>
      <c r="DH187" s="21">
        <f>EXP(-LN(2)/2)*DH186+(1-EXP(-LN(2)/2))/(LN(2)/2)*DB187*DE187*VLOOKUP('Données projet'!$B$13,Paramètres!$A$1:$I$89,3,0)*0.475*44/12</f>
        <v>1.7795590013655764E-13</v>
      </c>
      <c r="DI187" s="22">
        <f t="shared" si="175"/>
        <v>1.1942294501293804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1.7053025658242404E-13</v>
      </c>
      <c r="DP187" s="17">
        <f>DO187*VLOOKUP('Données projet'!$B$14,Paramètres!$A$1:$I$89,3,0)*VLOOKUP('Données projet'!$B$14,Paramètres!$A$1:$I$89,5,0)</f>
        <v>7.9808160080574461E-14</v>
      </c>
      <c r="DQ187" s="13">
        <f t="shared" si="176"/>
        <v>1.2308384591775343E-12</v>
      </c>
      <c r="DR187" s="20">
        <f t="shared" si="177"/>
        <v>2.282709528541206E-12</v>
      </c>
      <c r="DS187" s="59">
        <f t="shared" si="125"/>
        <v>292.71070034210703</v>
      </c>
      <c r="DT187" s="59">
        <f ca="1">AVERAGE(OFFSET($DS$3,0,0,'Données projet'!$E$14+1,1))-AVERAGE(OFFSET($H$3,0,0,'Données projet'!$E$14+1,1))</f>
        <v>343.44193069803498</v>
      </c>
      <c r="DU187" s="59">
        <f t="shared" si="152"/>
        <v>280.67367019483481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50.918248670143328</v>
      </c>
      <c r="EB187" s="21">
        <f>EXP(-LN(2)/25)*EB186+(1-EXP(-LN(2)/25))/(LN(2)/25)*Calculateur!DW187*Calculateur!DY187*VLOOKUP('Données projet'!$B$14,Paramètres!$A$1:$I$89,3,0)*0.475*44/12</f>
        <v>10.332119540350094</v>
      </c>
      <c r="EC187" s="21">
        <f>EXP(-LN(2)/2)*EC186+(1-EXP(-LN(2)/2))/(LN(2)/2)*DW187*DZ187*VLOOKUP('Données projet'!$B$14,Paramètres!$A$1:$I$89,3,0)*0.475*44/12</f>
        <v>3.4148065421612565E-7</v>
      </c>
      <c r="ED187" s="22">
        <f t="shared" si="178"/>
        <v>61.250368551974077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173.07692307692307</v>
      </c>
      <c r="EK187" s="17">
        <f>EJ187*VLOOKUP('Données projet'!$B$15,Paramètres!$A$1:$I$89,3,0)*VLOOKUP('Données projet'!$B$15,Paramètres!$A$1:$I$89,5,0)</f>
        <v>175.5</v>
      </c>
      <c r="EL187" s="13">
        <f t="shared" si="179"/>
        <v>44.319548641773906</v>
      </c>
      <c r="EM187" s="20">
        <f t="shared" si="180"/>
        <v>382.85238055108954</v>
      </c>
      <c r="EN187" s="59">
        <f t="shared" si="128"/>
        <v>675.5630808931943</v>
      </c>
      <c r="EO187" s="59">
        <f ca="1">AVERAGE(OFFSET($EN$3,0,0,'Données projet'!$E$15+1,1))-AVERAGE(OFFSET($H$3,0,0,'Données projet'!$E$15+1,1))</f>
        <v>270.0029254736703</v>
      </c>
      <c r="EP187" s="59">
        <f t="shared" si="154"/>
        <v>183.80022202211441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3.1767203555018613</v>
      </c>
      <c r="EW187" s="21">
        <f>EXP(-LN(2)/25)*EW186+(1-EXP(-LN(2)/25))/(LN(2)/25)*Calculateur!ER187*Calculateur!ET187*VLOOKUP('Données projet'!$B$15,Paramètres!$A$1:$I$89,3,0)*0.475*44/12</f>
        <v>2.206986189462476</v>
      </c>
      <c r="EX187" s="21">
        <f>EXP(-LN(2)/2)*EX186+(1-EXP(-LN(2)/2))/(LN(2)/2)*ER187*EU187*VLOOKUP('Données projet'!$B$15,Paramètres!$A$1:$I$89,3,0)*0.475*44/12</f>
        <v>4.9623401201888606E-11</v>
      </c>
      <c r="EY187" s="22">
        <f t="shared" si="181"/>
        <v>5.3837065450139603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-1.4897523215040567E-13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328.93328163316073</v>
      </c>
      <c r="FK187" s="59">
        <f t="shared" si="156"/>
        <v>320.27831321887072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5.8746386288828241</v>
      </c>
      <c r="FR187" s="21">
        <f>EXP(-LN(2)/25)*FR186+(1-EXP(-LN(2)/25))/(LN(2)/25)*Calculateur!FM187*Calculateur!FO187*VLOOKUP('Données projet'!$B$16,Paramètres!$A$1:$I$89,3,0)*0.475*44/12</f>
        <v>2.6020178847353983</v>
      </c>
      <c r="FS187" s="21">
        <f>EXP(-LN(2)/2)*FS186+(1-EXP(-LN(2)/2))/(LN(2)/2)*FM187*FP187*VLOOKUP('Données projet'!$B$16,Paramètres!$A$1:$I$89,3,0)*0.475*44/12</f>
        <v>1.2673419873395563E-14</v>
      </c>
      <c r="FT187" s="22">
        <f t="shared" si="184"/>
        <v>8.4766565136182344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173.07692307692307</v>
      </c>
      <c r="GA187" s="17">
        <f>FZ187*VLOOKUP('Données projet'!$B$17,Paramètres!$A$1:$I$89,3,0)*VLOOKUP('Données projet'!$B$17,Paramètres!$A$1:$I$89,5,0)</f>
        <v>116.1</v>
      </c>
      <c r="GB187" s="13">
        <f t="shared" si="185"/>
        <v>30.763646636385982</v>
      </c>
      <c r="GC187" s="20">
        <f t="shared" si="186"/>
        <v>255.78751789170556</v>
      </c>
      <c r="GD187" s="59">
        <f t="shared" si="134"/>
        <v>548.49821823381035</v>
      </c>
      <c r="GE187" s="59">
        <f ca="1">AVERAGE(OFFSET($GD$3,0,0,'Données projet'!$E$17+1,1))-AVERAGE(OFFSET($H$3,0,0,'Données projet'!$E$17+1,1))</f>
        <v>192.88444860121191</v>
      </c>
      <c r="GF187" s="59">
        <f t="shared" si="158"/>
        <v>136.13737493732751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2.5902489052553594</v>
      </c>
      <c r="GM187" s="21">
        <f>EXP(-LN(2)/25)*GM186+(1-EXP(-LN(2)/25))/(LN(2)/25)*Calculateur!GH187*Calculateur!GJ187*VLOOKUP('Données projet'!$B$17,Paramètres!$A$1:$I$89,3,0)*0.475*44/12</f>
        <v>1.7995425852540181</v>
      </c>
      <c r="GN187" s="21">
        <f>EXP(-LN(2)/2)*GN186+(1-EXP(-LN(2)/2))/(LN(2)/2)*GH187*GK187*VLOOKUP('Données projet'!$B$17,Paramètres!$A$1:$I$89,3,0)*0.475*44/12</f>
        <v>3.2827788487403245E-11</v>
      </c>
      <c r="GO187" s="21">
        <f t="shared" si="187"/>
        <v>4.3897914905422057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69.830191002392212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0.85000000000000009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3.1166666666666671</v>
      </c>
      <c r="H188" s="67">
        <f t="shared" si="110"/>
        <v>244.19999999999996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292.72150163251996</v>
      </c>
      <c r="S188" s="59">
        <f ca="1">AVERAGE(OFFSET($R$3,0,0,'Données projet'!$E$9+1,1))-AVERAGE(OFFSET($H$3,0,0,'Données projet'!$E$9+1,1))</f>
        <v>643.492472896403</v>
      </c>
      <c r="T188" s="59">
        <f t="shared" si="142"/>
        <v>285.0259479655341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-2.2168933355715128E-13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289.89907502443873</v>
      </c>
      <c r="AO188" s="59">
        <f t="shared" si="144"/>
        <v>267.42183550360301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4.0296010166320348</v>
      </c>
      <c r="AV188" s="21">
        <f>EXP(-LN(2)/25)*AV187+(1-EXP(-LN(2)/25))/(LN(2)/25)*Calculateur!AQ188*Calculateur!AS188*VLOOKUP('Données projet'!$B$10,Paramètres!$A$1:$I$89,3,0)*0.475*44/12</f>
        <v>1.8562240417256803</v>
      </c>
      <c r="AW188" s="21">
        <f>EXP(-LN(2)/2)*AW187+(1-EXP(-LN(2)/2))/(LN(2)/2)*AQ188*AT188*VLOOKUP('Données projet'!$B$10,Paramètres!$A$1:$I$89,3,0)*0.475*44/12</f>
        <v>1.4836598243992694E-15</v>
      </c>
      <c r="AX188" s="21">
        <f t="shared" si="166"/>
        <v>5.8858250583577174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-9.9475983006414026E-14</v>
      </c>
      <c r="BE188" s="13">
        <f>BD188*VLOOKUP('Données projet'!$B$11,Paramètres!$A$1:$I$89,3,0)*VLOOKUP('Données projet'!$B$11,Paramètres!$A$1:$I$89,5,0)</f>
        <v>-9.6213170763803652E-14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177.54241137663234</v>
      </c>
      <c r="BJ188" s="59">
        <f t="shared" si="146"/>
        <v>114.71095021456071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5.4381722677048225</v>
      </c>
      <c r="BQ188" s="21">
        <f>EXP(-LN(2)/25)*BQ187+(1-EXP(-LN(2)/25))/(LN(2)/25)*Calculateur!BL188*Calculateur!BN188*VLOOKUP('Données projet'!$B$11,Paramètres!$A$1:$I$89,3,0)*0.475*44/12</f>
        <v>4.1597114912609561</v>
      </c>
      <c r="BR188" s="21">
        <f>EXP(-LN(2)/2)*BR187+(1-EXP(-LN(2)/2))/(LN(2)/2)*BL188*BO188*VLOOKUP('Données projet'!$B$11,Paramètres!$A$1:$I$89,3,0)*0.475*44/12</f>
        <v>1.880859717142898E-9</v>
      </c>
      <c r="BS188" s="22">
        <f t="shared" si="169"/>
        <v>9.5978837608466385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-9.9475983006414026E-14</v>
      </c>
      <c r="BZ188" s="13">
        <f>BY188*VLOOKUP('Données projet'!$B$12,Paramètres!$A$1:$I$89,3,0)*VLOOKUP('Données projet'!$B$12,Paramètres!$A$1:$I$89,5,0)</f>
        <v>-1.0707594810810407E-13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192.88977161349993</v>
      </c>
      <c r="CE188" s="59">
        <f t="shared" si="148"/>
        <v>122.91376861456772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6.0521594592198875</v>
      </c>
      <c r="CL188" s="21">
        <f>EXP(-LN(2)/25)*CL187+(1-EXP(-LN(2)/25))/(LN(2)/25)*Calculateur!CG188*Calculateur!CI188*VLOOKUP('Données projet'!$B$12,Paramètres!$A$1:$I$89,3,0)*0.475*44/12</f>
        <v>4.6293563370484847</v>
      </c>
      <c r="CM188" s="21">
        <f>EXP(-LN(2)/2)*CM187+(1-EXP(-LN(2)/2))/(LN(2)/2)*CG188*CJ188*VLOOKUP('Données projet'!$B$12,Paramètres!$A$1:$I$89,3,0)*0.475*44/12</f>
        <v>2.0932148464977408E-9</v>
      </c>
      <c r="CN188" s="22">
        <f t="shared" si="172"/>
        <v>10.681515798361586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-8.5265128291212022E-14</v>
      </c>
      <c r="CU188" s="17">
        <f>CT188*VLOOKUP('Données projet'!$B$13,Paramètres!$A$1:$I$89,3,0)*VLOOKUP('Données projet'!$B$13,Paramètres!$A$1:$I$89,5,0)</f>
        <v>-6.9167072069831198E-14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163.16040389635825</v>
      </c>
      <c r="CZ188" s="59">
        <f t="shared" si="150"/>
        <v>138.57856782158811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1.1615731830136222</v>
      </c>
      <c r="DH188" s="21">
        <f>EXP(-LN(2)/2)*DH187+(1-EXP(-LN(2)/2))/(LN(2)/2)*DB188*DE188*VLOOKUP('Données projet'!$B$13,Paramètres!$A$1:$I$89,3,0)*0.475*44/12</f>
        <v>1.2583382373871596E-13</v>
      </c>
      <c r="DI188" s="22">
        <f t="shared" si="175"/>
        <v>1.1615731830137481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1.7053025658242404E-13</v>
      </c>
      <c r="DP188" s="17">
        <f>DO188*VLOOKUP('Données projet'!$B$14,Paramètres!$A$1:$I$89,3,0)*VLOOKUP('Données projet'!$B$14,Paramètres!$A$1:$I$89,5,0)</f>
        <v>7.9808160080574461E-14</v>
      </c>
      <c r="DQ188" s="13">
        <f t="shared" si="176"/>
        <v>1.2308384591775343E-12</v>
      </c>
      <c r="DR188" s="20">
        <f t="shared" si="177"/>
        <v>2.282709528541206E-12</v>
      </c>
      <c r="DS188" s="59">
        <f t="shared" si="125"/>
        <v>292.72150163250603</v>
      </c>
      <c r="DT188" s="59">
        <f ca="1">AVERAGE(OFFSET($DS$3,0,0,'Données projet'!$E$14+1,1))-AVERAGE(OFFSET($H$3,0,0,'Données projet'!$E$14+1,1))</f>
        <v>343.44193069803498</v>
      </c>
      <c r="DU188" s="59">
        <f t="shared" si="152"/>
        <v>280.67367019483481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49.919772870786872</v>
      </c>
      <c r="EB188" s="21">
        <f>EXP(-LN(2)/25)*EB187+(1-EXP(-LN(2)/25))/(LN(2)/25)*Calculateur!DW188*Calculateur!DY188*VLOOKUP('Données projet'!$B$14,Paramètres!$A$1:$I$89,3,0)*0.475*44/12</f>
        <v>10.049587188176668</v>
      </c>
      <c r="EC188" s="21">
        <f>EXP(-LN(2)/2)*EC187+(1-EXP(-LN(2)/2))/(LN(2)/2)*DW188*DZ188*VLOOKUP('Données projet'!$B$14,Paramètres!$A$1:$I$89,3,0)*0.475*44/12</f>
        <v>2.4146328624024104E-7</v>
      </c>
      <c r="ED188" s="22">
        <f t="shared" si="178"/>
        <v>59.969360300426821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173.07692307692307</v>
      </c>
      <c r="EK188" s="17">
        <f>EJ188*VLOOKUP('Données projet'!$B$15,Paramètres!$A$1:$I$89,3,0)*VLOOKUP('Données projet'!$B$15,Paramètres!$A$1:$I$89,5,0)</f>
        <v>175.5</v>
      </c>
      <c r="EL188" s="13">
        <f t="shared" si="179"/>
        <v>44.319548641773906</v>
      </c>
      <c r="EM188" s="20">
        <f t="shared" si="180"/>
        <v>382.85238055108954</v>
      </c>
      <c r="EN188" s="59">
        <f t="shared" si="128"/>
        <v>675.57388218359324</v>
      </c>
      <c r="EO188" s="59">
        <f ca="1">AVERAGE(OFFSET($EN$3,0,0,'Données projet'!$E$15+1,1))-AVERAGE(OFFSET($H$3,0,0,'Données projet'!$E$15+1,1))</f>
        <v>270.0029254736703</v>
      </c>
      <c r="EP188" s="59">
        <f t="shared" si="154"/>
        <v>183.80022202211441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3.1144268069385639</v>
      </c>
      <c r="EW188" s="21">
        <f>EXP(-LN(2)/25)*EW187+(1-EXP(-LN(2)/25))/(LN(2)/25)*Calculateur!ER188*Calculateur!ET188*VLOOKUP('Données projet'!$B$15,Paramètres!$A$1:$I$89,3,0)*0.475*44/12</f>
        <v>2.1466360360512651</v>
      </c>
      <c r="EX188" s="21">
        <f>EXP(-LN(2)/2)*EX187+(1-EXP(-LN(2)/2))/(LN(2)/2)*ER188*EU188*VLOOKUP('Données projet'!$B$15,Paramètres!$A$1:$I$89,3,0)*0.475*44/12</f>
        <v>3.5089043495396105E-11</v>
      </c>
      <c r="EY188" s="22">
        <f t="shared" si="181"/>
        <v>5.2610628430249182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-1.4897523215040567E-13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328.93328163316073</v>
      </c>
      <c r="FK188" s="59">
        <f t="shared" si="156"/>
        <v>320.27831321887072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5.7594405485461859</v>
      </c>
      <c r="FR188" s="21">
        <f>EXP(-LN(2)/25)*FR187+(1-EXP(-LN(2)/25))/(LN(2)/25)*Calculateur!FM188*Calculateur!FO188*VLOOKUP('Données projet'!$B$16,Paramètres!$A$1:$I$89,3,0)*0.475*44/12</f>
        <v>2.5308655688431352</v>
      </c>
      <c r="FS188" s="21">
        <f>EXP(-LN(2)/2)*FS187+(1-EXP(-LN(2)/2))/(LN(2)/2)*FM188*FP188*VLOOKUP('Données projet'!$B$16,Paramètres!$A$1:$I$89,3,0)*0.475*44/12</f>
        <v>8.9614611333023588E-15</v>
      </c>
      <c r="FT188" s="22">
        <f t="shared" si="184"/>
        <v>8.2903061173893295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173.07692307692307</v>
      </c>
      <c r="GA188" s="17">
        <f>FZ188*VLOOKUP('Données projet'!$B$17,Paramètres!$A$1:$I$89,3,0)*VLOOKUP('Données projet'!$B$17,Paramètres!$A$1:$I$89,5,0)</f>
        <v>116.1</v>
      </c>
      <c r="GB188" s="13">
        <f t="shared" si="185"/>
        <v>30.763646636385982</v>
      </c>
      <c r="GC188" s="20">
        <f t="shared" si="186"/>
        <v>255.78751789170556</v>
      </c>
      <c r="GD188" s="59">
        <f t="shared" si="134"/>
        <v>548.50901952420929</v>
      </c>
      <c r="GE188" s="59">
        <f ca="1">AVERAGE(OFFSET($GD$3,0,0,'Données projet'!$E$17+1,1))-AVERAGE(OFFSET($H$3,0,0,'Données projet'!$E$17+1,1))</f>
        <v>192.88444860121191</v>
      </c>
      <c r="GF188" s="59">
        <f t="shared" si="158"/>
        <v>136.13737493732751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2.5394557041191321</v>
      </c>
      <c r="GM188" s="21">
        <f>EXP(-LN(2)/25)*GM187+(1-EXP(-LN(2)/25))/(LN(2)/25)*Calculateur!GH188*Calculateur!GJ188*VLOOKUP('Données projet'!$B$17,Paramètres!$A$1:$I$89,3,0)*0.475*44/12</f>
        <v>1.7503339986264153</v>
      </c>
      <c r="GN188" s="21">
        <f>EXP(-LN(2)/2)*GN187+(1-EXP(-LN(2)/2))/(LN(2)/2)*GH188*GK188*VLOOKUP('Données projet'!$B$17,Paramètres!$A$1:$I$89,3,0)*0.475*44/12</f>
        <v>2.3212751850800511E-11</v>
      </c>
      <c r="GO188" s="21">
        <f t="shared" si="187"/>
        <v>4.2897897027687604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69.833136808864666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0.85000000000000009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3.1166666666666671</v>
      </c>
      <c r="H189" s="67">
        <f t="shared" si="110"/>
        <v>244.19999999999996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292.73211554467861</v>
      </c>
      <c r="S189" s="59">
        <f ca="1">AVERAGE(OFFSET($R$3,0,0,'Données projet'!$E$9+1,1))-AVERAGE(OFFSET($H$3,0,0,'Données projet'!$E$9+1,1))</f>
        <v>643.492472896403</v>
      </c>
      <c r="T189" s="59">
        <f t="shared" si="142"/>
        <v>285.0259479655341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-2.2168933355715128E-13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289.89907502443873</v>
      </c>
      <c r="AO189" s="59">
        <f t="shared" si="144"/>
        <v>267.42183550360301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3.950582998509812</v>
      </c>
      <c r="AV189" s="21">
        <f>EXP(-LN(2)/25)*AV188+(1-EXP(-LN(2)/25))/(LN(2)/25)*Calculateur!AQ189*Calculateur!AS189*VLOOKUP('Données projet'!$B$10,Paramètres!$A$1:$I$89,3,0)*0.475*44/12</f>
        <v>1.8054654976901117</v>
      </c>
      <c r="AW189" s="21">
        <f>EXP(-LN(2)/2)*AW188+(1-EXP(-LN(2)/2))/(LN(2)/2)*AQ189*AT189*VLOOKUP('Données projet'!$B$10,Paramètres!$A$1:$I$89,3,0)*0.475*44/12</f>
        <v>1.0491059228067657E-15</v>
      </c>
      <c r="AX189" s="21">
        <f t="shared" si="166"/>
        <v>5.7560484961999245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-9.9475983006414026E-14</v>
      </c>
      <c r="BE189" s="13">
        <f>BD189*VLOOKUP('Données projet'!$B$11,Paramètres!$A$1:$I$89,3,0)*VLOOKUP('Données projet'!$B$11,Paramètres!$A$1:$I$89,5,0)</f>
        <v>-9.6213170763803652E-14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177.54241137663234</v>
      </c>
      <c r="BJ189" s="59">
        <f t="shared" si="146"/>
        <v>114.71095021456071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5.3315330264926919</v>
      </c>
      <c r="BQ189" s="21">
        <f>EXP(-LN(2)/25)*BQ188+(1-EXP(-LN(2)/25))/(LN(2)/25)*Calculateur!BL189*Calculateur!BN189*VLOOKUP('Données projet'!$B$11,Paramètres!$A$1:$I$89,3,0)*0.475*44/12</f>
        <v>4.0459639617827055</v>
      </c>
      <c r="BR189" s="21">
        <f>EXP(-LN(2)/2)*BR188+(1-EXP(-LN(2)/2))/(LN(2)/2)*BL189*BO189*VLOOKUP('Données projet'!$B$11,Paramètres!$A$1:$I$89,3,0)*0.475*44/12</f>
        <v>1.3299686604523548E-9</v>
      </c>
      <c r="BS189" s="22">
        <f t="shared" si="169"/>
        <v>9.3774969896053655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-9.9475983006414026E-14</v>
      </c>
      <c r="BZ189" s="13">
        <f>BY189*VLOOKUP('Données projet'!$B$12,Paramètres!$A$1:$I$89,3,0)*VLOOKUP('Données projet'!$B$12,Paramètres!$A$1:$I$89,5,0)</f>
        <v>-1.0707594810810407E-13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192.88977161349993</v>
      </c>
      <c r="CE189" s="59">
        <f t="shared" si="148"/>
        <v>122.91376861456772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5.9334803036773547</v>
      </c>
      <c r="CL189" s="21">
        <f>EXP(-LN(2)/25)*CL188+(1-EXP(-LN(2)/25))/(LN(2)/25)*Calculateur!CG189*Calculateur!CI189*VLOOKUP('Données projet'!$B$12,Paramètres!$A$1:$I$89,3,0)*0.475*44/12</f>
        <v>4.5027663445646251</v>
      </c>
      <c r="CM189" s="21">
        <f>EXP(-LN(2)/2)*CM188+(1-EXP(-LN(2)/2))/(LN(2)/2)*CG189*CJ189*VLOOKUP('Données projet'!$B$12,Paramètres!$A$1:$I$89,3,0)*0.475*44/12</f>
        <v>1.4801264124389107E-9</v>
      </c>
      <c r="CN189" s="22">
        <f t="shared" si="172"/>
        <v>10.436246649722106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-8.5265128291212022E-14</v>
      </c>
      <c r="CU189" s="17">
        <f>CT189*VLOOKUP('Données projet'!$B$13,Paramètres!$A$1:$I$89,3,0)*VLOOKUP('Données projet'!$B$13,Paramètres!$A$1:$I$89,5,0)</f>
        <v>-6.9167072069831198E-14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163.16040389635825</v>
      </c>
      <c r="CZ189" s="59">
        <f t="shared" si="150"/>
        <v>138.57856782158811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1.1298099032396358</v>
      </c>
      <c r="DH189" s="21">
        <f>EXP(-LN(2)/2)*DH188+(1-EXP(-LN(2)/2))/(LN(2)/2)*DB189*DE189*VLOOKUP('Données projet'!$B$13,Paramètres!$A$1:$I$89,3,0)*0.475*44/12</f>
        <v>8.897795006827882E-14</v>
      </c>
      <c r="DI189" s="22">
        <f t="shared" si="175"/>
        <v>1.1298099032397249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1.7053025658242404E-13</v>
      </c>
      <c r="DP189" s="17">
        <f>DO189*VLOOKUP('Données projet'!$B$14,Paramètres!$A$1:$I$89,3,0)*VLOOKUP('Données projet'!$B$14,Paramètres!$A$1:$I$89,5,0)</f>
        <v>7.9808160080574461E-14</v>
      </c>
      <c r="DQ189" s="13">
        <f t="shared" si="176"/>
        <v>1.2308384591775343E-12</v>
      </c>
      <c r="DR189" s="20">
        <f t="shared" si="177"/>
        <v>2.282709528541206E-12</v>
      </c>
      <c r="DS189" s="59">
        <f t="shared" si="125"/>
        <v>292.73211554466468</v>
      </c>
      <c r="DT189" s="59">
        <f ca="1">AVERAGE(OFFSET($DS$3,0,0,'Données projet'!$E$14+1,1))-AVERAGE(OFFSET($H$3,0,0,'Données projet'!$E$14+1,1))</f>
        <v>343.44193069803498</v>
      </c>
      <c r="DU189" s="59">
        <f t="shared" si="152"/>
        <v>280.67367019483481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48.940876572845696</v>
      </c>
      <c r="EB189" s="21">
        <f>EXP(-LN(2)/25)*EB188+(1-EXP(-LN(2)/25))/(LN(2)/25)*Calculateur!DW189*Calculateur!DY189*VLOOKUP('Données projet'!$B$14,Paramètres!$A$1:$I$89,3,0)*0.475*44/12</f>
        <v>9.7747806980311545</v>
      </c>
      <c r="EC189" s="21">
        <f>EXP(-LN(2)/2)*EC188+(1-EXP(-LN(2)/2))/(LN(2)/2)*DW189*DZ189*VLOOKUP('Données projet'!$B$14,Paramètres!$A$1:$I$89,3,0)*0.475*44/12</f>
        <v>1.7074032710806282E-7</v>
      </c>
      <c r="ED189" s="22">
        <f t="shared" si="178"/>
        <v>58.715657441617175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173.07692307692307</v>
      </c>
      <c r="EK189" s="17">
        <f>EJ189*VLOOKUP('Données projet'!$B$15,Paramètres!$A$1:$I$89,3,0)*VLOOKUP('Données projet'!$B$15,Paramètres!$A$1:$I$89,5,0)</f>
        <v>175.5</v>
      </c>
      <c r="EL189" s="13">
        <f t="shared" si="179"/>
        <v>44.319548641773906</v>
      </c>
      <c r="EM189" s="20">
        <f t="shared" si="180"/>
        <v>382.85238055108954</v>
      </c>
      <c r="EN189" s="59">
        <f t="shared" si="128"/>
        <v>675.584496095752</v>
      </c>
      <c r="EO189" s="59">
        <f ca="1">AVERAGE(OFFSET($EN$3,0,0,'Données projet'!$E$15+1,1))-AVERAGE(OFFSET($H$3,0,0,'Données projet'!$E$15+1,1))</f>
        <v>270.0029254736703</v>
      </c>
      <c r="EP189" s="59">
        <f t="shared" si="154"/>
        <v>183.80022202211441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3.0533547968672798</v>
      </c>
      <c r="EW189" s="21">
        <f>EXP(-LN(2)/25)*EW188+(1-EXP(-LN(2)/25))/(LN(2)/25)*Calculateur!ER189*Calculateur!ET189*VLOOKUP('Données projet'!$B$15,Paramètres!$A$1:$I$89,3,0)*0.475*44/12</f>
        <v>2.0879361607587601</v>
      </c>
      <c r="EX189" s="21">
        <f>EXP(-LN(2)/2)*EX188+(1-EXP(-LN(2)/2))/(LN(2)/2)*ER189*EU189*VLOOKUP('Données projet'!$B$15,Paramètres!$A$1:$I$89,3,0)*0.475*44/12</f>
        <v>2.4811700600944303E-11</v>
      </c>
      <c r="EY189" s="22">
        <f t="shared" si="181"/>
        <v>5.1412909576508516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-1.4897523215040567E-13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328.93328163316073</v>
      </c>
      <c r="FK189" s="59">
        <f t="shared" si="156"/>
        <v>320.27831321887072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5.6465014323010587</v>
      </c>
      <c r="FR189" s="21">
        <f>EXP(-LN(2)/25)*FR188+(1-EXP(-LN(2)/25))/(LN(2)/25)*Calculateur!FM189*Calculateur!FO189*VLOOKUP('Données projet'!$B$16,Paramètres!$A$1:$I$89,3,0)*0.475*44/12</f>
        <v>2.4616589167706837</v>
      </c>
      <c r="FS189" s="21">
        <f>EXP(-LN(2)/2)*FS188+(1-EXP(-LN(2)/2))/(LN(2)/2)*FM189*FP189*VLOOKUP('Données projet'!$B$16,Paramètres!$A$1:$I$89,3,0)*0.475*44/12</f>
        <v>6.3367099366977813E-15</v>
      </c>
      <c r="FT189" s="22">
        <f t="shared" si="184"/>
        <v>8.1081603490717491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173.07692307692307</v>
      </c>
      <c r="GA189" s="17">
        <f>FZ189*VLOOKUP('Données projet'!$B$17,Paramètres!$A$1:$I$89,3,0)*VLOOKUP('Données projet'!$B$17,Paramètres!$A$1:$I$89,5,0)</f>
        <v>116.1</v>
      </c>
      <c r="GB189" s="13">
        <f t="shared" si="185"/>
        <v>30.763646636385982</v>
      </c>
      <c r="GC189" s="20">
        <f t="shared" si="186"/>
        <v>255.78751789170556</v>
      </c>
      <c r="GD189" s="59">
        <f t="shared" si="134"/>
        <v>548.51963343636794</v>
      </c>
      <c r="GE189" s="59">
        <f ca="1">AVERAGE(OFFSET($GD$3,0,0,'Données projet'!$E$17+1,1))-AVERAGE(OFFSET($H$3,0,0,'Données projet'!$E$17+1,1))</f>
        <v>192.88444860121191</v>
      </c>
      <c r="GF189" s="59">
        <f t="shared" si="158"/>
        <v>136.13737493732751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2.4896585266763926</v>
      </c>
      <c r="GM189" s="21">
        <f>EXP(-LN(2)/25)*GM188+(1-EXP(-LN(2)/25))/(LN(2)/25)*Calculateur!GH189*Calculateur!GJ189*VLOOKUP('Données projet'!$B$17,Paramètres!$A$1:$I$89,3,0)*0.475*44/12</f>
        <v>1.7024710233879115</v>
      </c>
      <c r="GN189" s="21">
        <f>EXP(-LN(2)/2)*GN188+(1-EXP(-LN(2)/2))/(LN(2)/2)*GH189*GK189*VLOOKUP('Données projet'!$B$17,Paramètres!$A$1:$I$89,3,0)*0.475*44/12</f>
        <v>1.6413894243701623E-11</v>
      </c>
      <c r="GO189" s="21">
        <f t="shared" si="187"/>
        <v>4.1921295500807174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69.836031512180654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0.85000000000000009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3.1166666666666671</v>
      </c>
      <c r="H190" s="67">
        <f t="shared" si="110"/>
        <v>244.19999999999996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292.74254532919042</v>
      </c>
      <c r="S190" s="59">
        <f ca="1">AVERAGE(OFFSET($R$3,0,0,'Données projet'!$E$9+1,1))-AVERAGE(OFFSET($H$3,0,0,'Données projet'!$E$9+1,1))</f>
        <v>643.492472896403</v>
      </c>
      <c r="T190" s="59">
        <f t="shared" si="142"/>
        <v>285.0259479655341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-2.2168933355715128E-13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289.89907502443873</v>
      </c>
      <c r="AO190" s="59">
        <f t="shared" si="144"/>
        <v>267.42183550360301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3.8731144755267337</v>
      </c>
      <c r="AV190" s="21">
        <f>EXP(-LN(2)/25)*AV189+(1-EXP(-LN(2)/25))/(LN(2)/25)*Calculateur!AQ190*Calculateur!AS190*VLOOKUP('Données projet'!$B$10,Paramètres!$A$1:$I$89,3,0)*0.475*44/12</f>
        <v>1.7560949487104716</v>
      </c>
      <c r="AW190" s="21">
        <f>EXP(-LN(2)/2)*AW189+(1-EXP(-LN(2)/2))/(LN(2)/2)*AQ190*AT190*VLOOKUP('Données projet'!$B$10,Paramètres!$A$1:$I$89,3,0)*0.475*44/12</f>
        <v>7.4182991219963468E-16</v>
      </c>
      <c r="AX190" s="21">
        <f t="shared" si="166"/>
        <v>5.6292094242372057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-9.9475983006414026E-14</v>
      </c>
      <c r="BE190" s="13">
        <f>BD190*VLOOKUP('Données projet'!$B$11,Paramètres!$A$1:$I$89,3,0)*VLOOKUP('Données projet'!$B$11,Paramètres!$A$1:$I$89,5,0)</f>
        <v>-9.6213170763803652E-14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177.54241137663234</v>
      </c>
      <c r="BJ190" s="59">
        <f t="shared" si="146"/>
        <v>114.71095021456071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5.2269849157572166</v>
      </c>
      <c r="BQ190" s="21">
        <f>EXP(-LN(2)/25)*BQ189+(1-EXP(-LN(2)/25))/(LN(2)/25)*Calculateur!BL190*Calculateur!BN190*VLOOKUP('Données projet'!$B$11,Paramètres!$A$1:$I$89,3,0)*0.475*44/12</f>
        <v>3.9353268644797597</v>
      </c>
      <c r="BR190" s="21">
        <f>EXP(-LN(2)/2)*BR189+(1-EXP(-LN(2)/2))/(LN(2)/2)*BL190*BO190*VLOOKUP('Données projet'!$B$11,Paramètres!$A$1:$I$89,3,0)*0.475*44/12</f>
        <v>9.4042985857144898E-10</v>
      </c>
      <c r="BS190" s="22">
        <f t="shared" si="169"/>
        <v>9.1623117811774062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-9.9475983006414026E-14</v>
      </c>
      <c r="BZ190" s="13">
        <f>BY190*VLOOKUP('Données projet'!$B$12,Paramètres!$A$1:$I$89,3,0)*VLOOKUP('Données projet'!$B$12,Paramètres!$A$1:$I$89,5,0)</f>
        <v>-1.0707594810810407E-13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192.88977161349993</v>
      </c>
      <c r="CE190" s="59">
        <f t="shared" si="148"/>
        <v>122.91376861456772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5.8171283739878739</v>
      </c>
      <c r="CL190" s="21">
        <f>EXP(-LN(2)/25)*CL189+(1-EXP(-LN(2)/25))/(LN(2)/25)*Calculateur!CG190*Calculateur!CI190*VLOOKUP('Données projet'!$B$12,Paramètres!$A$1:$I$89,3,0)*0.475*44/12</f>
        <v>4.3796379620823149</v>
      </c>
      <c r="CM190" s="21">
        <f>EXP(-LN(2)/2)*CM189+(1-EXP(-LN(2)/2))/(LN(2)/2)*CG190*CJ190*VLOOKUP('Données projet'!$B$12,Paramètres!$A$1:$I$89,3,0)*0.475*44/12</f>
        <v>1.0466074232488704E-9</v>
      </c>
      <c r="CN190" s="22">
        <f t="shared" si="172"/>
        <v>10.196766337116797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-8.5265128291212022E-14</v>
      </c>
      <c r="CU190" s="17">
        <f>CT190*VLOOKUP('Données projet'!$B$13,Paramètres!$A$1:$I$89,3,0)*VLOOKUP('Données projet'!$B$13,Paramètres!$A$1:$I$89,5,0)</f>
        <v>-6.9167072069831198E-14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163.16040389635825</v>
      </c>
      <c r="CZ190" s="59">
        <f t="shared" si="150"/>
        <v>138.57856782158811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1.0989151920214273</v>
      </c>
      <c r="DH190" s="21">
        <f>EXP(-LN(2)/2)*DH189+(1-EXP(-LN(2)/2))/(LN(2)/2)*DB190*DE190*VLOOKUP('Données projet'!$B$13,Paramètres!$A$1:$I$89,3,0)*0.475*44/12</f>
        <v>6.2916911869357981E-14</v>
      </c>
      <c r="DI190" s="22">
        <f t="shared" si="175"/>
        <v>1.0989151920214901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1.7053025658242404E-13</v>
      </c>
      <c r="DP190" s="17">
        <f>DO190*VLOOKUP('Données projet'!$B$14,Paramètres!$A$1:$I$89,3,0)*VLOOKUP('Données projet'!$B$14,Paramètres!$A$1:$I$89,5,0)</f>
        <v>7.9808160080574461E-14</v>
      </c>
      <c r="DQ190" s="13">
        <f t="shared" si="176"/>
        <v>1.2308384591775343E-12</v>
      </c>
      <c r="DR190" s="20">
        <f t="shared" si="177"/>
        <v>2.282709528541206E-12</v>
      </c>
      <c r="DS190" s="59">
        <f t="shared" si="125"/>
        <v>292.74254532917649</v>
      </c>
      <c r="DT190" s="59">
        <f ca="1">AVERAGE(OFFSET($DS$3,0,0,'Données projet'!$E$14+1,1))-AVERAGE(OFFSET($H$3,0,0,'Données projet'!$E$14+1,1))</f>
        <v>343.44193069803498</v>
      </c>
      <c r="DU190" s="59">
        <f t="shared" si="152"/>
        <v>280.67367019483481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47.981175834239359</v>
      </c>
      <c r="EB190" s="21">
        <f>EXP(-LN(2)/25)*EB189+(1-EXP(-LN(2)/25))/(LN(2)/25)*Calculateur!DW190*Calculateur!DY190*VLOOKUP('Données projet'!$B$14,Paramètres!$A$1:$I$89,3,0)*0.475*44/12</f>
        <v>9.5074888058101159</v>
      </c>
      <c r="EC190" s="21">
        <f>EXP(-LN(2)/2)*EC189+(1-EXP(-LN(2)/2))/(LN(2)/2)*DW190*DZ190*VLOOKUP('Données projet'!$B$14,Paramètres!$A$1:$I$89,3,0)*0.475*44/12</f>
        <v>1.2073164312012052E-7</v>
      </c>
      <c r="ED190" s="22">
        <f t="shared" si="178"/>
        <v>57.48866476078112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173.07692307692307</v>
      </c>
      <c r="EK190" s="17">
        <f>EJ190*VLOOKUP('Données projet'!$B$15,Paramètres!$A$1:$I$89,3,0)*VLOOKUP('Données projet'!$B$15,Paramètres!$A$1:$I$89,5,0)</f>
        <v>175.5</v>
      </c>
      <c r="EL190" s="13">
        <f t="shared" si="179"/>
        <v>44.319548641773906</v>
      </c>
      <c r="EM190" s="20">
        <f t="shared" si="180"/>
        <v>382.85238055108954</v>
      </c>
      <c r="EN190" s="59">
        <f t="shared" si="128"/>
        <v>675.59492588026376</v>
      </c>
      <c r="EO190" s="59">
        <f ca="1">AVERAGE(OFFSET($EN$3,0,0,'Données projet'!$E$15+1,1))-AVERAGE(OFFSET($H$3,0,0,'Données projet'!$E$15+1,1))</f>
        <v>270.0029254736703</v>
      </c>
      <c r="EP190" s="59">
        <f t="shared" si="154"/>
        <v>183.80022202211441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2.9934803716632454</v>
      </c>
      <c r="EW190" s="21">
        <f>EXP(-LN(2)/25)*EW189+(1-EXP(-LN(2)/25))/(LN(2)/25)*Calculateur!ER190*Calculateur!ET190*VLOOKUP('Données projet'!$B$15,Paramètres!$A$1:$I$89,3,0)*0.475*44/12</f>
        <v>2.030841436643021</v>
      </c>
      <c r="EX190" s="21">
        <f>EXP(-LN(2)/2)*EX189+(1-EXP(-LN(2)/2))/(LN(2)/2)*ER190*EU190*VLOOKUP('Données projet'!$B$15,Paramètres!$A$1:$I$89,3,0)*0.475*44/12</f>
        <v>1.7544521747698053E-11</v>
      </c>
      <c r="EY190" s="22">
        <f t="shared" si="181"/>
        <v>5.024321808323811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-1.4897523215040567E-13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328.93328163316073</v>
      </c>
      <c r="FK190" s="59">
        <f t="shared" si="156"/>
        <v>320.27831321887072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5.5357769832394395</v>
      </c>
      <c r="FR190" s="21">
        <f>EXP(-LN(2)/25)*FR189+(1-EXP(-LN(2)/25))/(LN(2)/25)*Calculateur!FM190*Calculateur!FO190*VLOOKUP('Données projet'!$B$16,Paramètres!$A$1:$I$89,3,0)*0.475*44/12</f>
        <v>2.3943447242385729</v>
      </c>
      <c r="FS190" s="21">
        <f>EXP(-LN(2)/2)*FS189+(1-EXP(-LN(2)/2))/(LN(2)/2)*FM190*FP190*VLOOKUP('Données projet'!$B$16,Paramètres!$A$1:$I$89,3,0)*0.475*44/12</f>
        <v>4.4807305666511794E-15</v>
      </c>
      <c r="FT190" s="22">
        <f t="shared" si="184"/>
        <v>7.9301217074780164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173.07692307692307</v>
      </c>
      <c r="GA190" s="17">
        <f>FZ190*VLOOKUP('Données projet'!$B$17,Paramètres!$A$1:$I$89,3,0)*VLOOKUP('Données projet'!$B$17,Paramètres!$A$1:$I$89,5,0)</f>
        <v>116.1</v>
      </c>
      <c r="GB190" s="13">
        <f t="shared" si="185"/>
        <v>30.763646636385982</v>
      </c>
      <c r="GC190" s="20">
        <f t="shared" si="186"/>
        <v>255.78751789170556</v>
      </c>
      <c r="GD190" s="59">
        <f t="shared" si="134"/>
        <v>548.53006322087981</v>
      </c>
      <c r="GE190" s="59">
        <f ca="1">AVERAGE(OFFSET($GD$3,0,0,'Données projet'!$E$17+1,1))-AVERAGE(OFFSET($H$3,0,0,'Données projet'!$E$17+1,1))</f>
        <v>192.88444860121191</v>
      </c>
      <c r="GF190" s="59">
        <f t="shared" si="158"/>
        <v>136.13737493732751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2.4408378415100263</v>
      </c>
      <c r="GM190" s="21">
        <f>EXP(-LN(2)/25)*GM189+(1-EXP(-LN(2)/25))/(LN(2)/25)*Calculateur!GH190*Calculateur!GJ190*VLOOKUP('Données projet'!$B$17,Paramètres!$A$1:$I$89,3,0)*0.475*44/12</f>
        <v>1.6559168637243089</v>
      </c>
      <c r="GN190" s="21">
        <f>EXP(-LN(2)/2)*GN189+(1-EXP(-LN(2)/2))/(LN(2)/2)*GH190*GK190*VLOOKUP('Données projet'!$B$17,Paramètres!$A$1:$I$89,3,0)*0.475*44/12</f>
        <v>1.1606375925400255E-11</v>
      </c>
      <c r="GO190" s="21">
        <f t="shared" si="187"/>
        <v>4.0967547052459423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69.838875998865703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0.85000000000000009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3.1166666666666671</v>
      </c>
      <c r="H191" s="67">
        <f t="shared" si="110"/>
        <v>244.19999999999996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292.75279418025849</v>
      </c>
      <c r="S191" s="59">
        <f ca="1">AVERAGE(OFFSET($R$3,0,0,'Données projet'!$E$9+1,1))-AVERAGE(OFFSET($H$3,0,0,'Données projet'!$E$9+1,1))</f>
        <v>643.492472896403</v>
      </c>
      <c r="T191" s="59">
        <f t="shared" si="142"/>
        <v>285.0259479655341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-2.2168933355715128E-13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289.89907502443873</v>
      </c>
      <c r="AO191" s="59">
        <f t="shared" si="144"/>
        <v>267.42183550360301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3.7971650630282201</v>
      </c>
      <c r="AV191" s="21">
        <f>EXP(-LN(2)/25)*AV190+(1-EXP(-LN(2)/25))/(LN(2)/25)*Calculateur!AQ191*Calculateur!AS191*VLOOKUP('Données projet'!$B$10,Paramètres!$A$1:$I$89,3,0)*0.475*44/12</f>
        <v>1.708074439988964</v>
      </c>
      <c r="AW191" s="21">
        <f>EXP(-LN(2)/2)*AW190+(1-EXP(-LN(2)/2))/(LN(2)/2)*AQ191*AT191*VLOOKUP('Données projet'!$B$10,Paramètres!$A$1:$I$89,3,0)*0.475*44/12</f>
        <v>5.2455296140338283E-16</v>
      </c>
      <c r="AX191" s="21">
        <f t="shared" si="166"/>
        <v>5.5052395030171848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-9.9475983006414026E-14</v>
      </c>
      <c r="BE191" s="13">
        <f>BD191*VLOOKUP('Données projet'!$B$11,Paramètres!$A$1:$I$89,3,0)*VLOOKUP('Données projet'!$B$11,Paramètres!$A$1:$I$89,5,0)</f>
        <v>-9.6213170763803652E-14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177.54241137663234</v>
      </c>
      <c r="BJ191" s="59">
        <f t="shared" si="146"/>
        <v>114.71095021456071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5.1244869297052125</v>
      </c>
      <c r="BQ191" s="21">
        <f>EXP(-LN(2)/25)*BQ190+(1-EXP(-LN(2)/25))/(LN(2)/25)*Calculateur!BL191*Calculateur!BN191*VLOOKUP('Données projet'!$B$11,Paramètres!$A$1:$I$89,3,0)*0.475*44/12</f>
        <v>3.8277151444207149</v>
      </c>
      <c r="BR191" s="21">
        <f>EXP(-LN(2)/2)*BR190+(1-EXP(-LN(2)/2))/(LN(2)/2)*BL191*BO191*VLOOKUP('Données projet'!$B$11,Paramètres!$A$1:$I$89,3,0)*0.475*44/12</f>
        <v>6.6498433022617741E-10</v>
      </c>
      <c r="BS191" s="22">
        <f t="shared" si="169"/>
        <v>8.9522020747909128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-9.9475983006414026E-14</v>
      </c>
      <c r="BZ191" s="13">
        <f>BY191*VLOOKUP('Données projet'!$B$12,Paramètres!$A$1:$I$89,3,0)*VLOOKUP('Données projet'!$B$12,Paramètres!$A$1:$I$89,5,0)</f>
        <v>-1.0707594810810407E-13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192.88977161349993</v>
      </c>
      <c r="CE191" s="59">
        <f t="shared" si="148"/>
        <v>122.91376861456772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5.7030580346719342</v>
      </c>
      <c r="CL191" s="21">
        <f>EXP(-LN(2)/25)*CL190+(1-EXP(-LN(2)/25))/(LN(2)/25)*Calculateur!CG191*Calculateur!CI191*VLOOKUP('Données projet'!$B$12,Paramètres!$A$1:$I$89,3,0)*0.475*44/12</f>
        <v>4.2598765316940232</v>
      </c>
      <c r="CM191" s="21">
        <f>EXP(-LN(2)/2)*CM190+(1-EXP(-LN(2)/2))/(LN(2)/2)*CG191*CJ191*VLOOKUP('Données projet'!$B$12,Paramètres!$A$1:$I$89,3,0)*0.475*44/12</f>
        <v>7.4006320621945534E-10</v>
      </c>
      <c r="CN191" s="22">
        <f t="shared" si="172"/>
        <v>9.9629345671060214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-8.5265128291212022E-14</v>
      </c>
      <c r="CU191" s="17">
        <f>CT191*VLOOKUP('Données projet'!$B$13,Paramètres!$A$1:$I$89,3,0)*VLOOKUP('Données projet'!$B$13,Paramètres!$A$1:$I$89,5,0)</f>
        <v>-6.9167072069831198E-14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163.16040389635825</v>
      </c>
      <c r="CZ191" s="59">
        <f t="shared" si="150"/>
        <v>138.57856782158811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1.0688652983061631</v>
      </c>
      <c r="DH191" s="21">
        <f>EXP(-LN(2)/2)*DH190+(1-EXP(-LN(2)/2))/(LN(2)/2)*DB191*DE191*VLOOKUP('Données projet'!$B$13,Paramètres!$A$1:$I$89,3,0)*0.475*44/12</f>
        <v>4.448897503413941E-14</v>
      </c>
      <c r="DI191" s="22">
        <f t="shared" si="175"/>
        <v>1.0688652983062075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1.7053025658242404E-13</v>
      </c>
      <c r="DP191" s="17">
        <f>DO191*VLOOKUP('Données projet'!$B$14,Paramètres!$A$1:$I$89,3,0)*VLOOKUP('Données projet'!$B$14,Paramètres!$A$1:$I$89,5,0)</f>
        <v>7.9808160080574461E-14</v>
      </c>
      <c r="DQ191" s="13">
        <f t="shared" si="176"/>
        <v>1.2308384591775343E-12</v>
      </c>
      <c r="DR191" s="20">
        <f t="shared" si="177"/>
        <v>2.282709528541206E-12</v>
      </c>
      <c r="DS191" s="59">
        <f t="shared" si="125"/>
        <v>292.75279418024456</v>
      </c>
      <c r="DT191" s="59">
        <f ca="1">AVERAGE(OFFSET($DS$3,0,0,'Données projet'!$E$14+1,1))-AVERAGE(OFFSET($H$3,0,0,'Données projet'!$E$14+1,1))</f>
        <v>343.44193069803498</v>
      </c>
      <c r="DU191" s="59">
        <f t="shared" si="152"/>
        <v>280.67367019483481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47.040294241757444</v>
      </c>
      <c r="EB191" s="21">
        <f>EXP(-LN(2)/25)*EB190+(1-EXP(-LN(2)/25))/(LN(2)/25)*Calculateur!DW191*Calculateur!DY191*VLOOKUP('Données projet'!$B$14,Paramètres!$A$1:$I$89,3,0)*0.475*44/12</f>
        <v>9.2475060244381311</v>
      </c>
      <c r="EC191" s="21">
        <f>EXP(-LN(2)/2)*EC190+(1-EXP(-LN(2)/2))/(LN(2)/2)*DW191*DZ191*VLOOKUP('Données projet'!$B$14,Paramètres!$A$1:$I$89,3,0)*0.475*44/12</f>
        <v>8.5370163554031411E-8</v>
      </c>
      <c r="ED191" s="22">
        <f t="shared" si="178"/>
        <v>56.287800351565735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173.07692307692307</v>
      </c>
      <c r="EK191" s="17">
        <f>EJ191*VLOOKUP('Données projet'!$B$15,Paramètres!$A$1:$I$89,3,0)*VLOOKUP('Données projet'!$B$15,Paramètres!$A$1:$I$89,5,0)</f>
        <v>175.5</v>
      </c>
      <c r="EL191" s="13">
        <f t="shared" si="179"/>
        <v>44.319548641773906</v>
      </c>
      <c r="EM191" s="20">
        <f t="shared" si="180"/>
        <v>382.85238055108954</v>
      </c>
      <c r="EN191" s="59">
        <f t="shared" si="128"/>
        <v>675.60517473133177</v>
      </c>
      <c r="EO191" s="59">
        <f ca="1">AVERAGE(OFFSET($EN$3,0,0,'Données projet'!$E$15+1,1))-AVERAGE(OFFSET($H$3,0,0,'Données projet'!$E$15+1,1))</f>
        <v>270.0029254736703</v>
      </c>
      <c r="EP191" s="59">
        <f t="shared" si="154"/>
        <v>183.80022202211441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2.9347800474176688</v>
      </c>
      <c r="EW191" s="21">
        <f>EXP(-LN(2)/25)*EW190+(1-EXP(-LN(2)/25))/(LN(2)/25)*Calculateur!ER191*Calculateur!ET191*VLOOKUP('Données projet'!$B$15,Paramètres!$A$1:$I$89,3,0)*0.475*44/12</f>
        <v>1.975307970760708</v>
      </c>
      <c r="EX191" s="21">
        <f>EXP(-LN(2)/2)*EX190+(1-EXP(-LN(2)/2))/(LN(2)/2)*ER191*EU191*VLOOKUP('Données projet'!$B$15,Paramètres!$A$1:$I$89,3,0)*0.475*44/12</f>
        <v>1.2405850300472152E-11</v>
      </c>
      <c r="EY191" s="22">
        <f t="shared" si="181"/>
        <v>4.9100880181907831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-1.4897523215040567E-13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328.93328163316073</v>
      </c>
      <c r="FK191" s="59">
        <f t="shared" si="156"/>
        <v>320.27831321887072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5.4272237730886728</v>
      </c>
      <c r="FR191" s="21">
        <f>EXP(-LN(2)/25)*FR190+(1-EXP(-LN(2)/25))/(LN(2)/25)*Calculateur!FM191*Calculateur!FO191*VLOOKUP('Données projet'!$B$16,Paramètres!$A$1:$I$89,3,0)*0.475*44/12</f>
        <v>2.3288712418411524</v>
      </c>
      <c r="FS191" s="21">
        <f>EXP(-LN(2)/2)*FS190+(1-EXP(-LN(2)/2))/(LN(2)/2)*FM191*FP191*VLOOKUP('Données projet'!$B$16,Paramètres!$A$1:$I$89,3,0)*0.475*44/12</f>
        <v>3.1683549683488907E-15</v>
      </c>
      <c r="FT191" s="22">
        <f t="shared" si="184"/>
        <v>7.7560950149298282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173.07692307692307</v>
      </c>
      <c r="GA191" s="17">
        <f>FZ191*VLOOKUP('Données projet'!$B$17,Paramètres!$A$1:$I$89,3,0)*VLOOKUP('Données projet'!$B$17,Paramètres!$A$1:$I$89,5,0)</f>
        <v>116.1</v>
      </c>
      <c r="GB191" s="13">
        <f t="shared" si="185"/>
        <v>30.763646636385982</v>
      </c>
      <c r="GC191" s="20">
        <f t="shared" si="186"/>
        <v>255.78751789170556</v>
      </c>
      <c r="GD191" s="59">
        <f t="shared" si="134"/>
        <v>548.54031207194782</v>
      </c>
      <c r="GE191" s="59">
        <f ca="1">AVERAGE(OFFSET($GD$3,0,0,'Données projet'!$E$17+1,1))-AVERAGE(OFFSET($H$3,0,0,'Données projet'!$E$17+1,1))</f>
        <v>192.88444860121191</v>
      </c>
      <c r="GF191" s="59">
        <f t="shared" si="158"/>
        <v>136.13737493732751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2.3929745002020946</v>
      </c>
      <c r="GM191" s="21">
        <f>EXP(-LN(2)/25)*GM190+(1-EXP(-LN(2)/25))/(LN(2)/25)*Calculateur!GH191*Calculateur!GJ191*VLOOKUP('Données projet'!$B$17,Paramètres!$A$1:$I$89,3,0)*0.475*44/12</f>
        <v>1.6106357300048844</v>
      </c>
      <c r="GN191" s="21">
        <f>EXP(-LN(2)/2)*GN190+(1-EXP(-LN(2)/2))/(LN(2)/2)*GH191*GK191*VLOOKUP('Données projet'!$B$17,Paramètres!$A$1:$I$89,3,0)*0.475*44/12</f>
        <v>8.2069471218508114E-12</v>
      </c>
      <c r="GO191" s="21">
        <f t="shared" si="187"/>
        <v>4.0036102302151857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69.841671140066083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0.85000000000000009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3.1166666666666671</v>
      </c>
      <c r="H192" s="67">
        <f t="shared" si="110"/>
        <v>244.19999999999996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292.76286523667352</v>
      </c>
      <c r="S192" s="59">
        <f ca="1">AVERAGE(OFFSET($R$3,0,0,'Données projet'!$E$9+1,1))-AVERAGE(OFFSET($H$3,0,0,'Données projet'!$E$9+1,1))</f>
        <v>643.492472896403</v>
      </c>
      <c r="T192" s="59">
        <f t="shared" si="142"/>
        <v>285.0259479655341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-2.2168933355715128E-13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289.89907502443873</v>
      </c>
      <c r="AO192" s="59">
        <f t="shared" si="144"/>
        <v>267.42183550360301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3.7227049721842351</v>
      </c>
      <c r="AV192" s="21">
        <f>EXP(-LN(2)/25)*AV191+(1-EXP(-LN(2)/25))/(LN(2)/25)*Calculateur!AQ192*Calculateur!AS192*VLOOKUP('Données projet'!$B$10,Paramètres!$A$1:$I$89,3,0)*0.475*44/12</f>
        <v>1.6613670546037349</v>
      </c>
      <c r="AW192" s="21">
        <f>EXP(-LN(2)/2)*AW191+(1-EXP(-LN(2)/2))/(LN(2)/2)*AQ192*AT192*VLOOKUP('Données projet'!$B$10,Paramètres!$A$1:$I$89,3,0)*0.475*44/12</f>
        <v>3.7091495609981734E-16</v>
      </c>
      <c r="AX192" s="21">
        <f t="shared" si="166"/>
        <v>5.3840720267879698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-9.9475983006414026E-14</v>
      </c>
      <c r="BE192" s="13">
        <f>BD192*VLOOKUP('Données projet'!$B$11,Paramètres!$A$1:$I$89,3,0)*VLOOKUP('Données projet'!$B$11,Paramètres!$A$1:$I$89,5,0)</f>
        <v>-9.6213170763803652E-14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177.54241137663234</v>
      </c>
      <c r="BJ192" s="59">
        <f t="shared" si="146"/>
        <v>114.71095021456071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5.0239988666420903</v>
      </c>
      <c r="BQ192" s="21">
        <f>EXP(-LN(2)/25)*BQ191+(1-EXP(-LN(2)/25))/(LN(2)/25)*Calculateur!BL192*Calculateur!BN192*VLOOKUP('Données projet'!$B$11,Paramètres!$A$1:$I$89,3,0)*0.475*44/12</f>
        <v>3.7230460725057393</v>
      </c>
      <c r="BR192" s="21">
        <f>EXP(-LN(2)/2)*BR191+(1-EXP(-LN(2)/2))/(LN(2)/2)*BL192*BO192*VLOOKUP('Données projet'!$B$11,Paramètres!$A$1:$I$89,3,0)*0.475*44/12</f>
        <v>4.7021492928572449E-10</v>
      </c>
      <c r="BS192" s="22">
        <f t="shared" si="169"/>
        <v>8.7470449396180445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-9.9475983006414026E-14</v>
      </c>
      <c r="BZ192" s="13">
        <f>BY192*VLOOKUP('Données projet'!$B$12,Paramètres!$A$1:$I$89,3,0)*VLOOKUP('Données projet'!$B$12,Paramètres!$A$1:$I$89,5,0)</f>
        <v>-1.0707594810810407E-13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192.88977161349993</v>
      </c>
      <c r="CE192" s="59">
        <f t="shared" si="148"/>
        <v>122.91376861456772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5.5912245451339428</v>
      </c>
      <c r="CL192" s="21">
        <f>EXP(-LN(2)/25)*CL191+(1-EXP(-LN(2)/25))/(LN(2)/25)*Calculateur!CG192*Calculateur!CI192*VLOOKUP('Données projet'!$B$12,Paramètres!$A$1:$I$89,3,0)*0.475*44/12</f>
        <v>4.1433899839176798</v>
      </c>
      <c r="CM192" s="21">
        <f>EXP(-LN(2)/2)*CM191+(1-EXP(-LN(2)/2))/(LN(2)/2)*CG192*CJ192*VLOOKUP('Données projet'!$B$12,Paramètres!$A$1:$I$89,3,0)*0.475*44/12</f>
        <v>5.233037116244352E-10</v>
      </c>
      <c r="CN192" s="22">
        <f t="shared" si="172"/>
        <v>9.7346145295749267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-8.5265128291212022E-14</v>
      </c>
      <c r="CU192" s="17">
        <f>CT192*VLOOKUP('Données projet'!$B$13,Paramètres!$A$1:$I$89,3,0)*VLOOKUP('Données projet'!$B$13,Paramètres!$A$1:$I$89,5,0)</f>
        <v>-6.9167072069831198E-14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163.16040389635825</v>
      </c>
      <c r="CZ192" s="59">
        <f t="shared" si="150"/>
        <v>138.57856782158811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1.0396371205147978</v>
      </c>
      <c r="DH192" s="21">
        <f>EXP(-LN(2)/2)*DH191+(1-EXP(-LN(2)/2))/(LN(2)/2)*DB192*DE192*VLOOKUP('Données projet'!$B$13,Paramètres!$A$1:$I$89,3,0)*0.475*44/12</f>
        <v>3.1458455934678991E-14</v>
      </c>
      <c r="DI192" s="22">
        <f t="shared" si="175"/>
        <v>1.0396371205148294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1.7053025658242404E-13</v>
      </c>
      <c r="DP192" s="17">
        <f>DO192*VLOOKUP('Données projet'!$B$14,Paramètres!$A$1:$I$89,3,0)*VLOOKUP('Données projet'!$B$14,Paramètres!$A$1:$I$89,5,0)</f>
        <v>7.9808160080574461E-14</v>
      </c>
      <c r="DQ192" s="13">
        <f t="shared" si="176"/>
        <v>1.2308384591775343E-12</v>
      </c>
      <c r="DR192" s="20">
        <f t="shared" si="177"/>
        <v>2.282709528541206E-12</v>
      </c>
      <c r="DS192" s="59">
        <f t="shared" si="125"/>
        <v>292.76286523665959</v>
      </c>
      <c r="DT192" s="59">
        <f ca="1">AVERAGE(OFFSET($DS$3,0,0,'Données projet'!$E$14+1,1))-AVERAGE(OFFSET($H$3,0,0,'Données projet'!$E$14+1,1))</f>
        <v>343.44193069803498</v>
      </c>
      <c r="DU192" s="59">
        <f t="shared" si="152"/>
        <v>280.67367019483481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46.117862763422991</v>
      </c>
      <c r="EB192" s="21">
        <f>EXP(-LN(2)/25)*EB191+(1-EXP(-LN(2)/25))/(LN(2)/25)*Calculateur!DW192*Calculateur!DY192*VLOOKUP('Données projet'!$B$14,Paramètres!$A$1:$I$89,3,0)*0.475*44/12</f>
        <v>8.9946324858946642</v>
      </c>
      <c r="EC192" s="21">
        <f>EXP(-LN(2)/2)*EC191+(1-EXP(-LN(2)/2))/(LN(2)/2)*DW192*DZ192*VLOOKUP('Données projet'!$B$14,Paramètres!$A$1:$I$89,3,0)*0.475*44/12</f>
        <v>6.0365821560060261E-8</v>
      </c>
      <c r="ED192" s="22">
        <f t="shared" si="178"/>
        <v>55.112495309683474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173.07692307692307</v>
      </c>
      <c r="EK192" s="17">
        <f>EJ192*VLOOKUP('Données projet'!$B$15,Paramètres!$A$1:$I$89,3,0)*VLOOKUP('Données projet'!$B$15,Paramètres!$A$1:$I$89,5,0)</f>
        <v>175.5</v>
      </c>
      <c r="EL192" s="13">
        <f t="shared" si="179"/>
        <v>44.319548641773906</v>
      </c>
      <c r="EM192" s="20">
        <f t="shared" si="180"/>
        <v>382.85238055108954</v>
      </c>
      <c r="EN192" s="59">
        <f t="shared" si="128"/>
        <v>675.61524578774686</v>
      </c>
      <c r="EO192" s="59">
        <f ca="1">AVERAGE(OFFSET($EN$3,0,0,'Données projet'!$E$15+1,1))-AVERAGE(OFFSET($H$3,0,0,'Données projet'!$E$15+1,1))</f>
        <v>270.0029254736703</v>
      </c>
      <c r="EP192" s="59">
        <f t="shared" si="154"/>
        <v>183.80022202211441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2.8772308007268856</v>
      </c>
      <c r="EW192" s="21">
        <f>EXP(-LN(2)/25)*EW191+(1-EXP(-LN(2)/25))/(LN(2)/25)*Calculateur!ER192*Calculateur!ET192*VLOOKUP('Données projet'!$B$15,Paramètres!$A$1:$I$89,3,0)*0.475*44/12</f>
        <v>1.9212930704233249</v>
      </c>
      <c r="EX192" s="21">
        <f>EXP(-LN(2)/2)*EX191+(1-EXP(-LN(2)/2))/(LN(2)/2)*ER192*EU192*VLOOKUP('Données projet'!$B$15,Paramètres!$A$1:$I$89,3,0)*0.475*44/12</f>
        <v>8.7722608738490264E-12</v>
      </c>
      <c r="EY192" s="22">
        <f t="shared" si="181"/>
        <v>4.7985238711589835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-1.4897523215040567E-13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328.93328163316073</v>
      </c>
      <c r="FK192" s="59">
        <f t="shared" si="156"/>
        <v>320.27831321887072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5.3207992251780425</v>
      </c>
      <c r="FR192" s="21">
        <f>EXP(-LN(2)/25)*FR191+(1-EXP(-LN(2)/25))/(LN(2)/25)*Calculateur!FM192*Calculateur!FO192*VLOOKUP('Données projet'!$B$16,Paramètres!$A$1:$I$89,3,0)*0.475*44/12</f>
        <v>2.2651881352629903</v>
      </c>
      <c r="FS192" s="21">
        <f>EXP(-LN(2)/2)*FS191+(1-EXP(-LN(2)/2))/(LN(2)/2)*FM192*FP192*VLOOKUP('Données projet'!$B$16,Paramètres!$A$1:$I$89,3,0)*0.475*44/12</f>
        <v>2.2403652833255897E-15</v>
      </c>
      <c r="FT192" s="22">
        <f t="shared" si="184"/>
        <v>7.5859873604410355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173.07692307692307</v>
      </c>
      <c r="GA192" s="17">
        <f>FZ192*VLOOKUP('Données projet'!$B$17,Paramètres!$A$1:$I$89,3,0)*VLOOKUP('Données projet'!$B$17,Paramètres!$A$1:$I$89,5,0)</f>
        <v>116.1</v>
      </c>
      <c r="GB192" s="13">
        <f t="shared" si="185"/>
        <v>30.763646636385982</v>
      </c>
      <c r="GC192" s="20">
        <f t="shared" si="186"/>
        <v>255.78751789170556</v>
      </c>
      <c r="GD192" s="59">
        <f t="shared" si="134"/>
        <v>548.55038312836291</v>
      </c>
      <c r="GE192" s="59">
        <f ca="1">AVERAGE(OFFSET($GD$3,0,0,'Données projet'!$E$17+1,1))-AVERAGE(OFFSET($H$3,0,0,'Données projet'!$E$17+1,1))</f>
        <v>192.88444860121191</v>
      </c>
      <c r="GF192" s="59">
        <f t="shared" si="158"/>
        <v>136.13737493732751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2.3460497298234562</v>
      </c>
      <c r="GM192" s="21">
        <f>EXP(-LN(2)/25)*GM191+(1-EXP(-LN(2)/25))/(LN(2)/25)*Calculateur!GH192*Calculateur!GJ192*VLOOKUP('Données projet'!$B$17,Paramètres!$A$1:$I$89,3,0)*0.475*44/12</f>
        <v>1.566592811268249</v>
      </c>
      <c r="GN192" s="21">
        <f>EXP(-LN(2)/2)*GN191+(1-EXP(-LN(2)/2))/(LN(2)/2)*GH192*GK192*VLOOKUP('Données projet'!$B$17,Paramètres!$A$1:$I$89,3,0)*0.475*44/12</f>
        <v>5.8031879627001277E-12</v>
      </c>
      <c r="GO192" s="21">
        <f t="shared" si="187"/>
        <v>3.9126425410975085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69.84441779181563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0.85000000000000009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3.1166666666666671</v>
      </c>
      <c r="H193" s="67">
        <f t="shared" si="110"/>
        <v>244.19999999999996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292.77276158277527</v>
      </c>
      <c r="S193" s="59">
        <f ca="1">AVERAGE(OFFSET($R$3,0,0,'Données projet'!$E$9+1,1))-AVERAGE(OFFSET($H$3,0,0,'Données projet'!$E$9+1,1))</f>
        <v>643.492472896403</v>
      </c>
      <c r="T193" s="59">
        <f t="shared" si="142"/>
        <v>285.0259479655341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-2.2168933355715128E-13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289.89907502443873</v>
      </c>
      <c r="AO193" s="59">
        <f t="shared" si="144"/>
        <v>267.42183550360301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3.6497049983055296</v>
      </c>
      <c r="AV193" s="21">
        <f>EXP(-LN(2)/25)*AV192+(1-EXP(-LN(2)/25))/(LN(2)/25)*Calculateur!AQ193*Calculateur!AS193*VLOOKUP('Données projet'!$B$10,Paramètres!$A$1:$I$89,3,0)*0.475*44/12</f>
        <v>1.6159368851280995</v>
      </c>
      <c r="AW193" s="21">
        <f>EXP(-LN(2)/2)*AW192+(1-EXP(-LN(2)/2))/(LN(2)/2)*AQ193*AT193*VLOOKUP('Données projet'!$B$10,Paramètres!$A$1:$I$89,3,0)*0.475*44/12</f>
        <v>2.6227648070169142E-16</v>
      </c>
      <c r="AX193" s="21">
        <f t="shared" si="166"/>
        <v>5.2656418834336289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-9.9475983006414026E-14</v>
      </c>
      <c r="BE193" s="13">
        <f>BD193*VLOOKUP('Données projet'!$B$11,Paramètres!$A$1:$I$89,3,0)*VLOOKUP('Données projet'!$B$11,Paramètres!$A$1:$I$89,5,0)</f>
        <v>-9.6213170763803652E-14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177.54241137663234</v>
      </c>
      <c r="BJ193" s="59">
        <f t="shared" si="146"/>
        <v>114.71095021456071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4.925481313203969</v>
      </c>
      <c r="BQ193" s="21">
        <f>EXP(-LN(2)/25)*BQ192+(1-EXP(-LN(2)/25))/(LN(2)/25)*Calculateur!BL193*Calculateur!BN193*VLOOKUP('Données projet'!$B$11,Paramètres!$A$1:$I$89,3,0)*0.475*44/12</f>
        <v>3.6212391818665859</v>
      </c>
      <c r="BR193" s="21">
        <f>EXP(-LN(2)/2)*BR192+(1-EXP(-LN(2)/2))/(LN(2)/2)*BL193*BO193*VLOOKUP('Données projet'!$B$11,Paramètres!$A$1:$I$89,3,0)*0.475*44/12</f>
        <v>3.324921651130887E-10</v>
      </c>
      <c r="BS193" s="22">
        <f t="shared" si="169"/>
        <v>8.5467204954030471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-9.9475983006414026E-14</v>
      </c>
      <c r="BZ193" s="13">
        <f>BY193*VLOOKUP('Données projet'!$B$12,Paramètres!$A$1:$I$89,3,0)*VLOOKUP('Données projet'!$B$12,Paramètres!$A$1:$I$89,5,0)</f>
        <v>-1.0707594810810407E-13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192.88977161349993</v>
      </c>
      <c r="CE193" s="59">
        <f t="shared" si="148"/>
        <v>122.91376861456772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5.4815840421140987</v>
      </c>
      <c r="CL193" s="21">
        <f>EXP(-LN(2)/25)*CL192+(1-EXP(-LN(2)/25))/(LN(2)/25)*Calculateur!CG193*Calculateur!CI193*VLOOKUP('Données projet'!$B$12,Paramètres!$A$1:$I$89,3,0)*0.475*44/12</f>
        <v>4.030088766916041</v>
      </c>
      <c r="CM193" s="21">
        <f>EXP(-LN(2)/2)*CM192+(1-EXP(-LN(2)/2))/(LN(2)/2)*CG193*CJ193*VLOOKUP('Données projet'!$B$12,Paramètres!$A$1:$I$89,3,0)*0.475*44/12</f>
        <v>3.7003160310972767E-10</v>
      </c>
      <c r="CN193" s="22">
        <f t="shared" si="172"/>
        <v>9.5116728094001708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-8.5265128291212022E-14</v>
      </c>
      <c r="CU193" s="17">
        <f>CT193*VLOOKUP('Données projet'!$B$13,Paramètres!$A$1:$I$89,3,0)*VLOOKUP('Données projet'!$B$13,Paramètres!$A$1:$I$89,5,0)</f>
        <v>-6.9167072069831198E-14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163.16040389635825</v>
      </c>
      <c r="CZ193" s="59">
        <f t="shared" si="150"/>
        <v>138.57856782158811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1.0112081887821807</v>
      </c>
      <c r="DH193" s="21">
        <f>EXP(-LN(2)/2)*DH192+(1-EXP(-LN(2)/2))/(LN(2)/2)*DB193*DE193*VLOOKUP('Données projet'!$B$13,Paramètres!$A$1:$I$89,3,0)*0.475*44/12</f>
        <v>2.2244487517069705E-14</v>
      </c>
      <c r="DI193" s="22">
        <f t="shared" si="175"/>
        <v>1.0112081887822029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1.7053025658242404E-13</v>
      </c>
      <c r="DP193" s="17">
        <f>DO193*VLOOKUP('Données projet'!$B$14,Paramètres!$A$1:$I$89,3,0)*VLOOKUP('Données projet'!$B$14,Paramètres!$A$1:$I$89,5,0)</f>
        <v>7.9808160080574461E-14</v>
      </c>
      <c r="DQ193" s="13">
        <f t="shared" si="176"/>
        <v>1.2308384591775343E-12</v>
      </c>
      <c r="DR193" s="20">
        <f t="shared" si="177"/>
        <v>2.282709528541206E-12</v>
      </c>
      <c r="DS193" s="59">
        <f t="shared" si="125"/>
        <v>292.77276158276135</v>
      </c>
      <c r="DT193" s="59">
        <f ca="1">AVERAGE(OFFSET($DS$3,0,0,'Données projet'!$E$14+1,1))-AVERAGE(OFFSET($H$3,0,0,'Données projet'!$E$14+1,1))</f>
        <v>343.44193069803498</v>
      </c>
      <c r="DU193" s="59">
        <f t="shared" si="152"/>
        <v>280.67367019483481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45.213519603751031</v>
      </c>
      <c r="EB193" s="21">
        <f>EXP(-LN(2)/25)*EB192+(1-EXP(-LN(2)/25))/(LN(2)/25)*Calculateur!DW193*Calculateur!DY193*VLOOKUP('Données projet'!$B$14,Paramètres!$A$1:$I$89,3,0)*0.475*44/12</f>
        <v>8.7486737875607101</v>
      </c>
      <c r="EC193" s="21">
        <f>EXP(-LN(2)/2)*EC192+(1-EXP(-LN(2)/2))/(LN(2)/2)*DW193*DZ193*VLOOKUP('Données projet'!$B$14,Paramètres!$A$1:$I$89,3,0)*0.475*44/12</f>
        <v>4.2685081777015706E-8</v>
      </c>
      <c r="ED193" s="22">
        <f t="shared" si="178"/>
        <v>53.962193433996823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173.07692307692307</v>
      </c>
      <c r="EK193" s="17">
        <f>EJ193*VLOOKUP('Données projet'!$B$15,Paramètres!$A$1:$I$89,3,0)*VLOOKUP('Données projet'!$B$15,Paramètres!$A$1:$I$89,5,0)</f>
        <v>175.5</v>
      </c>
      <c r="EL193" s="13">
        <f t="shared" si="179"/>
        <v>44.319548641773906</v>
      </c>
      <c r="EM193" s="20">
        <f t="shared" si="180"/>
        <v>382.85238055108954</v>
      </c>
      <c r="EN193" s="59">
        <f t="shared" si="128"/>
        <v>675.62514213384861</v>
      </c>
      <c r="EO193" s="59">
        <f ca="1">AVERAGE(OFFSET($EN$3,0,0,'Données projet'!$E$15+1,1))-AVERAGE(OFFSET($H$3,0,0,'Données projet'!$E$15+1,1))</f>
        <v>270.0029254736703</v>
      </c>
      <c r="EP193" s="59">
        <f t="shared" si="154"/>
        <v>183.80022202211441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2.8208100596621342</v>
      </c>
      <c r="EW193" s="21">
        <f>EXP(-LN(2)/25)*EW192+(1-EXP(-LN(2)/25))/(LN(2)/25)*Calculateur!ER193*Calculateur!ET193*VLOOKUP('Données projet'!$B$15,Paramètres!$A$1:$I$89,3,0)*0.475*44/12</f>
        <v>1.8687552103761877</v>
      </c>
      <c r="EX193" s="21">
        <f>EXP(-LN(2)/2)*EX192+(1-EXP(-LN(2)/2))/(LN(2)/2)*ER193*EU193*VLOOKUP('Données projet'!$B$15,Paramètres!$A$1:$I$89,3,0)*0.475*44/12</f>
        <v>6.2029251502360758E-12</v>
      </c>
      <c r="EY193" s="22">
        <f t="shared" si="181"/>
        <v>4.6895652700445254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-1.4897523215040567E-13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328.93328163316073</v>
      </c>
      <c r="FK193" s="59">
        <f t="shared" si="156"/>
        <v>320.27831321887072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5.2164615977393751</v>
      </c>
      <c r="FR193" s="21">
        <f>EXP(-LN(2)/25)*FR192+(1-EXP(-LN(2)/25))/(LN(2)/25)*Calculateur!FM193*Calculateur!FO193*VLOOKUP('Données projet'!$B$16,Paramètres!$A$1:$I$89,3,0)*0.475*44/12</f>
        <v>2.2032464465831572</v>
      </c>
      <c r="FS193" s="21">
        <f>EXP(-LN(2)/2)*FS192+(1-EXP(-LN(2)/2))/(LN(2)/2)*FM193*FP193*VLOOKUP('Données projet'!$B$16,Paramètres!$A$1:$I$89,3,0)*0.475*44/12</f>
        <v>1.5841774841744453E-15</v>
      </c>
      <c r="FT193" s="22">
        <f t="shared" si="184"/>
        <v>7.4197080443225341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173.07692307692307</v>
      </c>
      <c r="GA193" s="17">
        <f>FZ193*VLOOKUP('Données projet'!$B$17,Paramètres!$A$1:$I$89,3,0)*VLOOKUP('Données projet'!$B$17,Paramètres!$A$1:$I$89,5,0)</f>
        <v>116.1</v>
      </c>
      <c r="GB193" s="13">
        <f t="shared" si="185"/>
        <v>30.763646636385982</v>
      </c>
      <c r="GC193" s="20">
        <f t="shared" si="186"/>
        <v>255.78751789170556</v>
      </c>
      <c r="GD193" s="59">
        <f t="shared" si="134"/>
        <v>548.56027947446466</v>
      </c>
      <c r="GE193" s="59">
        <f ca="1">AVERAGE(OFFSET($GD$3,0,0,'Données projet'!$E$17+1,1))-AVERAGE(OFFSET($H$3,0,0,'Données projet'!$E$17+1,1))</f>
        <v>192.88444860121191</v>
      </c>
      <c r="GF193" s="59">
        <f t="shared" si="158"/>
        <v>136.13737493732751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2.3000451255706591</v>
      </c>
      <c r="GM193" s="21">
        <f>EXP(-LN(2)/25)*GM192+(1-EXP(-LN(2)/25))/(LN(2)/25)*Calculateur!GH193*Calculateur!GJ193*VLOOKUP('Données projet'!$B$17,Paramètres!$A$1:$I$89,3,0)*0.475*44/12</f>
        <v>1.5237542484605833</v>
      </c>
      <c r="GN193" s="21">
        <f>EXP(-LN(2)/2)*GN192+(1-EXP(-LN(2)/2))/(LN(2)/2)*GH193*GK193*VLOOKUP('Données projet'!$B$17,Paramètres!$A$1:$I$89,3,0)*0.475*44/12</f>
        <v>4.1034735609254057E-12</v>
      </c>
      <c r="GO193" s="21">
        <f t="shared" si="187"/>
        <v>3.823799374035346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69.847116795297921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0.85000000000000009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3.1166666666666671</v>
      </c>
      <c r="H194" s="67">
        <f t="shared" si="110"/>
        <v>244.19999999999996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292.78248624939704</v>
      </c>
      <c r="S194" s="59">
        <f ca="1">AVERAGE(OFFSET($R$3,0,0,'Données projet'!$E$9+1,1))-AVERAGE(OFFSET($H$3,0,0,'Données projet'!$E$9+1,1))</f>
        <v>643.492472896403</v>
      </c>
      <c r="T194" s="59">
        <f t="shared" si="142"/>
        <v>285.0259479655341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-2.2168933355715128E-13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289.89907502443873</v>
      </c>
      <c r="AO194" s="59">
        <f t="shared" si="144"/>
        <v>267.42183550360301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3.5781365093889979</v>
      </c>
      <c r="AV194" s="21">
        <f>EXP(-LN(2)/25)*AV193+(1-EXP(-LN(2)/25))/(LN(2)/25)*Calculateur!AQ194*Calculateur!AS194*VLOOKUP('Données projet'!$B$10,Paramètres!$A$1:$I$89,3,0)*0.475*44/12</f>
        <v>1.5717490060258441</v>
      </c>
      <c r="AW194" s="21">
        <f>EXP(-LN(2)/2)*AW193+(1-EXP(-LN(2)/2))/(LN(2)/2)*AQ194*AT194*VLOOKUP('Données projet'!$B$10,Paramètres!$A$1:$I$89,3,0)*0.475*44/12</f>
        <v>1.8545747804990867E-16</v>
      </c>
      <c r="AX194" s="21">
        <f t="shared" si="166"/>
        <v>5.1498855154148417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-9.9475983006414026E-14</v>
      </c>
      <c r="BE194" s="13">
        <f>BD194*VLOOKUP('Données projet'!$B$11,Paramètres!$A$1:$I$89,3,0)*VLOOKUP('Données projet'!$B$11,Paramètres!$A$1:$I$89,5,0)</f>
        <v>-9.6213170763803652E-14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177.54241137663234</v>
      </c>
      <c r="BJ194" s="59">
        <f t="shared" si="146"/>
        <v>114.71095021456071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4.8288956288989953</v>
      </c>
      <c r="BQ194" s="21">
        <f>EXP(-LN(2)/25)*BQ193+(1-EXP(-LN(2)/25))/(LN(2)/25)*Calculateur!BL194*Calculateur!BN194*VLOOKUP('Données projet'!$B$11,Paramètres!$A$1:$I$89,3,0)*0.475*44/12</f>
        <v>3.5222162060057518</v>
      </c>
      <c r="BR194" s="21">
        <f>EXP(-LN(2)/2)*BR193+(1-EXP(-LN(2)/2))/(LN(2)/2)*BL194*BO194*VLOOKUP('Données projet'!$B$11,Paramètres!$A$1:$I$89,3,0)*0.475*44/12</f>
        <v>2.3510746464286224E-10</v>
      </c>
      <c r="BS194" s="22">
        <f t="shared" si="169"/>
        <v>8.3511118351398554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-9.9475983006414026E-14</v>
      </c>
      <c r="BZ194" s="13">
        <f>BY194*VLOOKUP('Données projet'!$B$12,Paramètres!$A$1:$I$89,3,0)*VLOOKUP('Données projet'!$B$12,Paramètres!$A$1:$I$89,5,0)</f>
        <v>-1.0707594810810407E-13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192.88977161349993</v>
      </c>
      <c r="CE194" s="59">
        <f t="shared" si="148"/>
        <v>122.91376861456772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5.3740935224843698</v>
      </c>
      <c r="CL194" s="21">
        <f>EXP(-LN(2)/25)*CL193+(1-EXP(-LN(2)/25))/(LN(2)/25)*Calculateur!CG194*Calculateur!CI194*VLOOKUP('Données projet'!$B$12,Paramètres!$A$1:$I$89,3,0)*0.475*44/12</f>
        <v>3.9198857776515643</v>
      </c>
      <c r="CM194" s="21">
        <f>EXP(-LN(2)/2)*CM193+(1-EXP(-LN(2)/2))/(LN(2)/2)*CG194*CJ194*VLOOKUP('Données projet'!$B$12,Paramètres!$A$1:$I$89,3,0)*0.475*44/12</f>
        <v>2.616518558122176E-10</v>
      </c>
      <c r="CN194" s="22">
        <f t="shared" si="172"/>
        <v>9.2939793003975861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-8.5265128291212022E-14</v>
      </c>
      <c r="CU194" s="17">
        <f>CT194*VLOOKUP('Données projet'!$B$13,Paramètres!$A$1:$I$89,3,0)*VLOOKUP('Données projet'!$B$13,Paramètres!$A$1:$I$89,5,0)</f>
        <v>-6.9167072069831198E-14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163.16040389635825</v>
      </c>
      <c r="CZ194" s="59">
        <f t="shared" si="150"/>
        <v>138.57856782158811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0.98355664768280449</v>
      </c>
      <c r="DH194" s="21">
        <f>EXP(-LN(2)/2)*DH193+(1-EXP(-LN(2)/2))/(LN(2)/2)*DB194*DE194*VLOOKUP('Données projet'!$B$13,Paramètres!$A$1:$I$89,3,0)*0.475*44/12</f>
        <v>1.5729227967339495E-14</v>
      </c>
      <c r="DI194" s="22">
        <f t="shared" si="175"/>
        <v>0.98355664768282025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1.7053025658242404E-13</v>
      </c>
      <c r="DP194" s="17">
        <f>DO194*VLOOKUP('Données projet'!$B$14,Paramètres!$A$1:$I$89,3,0)*VLOOKUP('Données projet'!$B$14,Paramètres!$A$1:$I$89,5,0)</f>
        <v>7.9808160080574461E-14</v>
      </c>
      <c r="DQ194" s="13">
        <f t="shared" si="176"/>
        <v>1.2308384591775343E-12</v>
      </c>
      <c r="DR194" s="20">
        <f t="shared" si="177"/>
        <v>2.282709528541206E-12</v>
      </c>
      <c r="DS194" s="59">
        <f t="shared" si="125"/>
        <v>292.78248624938311</v>
      </c>
      <c r="DT194" s="59">
        <f ca="1">AVERAGE(OFFSET($DS$3,0,0,'Données projet'!$E$14+1,1))-AVERAGE(OFFSET($H$3,0,0,'Données projet'!$E$14+1,1))</f>
        <v>343.44193069803498</v>
      </c>
      <c r="DU194" s="59">
        <f t="shared" si="152"/>
        <v>280.67367019483481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44.326910061845375</v>
      </c>
      <c r="EB194" s="21">
        <f>EXP(-LN(2)/25)*EB193+(1-EXP(-LN(2)/25))/(LN(2)/25)*Calculateur!DW194*Calculateur!DY194*VLOOKUP('Données projet'!$B$14,Paramètres!$A$1:$I$89,3,0)*0.475*44/12</f>
        <v>8.5094408427671038</v>
      </c>
      <c r="EC194" s="21">
        <f>EXP(-LN(2)/2)*EC193+(1-EXP(-LN(2)/2))/(LN(2)/2)*DW194*DZ194*VLOOKUP('Données projet'!$B$14,Paramètres!$A$1:$I$89,3,0)*0.475*44/12</f>
        <v>3.0182910780030131E-8</v>
      </c>
      <c r="ED194" s="22">
        <f t="shared" si="178"/>
        <v>52.836350934795391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173.07692307692307</v>
      </c>
      <c r="EK194" s="17">
        <f>EJ194*VLOOKUP('Données projet'!$B$15,Paramètres!$A$1:$I$89,3,0)*VLOOKUP('Données projet'!$B$15,Paramètres!$A$1:$I$89,5,0)</f>
        <v>175.5</v>
      </c>
      <c r="EL194" s="13">
        <f t="shared" si="179"/>
        <v>44.319548641773906</v>
      </c>
      <c r="EM194" s="20">
        <f t="shared" si="180"/>
        <v>382.85238055108954</v>
      </c>
      <c r="EN194" s="59">
        <f t="shared" si="128"/>
        <v>675.63486680047038</v>
      </c>
      <c r="EO194" s="59">
        <f ca="1">AVERAGE(OFFSET($EN$3,0,0,'Données projet'!$E$15+1,1))-AVERAGE(OFFSET($H$3,0,0,'Données projet'!$E$15+1,1))</f>
        <v>270.0029254736703</v>
      </c>
      <c r="EP194" s="59">
        <f t="shared" si="154"/>
        <v>183.80022202211441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2.7654956949164085</v>
      </c>
      <c r="EW194" s="21">
        <f>EXP(-LN(2)/25)*EW193+(1-EXP(-LN(2)/25))/(LN(2)/25)*Calculateur!ER194*Calculateur!ET194*VLOOKUP('Données projet'!$B$15,Paramètres!$A$1:$I$89,3,0)*0.475*44/12</f>
        <v>1.8176540008748854</v>
      </c>
      <c r="EX194" s="21">
        <f>EXP(-LN(2)/2)*EX193+(1-EXP(-LN(2)/2))/(LN(2)/2)*ER194*EU194*VLOOKUP('Données projet'!$B$15,Paramètres!$A$1:$I$89,3,0)*0.475*44/12</f>
        <v>4.3861304369245132E-12</v>
      </c>
      <c r="EY194" s="22">
        <f t="shared" si="181"/>
        <v>4.5831496957956794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-1.4897523215040567E-13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328.93328163316073</v>
      </c>
      <c r="FK194" s="59">
        <f t="shared" si="156"/>
        <v>320.27831321887072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5.1141699675351111</v>
      </c>
      <c r="FR194" s="21">
        <f>EXP(-LN(2)/25)*FR193+(1-EXP(-LN(2)/25))/(LN(2)/25)*Calculateur!FM194*Calculateur!FO194*VLOOKUP('Données projet'!$B$16,Paramètres!$A$1:$I$89,3,0)*0.475*44/12</f>
        <v>2.1429985566376457</v>
      </c>
      <c r="FS194" s="21">
        <f>EXP(-LN(2)/2)*FS193+(1-EXP(-LN(2)/2))/(LN(2)/2)*FM194*FP194*VLOOKUP('Données projet'!$B$16,Paramètres!$A$1:$I$89,3,0)*0.475*44/12</f>
        <v>1.1201826416627948E-15</v>
      </c>
      <c r="FT194" s="22">
        <f t="shared" si="184"/>
        <v>7.2571685241727577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173.07692307692307</v>
      </c>
      <c r="GA194" s="17">
        <f>FZ194*VLOOKUP('Données projet'!$B$17,Paramètres!$A$1:$I$89,3,0)*VLOOKUP('Données projet'!$B$17,Paramètres!$A$1:$I$89,5,0)</f>
        <v>116.1</v>
      </c>
      <c r="GB194" s="13">
        <f t="shared" si="185"/>
        <v>30.763646636385982</v>
      </c>
      <c r="GC194" s="20">
        <f t="shared" si="186"/>
        <v>255.78751789170556</v>
      </c>
      <c r="GD194" s="59">
        <f t="shared" si="134"/>
        <v>548.57000414108643</v>
      </c>
      <c r="GE194" s="59">
        <f ca="1">AVERAGE(OFFSET($GD$3,0,0,'Données projet'!$E$17+1,1))-AVERAGE(OFFSET($H$3,0,0,'Données projet'!$E$17+1,1))</f>
        <v>192.88444860121191</v>
      </c>
      <c r="GF194" s="59">
        <f t="shared" si="158"/>
        <v>136.13737493732751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2.2549426435472211</v>
      </c>
      <c r="GM194" s="21">
        <f>EXP(-LN(2)/25)*GM193+(1-EXP(-LN(2)/25))/(LN(2)/25)*Calculateur!GH194*Calculateur!GJ194*VLOOKUP('Données projet'!$B$17,Paramètres!$A$1:$I$89,3,0)*0.475*44/12</f>
        <v>1.4820871084056753</v>
      </c>
      <c r="GN194" s="21">
        <f>EXP(-LN(2)/2)*GN193+(1-EXP(-LN(2)/2))/(LN(2)/2)*GH194*GK194*VLOOKUP('Données projet'!$B$17,Paramètres!$A$1:$I$89,3,0)*0.475*44/12</f>
        <v>2.9015939813500638E-12</v>
      </c>
      <c r="GO194" s="21">
        <f t="shared" si="187"/>
        <v>3.7370297519557978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69.849768977103864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0.85000000000000009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3.1166666666666671</v>
      </c>
      <c r="H195" s="67">
        <f t="shared" si="110"/>
        <v>244.19999999999996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292.79204221479404</v>
      </c>
      <c r="S195" s="59">
        <f ca="1">AVERAGE(OFFSET($R$3,0,0,'Données projet'!$E$9+1,1))-AVERAGE(OFFSET($H$3,0,0,'Données projet'!$E$9+1,1))</f>
        <v>643.492472896403</v>
      </c>
      <c r="T195" s="59">
        <f t="shared" si="142"/>
        <v>285.0259479655341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-2.2168933355715128E-13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289.89907502443873</v>
      </c>
      <c r="AO195" s="59">
        <f t="shared" si="144"/>
        <v>267.42183550360301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3.5079714348876516</v>
      </c>
      <c r="AV195" s="21">
        <f>EXP(-LN(2)/25)*AV194+(1-EXP(-LN(2)/25))/(LN(2)/25)*Calculateur!AQ195*Calculateur!AS195*VLOOKUP('Données projet'!$B$10,Paramètres!$A$1:$I$89,3,0)*0.475*44/12</f>
        <v>1.5287694468013795</v>
      </c>
      <c r="AW195" s="21">
        <f>EXP(-LN(2)/2)*AW194+(1-EXP(-LN(2)/2))/(LN(2)/2)*AQ195*AT195*VLOOKUP('Données projet'!$B$10,Paramètres!$A$1:$I$89,3,0)*0.475*44/12</f>
        <v>1.3113824035084571E-16</v>
      </c>
      <c r="AX195" s="21">
        <f t="shared" si="166"/>
        <v>5.0367408816890311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-9.9475983006414026E-14</v>
      </c>
      <c r="BE195" s="13">
        <f>BD195*VLOOKUP('Données projet'!$B$11,Paramètres!$A$1:$I$89,3,0)*VLOOKUP('Données projet'!$B$11,Paramètres!$A$1:$I$89,5,0)</f>
        <v>-9.6213170763803652E-14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177.54241137663234</v>
      </c>
      <c r="BJ195" s="59">
        <f t="shared" si="146"/>
        <v>114.71095021456071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4.734203930951792</v>
      </c>
      <c r="BQ195" s="21">
        <f>EXP(-LN(2)/25)*BQ194+(1-EXP(-LN(2)/25))/(LN(2)/25)*Calculateur!BL195*Calculateur!BN195*VLOOKUP('Données projet'!$B$11,Paramètres!$A$1:$I$89,3,0)*0.475*44/12</f>
        <v>3.4259010186272243</v>
      </c>
      <c r="BR195" s="21">
        <f>EXP(-LN(2)/2)*BR194+(1-EXP(-LN(2)/2))/(LN(2)/2)*BL195*BO195*VLOOKUP('Données projet'!$B$11,Paramètres!$A$1:$I$89,3,0)*0.475*44/12</f>
        <v>1.6624608255654435E-10</v>
      </c>
      <c r="BS195" s="22">
        <f t="shared" si="169"/>
        <v>8.1601049497452625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-9.9475983006414026E-14</v>
      </c>
      <c r="BZ195" s="13">
        <f>BY195*VLOOKUP('Données projet'!$B$12,Paramètres!$A$1:$I$89,3,0)*VLOOKUP('Données projet'!$B$12,Paramètres!$A$1:$I$89,5,0)</f>
        <v>-1.0707594810810407E-13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192.88977161349993</v>
      </c>
      <c r="CE195" s="59">
        <f t="shared" si="148"/>
        <v>122.91376861456772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5.2687108263818372</v>
      </c>
      <c r="CL195" s="21">
        <f>EXP(-LN(2)/25)*CL194+(1-EXP(-LN(2)/25))/(LN(2)/25)*Calculateur!CG195*Calculateur!CI195*VLOOKUP('Données projet'!$B$12,Paramètres!$A$1:$I$89,3,0)*0.475*44/12</f>
        <v>3.8126962949238483</v>
      </c>
      <c r="CM195" s="21">
        <f>EXP(-LN(2)/2)*CM194+(1-EXP(-LN(2)/2))/(LN(2)/2)*CG195*CJ195*VLOOKUP('Données projet'!$B$12,Paramètres!$A$1:$I$89,3,0)*0.475*44/12</f>
        <v>1.8501580155486383E-10</v>
      </c>
      <c r="CN195" s="22">
        <f t="shared" si="172"/>
        <v>9.0814071214907024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-8.5265128291212022E-14</v>
      </c>
      <c r="CU195" s="17">
        <f>CT195*VLOOKUP('Données projet'!$B$13,Paramètres!$A$1:$I$89,3,0)*VLOOKUP('Données projet'!$B$13,Paramètres!$A$1:$I$89,5,0)</f>
        <v>-6.9167072069831198E-14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163.16040389635825</v>
      </c>
      <c r="CZ195" s="59">
        <f t="shared" si="150"/>
        <v>138.57856782158811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0.95666123942892201</v>
      </c>
      <c r="DH195" s="21">
        <f>EXP(-LN(2)/2)*DH194+(1-EXP(-LN(2)/2))/(LN(2)/2)*DB195*DE195*VLOOKUP('Données projet'!$B$13,Paramètres!$A$1:$I$89,3,0)*0.475*44/12</f>
        <v>1.1122243758534853E-14</v>
      </c>
      <c r="DI195" s="22">
        <f t="shared" si="175"/>
        <v>0.95666123942893311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1.7053025658242404E-13</v>
      </c>
      <c r="DP195" s="17">
        <f>DO195*VLOOKUP('Données projet'!$B$14,Paramètres!$A$1:$I$89,3,0)*VLOOKUP('Données projet'!$B$14,Paramètres!$A$1:$I$89,5,0)</f>
        <v>7.9808160080574461E-14</v>
      </c>
      <c r="DQ195" s="13">
        <f t="shared" si="176"/>
        <v>1.2308384591775343E-12</v>
      </c>
      <c r="DR195" s="20">
        <f t="shared" si="177"/>
        <v>2.282709528541206E-12</v>
      </c>
      <c r="DS195" s="59">
        <f t="shared" si="125"/>
        <v>292.79204221478011</v>
      </c>
      <c r="DT195" s="59">
        <f ca="1">AVERAGE(OFFSET($DS$3,0,0,'Données projet'!$E$14+1,1))-AVERAGE(OFFSET($H$3,0,0,'Données projet'!$E$14+1,1))</f>
        <v>343.44193069803498</v>
      </c>
      <c r="DU195" s="59">
        <f t="shared" si="152"/>
        <v>280.67367019483481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43.45768639227807</v>
      </c>
      <c r="EB195" s="21">
        <f>EXP(-LN(2)/25)*EB194+(1-EXP(-LN(2)/25))/(LN(2)/25)*Calculateur!DW195*Calculateur!DY195*VLOOKUP('Données projet'!$B$14,Paramètres!$A$1:$I$89,3,0)*0.475*44/12</f>
        <v>8.2767497354295916</v>
      </c>
      <c r="EC195" s="21">
        <f>EXP(-LN(2)/2)*EC194+(1-EXP(-LN(2)/2))/(LN(2)/2)*DW195*DZ195*VLOOKUP('Données projet'!$B$14,Paramètres!$A$1:$I$89,3,0)*0.475*44/12</f>
        <v>2.1342540888507853E-8</v>
      </c>
      <c r="ED195" s="22">
        <f t="shared" si="178"/>
        <v>51.734436149050204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173.07692307692307</v>
      </c>
      <c r="EK195" s="17">
        <f>EJ195*VLOOKUP('Données projet'!$B$15,Paramètres!$A$1:$I$89,3,0)*VLOOKUP('Données projet'!$B$15,Paramètres!$A$1:$I$89,5,0)</f>
        <v>175.5</v>
      </c>
      <c r="EL195" s="13">
        <f t="shared" si="179"/>
        <v>44.319548641773906</v>
      </c>
      <c r="EM195" s="20">
        <f t="shared" si="180"/>
        <v>382.85238055108954</v>
      </c>
      <c r="EN195" s="59">
        <f t="shared" si="128"/>
        <v>675.64442276586738</v>
      </c>
      <c r="EO195" s="59">
        <f ca="1">AVERAGE(OFFSET($EN$3,0,0,'Données projet'!$E$15+1,1))-AVERAGE(OFFSET($H$3,0,0,'Données projet'!$E$15+1,1))</f>
        <v>270.0029254736703</v>
      </c>
      <c r="EP195" s="59">
        <f t="shared" si="154"/>
        <v>183.80022202211441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2.7112660111249154</v>
      </c>
      <c r="EW195" s="21">
        <f>EXP(-LN(2)/25)*EW194+(1-EXP(-LN(2)/25))/(LN(2)/25)*Calculateur!ER195*Calculateur!ET195*VLOOKUP('Données projet'!$B$15,Paramètres!$A$1:$I$89,3,0)*0.475*44/12</f>
        <v>1.767950156634692</v>
      </c>
      <c r="EX195" s="21">
        <f>EXP(-LN(2)/2)*EX194+(1-EXP(-LN(2)/2))/(LN(2)/2)*ER195*EU195*VLOOKUP('Données projet'!$B$15,Paramètres!$A$1:$I$89,3,0)*0.475*44/12</f>
        <v>3.1014625751180379E-12</v>
      </c>
      <c r="EY195" s="22">
        <f t="shared" si="181"/>
        <v>4.4792161677627087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-1.4897523215040567E-13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328.93328163316073</v>
      </c>
      <c r="FK195" s="59">
        <f t="shared" si="156"/>
        <v>320.27831321887072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5.0138842138074189</v>
      </c>
      <c r="FR195" s="21">
        <f>EXP(-LN(2)/25)*FR194+(1-EXP(-LN(2)/25))/(LN(2)/25)*Calculateur!FM195*Calculateur!FO195*VLOOKUP('Données projet'!$B$16,Paramètres!$A$1:$I$89,3,0)*0.475*44/12</f>
        <v>2.084398148410993</v>
      </c>
      <c r="FS195" s="21">
        <f>EXP(-LN(2)/2)*FS194+(1-EXP(-LN(2)/2))/(LN(2)/2)*FM195*FP195*VLOOKUP('Données projet'!$B$16,Paramètres!$A$1:$I$89,3,0)*0.475*44/12</f>
        <v>7.9208874208722266E-16</v>
      </c>
      <c r="FT195" s="22">
        <f t="shared" si="184"/>
        <v>7.0982823622184128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173.07692307692307</v>
      </c>
      <c r="GA195" s="17">
        <f>FZ195*VLOOKUP('Données projet'!$B$17,Paramètres!$A$1:$I$89,3,0)*VLOOKUP('Données projet'!$B$17,Paramètres!$A$1:$I$89,5,0)</f>
        <v>116.1</v>
      </c>
      <c r="GB195" s="13">
        <f t="shared" si="185"/>
        <v>30.763646636385982</v>
      </c>
      <c r="GC195" s="20">
        <f t="shared" si="186"/>
        <v>255.78751789170556</v>
      </c>
      <c r="GD195" s="59">
        <f t="shared" si="134"/>
        <v>548.57956010648343</v>
      </c>
      <c r="GE195" s="59">
        <f ca="1">AVERAGE(OFFSET($GD$3,0,0,'Données projet'!$E$17+1,1))-AVERAGE(OFFSET($H$3,0,0,'Données projet'!$E$17+1,1))</f>
        <v>192.88444860121191</v>
      </c>
      <c r="GF195" s="59">
        <f t="shared" si="158"/>
        <v>136.13737493732751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2.2107245936864652</v>
      </c>
      <c r="GM195" s="21">
        <f>EXP(-LN(2)/25)*GM194+(1-EXP(-LN(2)/25))/(LN(2)/25)*Calculateur!GH195*Calculateur!GJ195*VLOOKUP('Données projet'!$B$17,Paramètres!$A$1:$I$89,3,0)*0.475*44/12</f>
        <v>1.4415593584867483</v>
      </c>
      <c r="GN195" s="21">
        <f>EXP(-LN(2)/2)*GN194+(1-EXP(-LN(2)/2))/(LN(2)/2)*GH195*GK195*VLOOKUP('Données projet'!$B$17,Paramètres!$A$1:$I$89,3,0)*0.475*44/12</f>
        <v>2.0517367804627028E-12</v>
      </c>
      <c r="GO195" s="21">
        <f t="shared" si="187"/>
        <v>3.6522839521752655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69.852375149484857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0.85000000000000009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3.1166666666666671</v>
      </c>
      <c r="H196" s="67">
        <f t="shared" ref="H196:H203" si="192">(B196+E196+F196)*44/12+(C196+D196)*0.475*44/12</f>
        <v>244.19999999999996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292.80143240555526</v>
      </c>
      <c r="S196" s="59">
        <f ca="1">AVERAGE(OFFSET($R$3,0,0,'Données projet'!$E$9+1,1))-AVERAGE(OFFSET($H$3,0,0,'Données projet'!$E$9+1,1))</f>
        <v>643.492472896403</v>
      </c>
      <c r="T196" s="59">
        <f t="shared" si="142"/>
        <v>285.0259479655341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-2.2168933355715128E-13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289.89907502443873</v>
      </c>
      <c r="AO196" s="59">
        <f t="shared" si="144"/>
        <v>267.42183550360301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3.4391822547008069</v>
      </c>
      <c r="AV196" s="21">
        <f>EXP(-LN(2)/25)*AV195+(1-EXP(-LN(2)/25))/(LN(2)/25)*Calculateur!AQ196*Calculateur!AS196*VLOOKUP('Données projet'!$B$10,Paramètres!$A$1:$I$89,3,0)*0.475*44/12</f>
        <v>1.4869651658841045</v>
      </c>
      <c r="AW196" s="21">
        <f>EXP(-LN(2)/2)*AW195+(1-EXP(-LN(2)/2))/(LN(2)/2)*AQ196*AT196*VLOOKUP('Données projet'!$B$10,Paramètres!$A$1:$I$89,3,0)*0.475*44/12</f>
        <v>9.2728739024954336E-17</v>
      </c>
      <c r="AX196" s="21">
        <f t="shared" si="166"/>
        <v>4.9261474205849112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-9.9475983006414026E-14</v>
      </c>
      <c r="BE196" s="13">
        <f>BD196*VLOOKUP('Données projet'!$B$11,Paramètres!$A$1:$I$89,3,0)*VLOOKUP('Données projet'!$B$11,Paramètres!$A$1:$I$89,5,0)</f>
        <v>-9.6213170763803652E-14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177.54241137663234</v>
      </c>
      <c r="BJ196" s="59">
        <f t="shared" si="146"/>
        <v>114.71095021456071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4.6413690794451004</v>
      </c>
      <c r="BQ196" s="21">
        <f>EXP(-LN(2)/25)*BQ195+(1-EXP(-LN(2)/25))/(LN(2)/25)*Calculateur!BL196*Calculateur!BN196*VLOOKUP('Données projet'!$B$11,Paramètres!$A$1:$I$89,3,0)*0.475*44/12</f>
        <v>3.3322195751125583</v>
      </c>
      <c r="BR196" s="21">
        <f>EXP(-LN(2)/2)*BR195+(1-EXP(-LN(2)/2))/(LN(2)/2)*BL196*BO196*VLOOKUP('Données projet'!$B$11,Paramètres!$A$1:$I$89,3,0)*0.475*44/12</f>
        <v>1.1755373232143112E-10</v>
      </c>
      <c r="BS196" s="22">
        <f t="shared" si="169"/>
        <v>7.973588654675213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-9.9475983006414026E-14</v>
      </c>
      <c r="BZ196" s="13">
        <f>BY196*VLOOKUP('Données projet'!$B$12,Paramètres!$A$1:$I$89,3,0)*VLOOKUP('Données projet'!$B$12,Paramètres!$A$1:$I$89,5,0)</f>
        <v>-1.0707594810810407E-13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192.88977161349993</v>
      </c>
      <c r="CE196" s="59">
        <f t="shared" si="148"/>
        <v>122.91376861456772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5.1653946206727772</v>
      </c>
      <c r="CL196" s="21">
        <f>EXP(-LN(2)/25)*CL195+(1-EXP(-LN(2)/25))/(LN(2)/25)*Calculateur!CG196*Calculateur!CI196*VLOOKUP('Données projet'!$B$12,Paramètres!$A$1:$I$89,3,0)*0.475*44/12</f>
        <v>3.7084379142381714</v>
      </c>
      <c r="CM196" s="21">
        <f>EXP(-LN(2)/2)*CM195+(1-EXP(-LN(2)/2))/(LN(2)/2)*CG196*CJ196*VLOOKUP('Données projet'!$B$12,Paramètres!$A$1:$I$89,3,0)*0.475*44/12</f>
        <v>1.308259279061088E-10</v>
      </c>
      <c r="CN196" s="22">
        <f t="shared" si="172"/>
        <v>8.8738325350417746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-8.5265128291212022E-14</v>
      </c>
      <c r="CU196" s="17">
        <f>CT196*VLOOKUP('Données projet'!$B$13,Paramètres!$A$1:$I$89,3,0)*VLOOKUP('Données projet'!$B$13,Paramètres!$A$1:$I$89,5,0)</f>
        <v>-6.9167072069831198E-14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163.16040389635825</v>
      </c>
      <c r="CZ196" s="59">
        <f t="shared" si="150"/>
        <v>138.57856782158811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0.93050128752811001</v>
      </c>
      <c r="DH196" s="21">
        <f>EXP(-LN(2)/2)*DH195+(1-EXP(-LN(2)/2))/(LN(2)/2)*DB196*DE196*VLOOKUP('Données projet'!$B$13,Paramètres!$A$1:$I$89,3,0)*0.475*44/12</f>
        <v>7.8646139836697477E-15</v>
      </c>
      <c r="DI196" s="22">
        <f t="shared" si="175"/>
        <v>0.93050128752811789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1.7053025658242404E-13</v>
      </c>
      <c r="DP196" s="17">
        <f>DO196*VLOOKUP('Données projet'!$B$14,Paramètres!$A$1:$I$89,3,0)*VLOOKUP('Données projet'!$B$14,Paramètres!$A$1:$I$89,5,0)</f>
        <v>7.9808160080574461E-14</v>
      </c>
      <c r="DQ196" s="13">
        <f t="shared" si="176"/>
        <v>1.2308384591775343E-12</v>
      </c>
      <c r="DR196" s="20">
        <f t="shared" si="177"/>
        <v>2.282709528541206E-12</v>
      </c>
      <c r="DS196" s="59">
        <f t="shared" ref="DS196:DS203" si="197">DR196+(DJ196+DK196)*44/12</f>
        <v>292.80143240554133</v>
      </c>
      <c r="DT196" s="59">
        <f ca="1">AVERAGE(OFFSET($DS$3,0,0,'Données projet'!$E$14+1,1))-AVERAGE(OFFSET($H$3,0,0,'Données projet'!$E$14+1,1))</f>
        <v>343.44193069803498</v>
      </c>
      <c r="DU196" s="59">
        <f t="shared" si="152"/>
        <v>280.67367019483481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42.605507668696887</v>
      </c>
      <c r="EB196" s="21">
        <f>EXP(-LN(2)/25)*EB195+(1-EXP(-LN(2)/25))/(LN(2)/25)*Calculateur!DW196*Calculateur!DY196*VLOOKUP('Données projet'!$B$14,Paramètres!$A$1:$I$89,3,0)*0.475*44/12</f>
        <v>8.0504215786589182</v>
      </c>
      <c r="EC196" s="21">
        <f>EXP(-LN(2)/2)*EC195+(1-EXP(-LN(2)/2))/(LN(2)/2)*DW196*DZ196*VLOOKUP('Données projet'!$B$14,Paramètres!$A$1:$I$89,3,0)*0.475*44/12</f>
        <v>1.5091455390015065E-8</v>
      </c>
      <c r="ED196" s="22">
        <f t="shared" si="178"/>
        <v>50.655929262447266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173.07692307692307</v>
      </c>
      <c r="EK196" s="17">
        <f>EJ196*VLOOKUP('Données projet'!$B$15,Paramètres!$A$1:$I$89,3,0)*VLOOKUP('Données projet'!$B$15,Paramètres!$A$1:$I$89,5,0)</f>
        <v>175.5</v>
      </c>
      <c r="EL196" s="13">
        <f t="shared" si="179"/>
        <v>44.319548641773906</v>
      </c>
      <c r="EM196" s="20">
        <f t="shared" si="180"/>
        <v>382.85238055108954</v>
      </c>
      <c r="EN196" s="59">
        <f t="shared" ref="EN196:EN203" si="198">EM196+(EE196+EF196)*44/12</f>
        <v>675.6538129566286</v>
      </c>
      <c r="EO196" s="59">
        <f ca="1">AVERAGE(OFFSET($EN$3,0,0,'Données projet'!$E$15+1,1))-AVERAGE(OFFSET($H$3,0,0,'Données projet'!$E$15+1,1))</f>
        <v>270.0029254736703</v>
      </c>
      <c r="EP196" s="59">
        <f t="shared" si="154"/>
        <v>183.80022202211441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2.6580997383557325</v>
      </c>
      <c r="EW196" s="21">
        <f>EXP(-LN(2)/25)*EW195+(1-EXP(-LN(2)/25))/(LN(2)/25)*Calculateur!ER196*Calculateur!ET196*VLOOKUP('Données projet'!$B$15,Paramètres!$A$1:$I$89,3,0)*0.475*44/12</f>
        <v>1.7196054666290583</v>
      </c>
      <c r="EX196" s="21">
        <f>EXP(-LN(2)/2)*EX195+(1-EXP(-LN(2)/2))/(LN(2)/2)*ER196*EU196*VLOOKUP('Données projet'!$B$15,Paramètres!$A$1:$I$89,3,0)*0.475*44/12</f>
        <v>2.1930652184622566E-12</v>
      </c>
      <c r="EY196" s="22">
        <f t="shared" si="181"/>
        <v>4.3777052049869836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-1.4897523215040567E-13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328.93328163316073</v>
      </c>
      <c r="FK196" s="59">
        <f t="shared" si="156"/>
        <v>320.27831321887072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4.9155650025420572</v>
      </c>
      <c r="FR196" s="21">
        <f>EXP(-LN(2)/25)*FR195+(1-EXP(-LN(2)/25))/(LN(2)/25)*Calculateur!FM196*Calculateur!FO196*VLOOKUP('Données projet'!$B$16,Paramètres!$A$1:$I$89,3,0)*0.475*44/12</f>
        <v>2.0274001714289596</v>
      </c>
      <c r="FS196" s="21">
        <f>EXP(-LN(2)/2)*FS195+(1-EXP(-LN(2)/2))/(LN(2)/2)*FM196*FP196*VLOOKUP('Données projet'!$B$16,Paramètres!$A$1:$I$89,3,0)*0.475*44/12</f>
        <v>5.6009132083139742E-16</v>
      </c>
      <c r="FT196" s="22">
        <f t="shared" si="184"/>
        <v>6.9429651739710172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173.07692307692307</v>
      </c>
      <c r="GA196" s="17">
        <f>FZ196*VLOOKUP('Données projet'!$B$17,Paramètres!$A$1:$I$89,3,0)*VLOOKUP('Données projet'!$B$17,Paramètres!$A$1:$I$89,5,0)</f>
        <v>116.1</v>
      </c>
      <c r="GB196" s="13">
        <f t="shared" si="185"/>
        <v>30.763646636385982</v>
      </c>
      <c r="GC196" s="20">
        <f t="shared" si="186"/>
        <v>255.78751789170556</v>
      </c>
      <c r="GD196" s="59">
        <f t="shared" ref="GD196:GD203" si="200">GC196+(FU196+FV196)*44/12</f>
        <v>548.58895029724465</v>
      </c>
      <c r="GE196" s="59">
        <f ca="1">AVERAGE(OFFSET($GD$3,0,0,'Données projet'!$E$17+1,1))-AVERAGE(OFFSET($H$3,0,0,'Données projet'!$E$17+1,1))</f>
        <v>192.88444860121191</v>
      </c>
      <c r="GF196" s="59">
        <f t="shared" si="158"/>
        <v>136.13737493732751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2.1673736328131317</v>
      </c>
      <c r="GM196" s="21">
        <f>EXP(-LN(2)/25)*GM195+(1-EXP(-LN(2)/25))/(LN(2)/25)*Calculateur!GH196*Calculateur!GJ196*VLOOKUP('Données projet'!$B$17,Paramètres!$A$1:$I$89,3,0)*0.475*44/12</f>
        <v>1.4021398420206161</v>
      </c>
      <c r="GN196" s="21">
        <f>EXP(-LN(2)/2)*GN195+(1-EXP(-LN(2)/2))/(LN(2)/2)*GH196*GK196*VLOOKUP('Données projet'!$B$17,Paramètres!$A$1:$I$89,3,0)*0.475*44/12</f>
        <v>1.4507969906750319E-12</v>
      </c>
      <c r="GO196" s="21">
        <f t="shared" si="187"/>
        <v>3.5695134748351989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69.854936110601571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0.85000000000000009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3.1166666666666671</v>
      </c>
      <c r="H197" s="67">
        <f t="shared" si="192"/>
        <v>244.19999999999996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292.81065969750017</v>
      </c>
      <c r="S197" s="59">
        <f ca="1">AVERAGE(OFFSET($R$3,0,0,'Données projet'!$E$9+1,1))-AVERAGE(OFFSET($H$3,0,0,'Données projet'!$E$9+1,1))</f>
        <v>643.492472896403</v>
      </c>
      <c r="T197" s="59">
        <f t="shared" ref="T197:T203" si="204">$T$3</f>
        <v>285.0259479655341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-2.2168933355715128E-13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289.89907502443873</v>
      </c>
      <c r="AO197" s="59">
        <f t="shared" ref="AO197:AO203" si="205">$AO$3</f>
        <v>267.42183550360301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3.3717419883801694</v>
      </c>
      <c r="AV197" s="21">
        <f>EXP(-LN(2)/25)*AV196+(1-EXP(-LN(2)/25))/(LN(2)/25)*Calculateur!AQ197*Calculateur!AS197*VLOOKUP('Données projet'!$B$10,Paramètres!$A$1:$I$89,3,0)*0.475*44/12</f>
        <v>1.4463040252269042</v>
      </c>
      <c r="AW197" s="21">
        <f>EXP(-LN(2)/2)*AW196+(1-EXP(-LN(2)/2))/(LN(2)/2)*AQ197*AT197*VLOOKUP('Données projet'!$B$10,Paramètres!$A$1:$I$89,3,0)*0.475*44/12</f>
        <v>6.5569120175422854E-17</v>
      </c>
      <c r="AX197" s="21">
        <f t="shared" si="166"/>
        <v>4.8180460136070735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-9.9475983006414026E-14</v>
      </c>
      <c r="BE197" s="13">
        <f>BD197*VLOOKUP('Données projet'!$B$11,Paramètres!$A$1:$I$89,3,0)*VLOOKUP('Données projet'!$B$11,Paramètres!$A$1:$I$89,5,0)</f>
        <v>-9.6213170763803652E-14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177.54241137663234</v>
      </c>
      <c r="BJ197" s="59">
        <f t="shared" ref="BJ197:BJ203" si="206">$BJ$3</f>
        <v>114.71095021456071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4.5503546627527864</v>
      </c>
      <c r="BQ197" s="21">
        <f>EXP(-LN(2)/25)*BQ196+(1-EXP(-LN(2)/25))/(LN(2)/25)*Calculateur!BL197*Calculateur!BN197*VLOOKUP('Données projet'!$B$11,Paramètres!$A$1:$I$89,3,0)*0.475*44/12</f>
        <v>3.2410998555972936</v>
      </c>
      <c r="BR197" s="21">
        <f>EXP(-LN(2)/2)*BR196+(1-EXP(-LN(2)/2))/(LN(2)/2)*BL197*BO197*VLOOKUP('Données projet'!$B$11,Paramètres!$A$1:$I$89,3,0)*0.475*44/12</f>
        <v>8.3123041278272176E-11</v>
      </c>
      <c r="BS197" s="22">
        <f t="shared" si="169"/>
        <v>7.7914545184332029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-9.9475983006414026E-14</v>
      </c>
      <c r="BZ197" s="13">
        <f>BY197*VLOOKUP('Données projet'!$B$12,Paramètres!$A$1:$I$89,3,0)*VLOOKUP('Données projet'!$B$12,Paramètres!$A$1:$I$89,5,0)</f>
        <v>-1.0707594810810407E-13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192.88977161349993</v>
      </c>
      <c r="CE197" s="59">
        <f t="shared" ref="CE197:CE203" si="207">$CE$3</f>
        <v>122.91376861456772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5.064104382741009</v>
      </c>
      <c r="CL197" s="21">
        <f>EXP(-LN(2)/25)*CL196+(1-EXP(-LN(2)/25))/(LN(2)/25)*Calculateur!CG197*Calculateur!CI197*VLOOKUP('Données projet'!$B$12,Paramètres!$A$1:$I$89,3,0)*0.475*44/12</f>
        <v>3.6070304844550543</v>
      </c>
      <c r="CM197" s="21">
        <f>EXP(-LN(2)/2)*CM196+(1-EXP(-LN(2)/2))/(LN(2)/2)*CG197*CJ197*VLOOKUP('Données projet'!$B$12,Paramètres!$A$1:$I$89,3,0)*0.475*44/12</f>
        <v>9.2507900777431917E-11</v>
      </c>
      <c r="CN197" s="22">
        <f t="shared" si="172"/>
        <v>8.6711348672885702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-8.5265128291212022E-14</v>
      </c>
      <c r="CU197" s="17">
        <f>CT197*VLOOKUP('Données projet'!$B$13,Paramètres!$A$1:$I$89,3,0)*VLOOKUP('Données projet'!$B$13,Paramètres!$A$1:$I$89,5,0)</f>
        <v>-6.9167072069831198E-14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163.16040389635825</v>
      </c>
      <c r="CZ197" s="59">
        <f t="shared" ref="CZ197:CZ203" si="208">$CZ$3</f>
        <v>138.57856782158811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0.90505668088771785</v>
      </c>
      <c r="DH197" s="21">
        <f>EXP(-LN(2)/2)*DH196+(1-EXP(-LN(2)/2))/(LN(2)/2)*DB197*DE197*VLOOKUP('Données projet'!$B$13,Paramètres!$A$1:$I$89,3,0)*0.475*44/12</f>
        <v>5.5611218792674263E-15</v>
      </c>
      <c r="DI197" s="22">
        <f t="shared" si="175"/>
        <v>0.9050566808877234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1.7053025658242404E-13</v>
      </c>
      <c r="DP197" s="17">
        <f>DO197*VLOOKUP('Données projet'!$B$14,Paramètres!$A$1:$I$89,3,0)*VLOOKUP('Données projet'!$B$14,Paramètres!$A$1:$I$89,5,0)</f>
        <v>7.9808160080574461E-14</v>
      </c>
      <c r="DQ197" s="13">
        <f t="shared" si="176"/>
        <v>1.2308384591775343E-12</v>
      </c>
      <c r="DR197" s="20">
        <f t="shared" si="177"/>
        <v>2.282709528541206E-12</v>
      </c>
      <c r="DS197" s="59">
        <f t="shared" si="197"/>
        <v>292.81065969748624</v>
      </c>
      <c r="DT197" s="59">
        <f ca="1">AVERAGE(OFFSET($DS$3,0,0,'Données projet'!$E$14+1,1))-AVERAGE(OFFSET($H$3,0,0,'Données projet'!$E$14+1,1))</f>
        <v>343.44193069803498</v>
      </c>
      <c r="DU197" s="59">
        <f t="shared" ref="DU197:DU203" si="209">$DU$3</f>
        <v>280.67367019483481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41.770039650107435</v>
      </c>
      <c r="EB197" s="21">
        <f>EXP(-LN(2)/25)*EB196+(1-EXP(-LN(2)/25))/(LN(2)/25)*Calculateur!DW197*Calculateur!DY197*VLOOKUP('Données projet'!$B$14,Paramètres!$A$1:$I$89,3,0)*0.475*44/12</f>
        <v>7.8302823772372188</v>
      </c>
      <c r="EC197" s="21">
        <f>EXP(-LN(2)/2)*EC196+(1-EXP(-LN(2)/2))/(LN(2)/2)*DW197*DZ197*VLOOKUP('Données projet'!$B$14,Paramètres!$A$1:$I$89,3,0)*0.475*44/12</f>
        <v>1.0671270444253926E-8</v>
      </c>
      <c r="ED197" s="22">
        <f t="shared" si="178"/>
        <v>49.600322038015925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173.07692307692307</v>
      </c>
      <c r="EK197" s="17">
        <f>EJ197*VLOOKUP('Données projet'!$B$15,Paramètres!$A$1:$I$89,3,0)*VLOOKUP('Données projet'!$B$15,Paramètres!$A$1:$I$89,5,0)</f>
        <v>175.5</v>
      </c>
      <c r="EL197" s="13">
        <f t="shared" si="179"/>
        <v>44.319548641773906</v>
      </c>
      <c r="EM197" s="20">
        <f t="shared" si="180"/>
        <v>382.85238055108954</v>
      </c>
      <c r="EN197" s="59">
        <f t="shared" si="198"/>
        <v>675.66304024857345</v>
      </c>
      <c r="EO197" s="59">
        <f ca="1">AVERAGE(OFFSET($EN$3,0,0,'Données projet'!$E$15+1,1))-AVERAGE(OFFSET($H$3,0,0,'Données projet'!$E$15+1,1))</f>
        <v>270.0029254736703</v>
      </c>
      <c r="EP197" s="59">
        <f t="shared" ref="EP197:EP203" si="210">$EP$3</f>
        <v>183.80022202211441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2.6059760237673291</v>
      </c>
      <c r="EW197" s="21">
        <f>EXP(-LN(2)/25)*EW196+(1-EXP(-LN(2)/25))/(LN(2)/25)*Calculateur!ER197*Calculateur!ET197*VLOOKUP('Données projet'!$B$15,Paramètres!$A$1:$I$89,3,0)*0.475*44/12</f>
        <v>1.6725827647139655</v>
      </c>
      <c r="EX197" s="21">
        <f>EXP(-LN(2)/2)*EX196+(1-EXP(-LN(2)/2))/(LN(2)/2)*ER197*EU197*VLOOKUP('Données projet'!$B$15,Paramètres!$A$1:$I$89,3,0)*0.475*44/12</f>
        <v>1.5507312875590189E-12</v>
      </c>
      <c r="EY197" s="22">
        <f t="shared" si="181"/>
        <v>4.2785587884828455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-1.4897523215040567E-13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328.93328163316073</v>
      </c>
      <c r="FK197" s="59">
        <f t="shared" ref="FK197:FK203" si="211">$FK$3</f>
        <v>320.27831321887072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4.8191737710408118</v>
      </c>
      <c r="FR197" s="21">
        <f>EXP(-LN(2)/25)*FR196+(1-EXP(-LN(2)/25))/(LN(2)/25)*Calculateur!FM197*Calculateur!FO197*VLOOKUP('Données projet'!$B$16,Paramètres!$A$1:$I$89,3,0)*0.475*44/12</f>
        <v>1.9719608071248933</v>
      </c>
      <c r="FS197" s="21">
        <f>EXP(-LN(2)/2)*FS196+(1-EXP(-LN(2)/2))/(LN(2)/2)*FM197*FP197*VLOOKUP('Données projet'!$B$16,Paramètres!$A$1:$I$89,3,0)*0.475*44/12</f>
        <v>3.9604437104361133E-16</v>
      </c>
      <c r="FT197" s="22">
        <f t="shared" si="184"/>
        <v>6.7911345781657051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173.07692307692307</v>
      </c>
      <c r="GA197" s="17">
        <f>FZ197*VLOOKUP('Données projet'!$B$17,Paramètres!$A$1:$I$89,3,0)*VLOOKUP('Données projet'!$B$17,Paramètres!$A$1:$I$89,5,0)</f>
        <v>116.1</v>
      </c>
      <c r="GB197" s="13">
        <f t="shared" si="185"/>
        <v>30.763646636385982</v>
      </c>
      <c r="GC197" s="20">
        <f t="shared" si="186"/>
        <v>255.78751789170556</v>
      </c>
      <c r="GD197" s="59">
        <f t="shared" si="200"/>
        <v>548.5981775891895</v>
      </c>
      <c r="GE197" s="59">
        <f ca="1">AVERAGE(OFFSET($GD$3,0,0,'Données projet'!$E$17+1,1))-AVERAGE(OFFSET($H$3,0,0,'Données projet'!$E$17+1,1))</f>
        <v>192.88444860121191</v>
      </c>
      <c r="GF197" s="59">
        <f t="shared" ref="GF197:GF203" si="212">$GF$3</f>
        <v>136.13737493732751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2.1248727578410489</v>
      </c>
      <c r="GM197" s="21">
        <f>EXP(-LN(2)/25)*GM196+(1-EXP(-LN(2)/25))/(LN(2)/25)*Calculateur!GH197*Calculateur!GJ197*VLOOKUP('Données projet'!$B$17,Paramètres!$A$1:$I$89,3,0)*0.475*44/12</f>
        <v>1.3637982543052327</v>
      </c>
      <c r="GN197" s="21">
        <f>EXP(-LN(2)/2)*GN196+(1-EXP(-LN(2)/2))/(LN(2)/2)*GH197*GK197*VLOOKUP('Données projet'!$B$17,Paramètres!$A$1:$I$89,3,0)*0.475*44/12</f>
        <v>1.0258683902313514E-12</v>
      </c>
      <c r="GO197" s="21">
        <f t="shared" si="187"/>
        <v>3.4886710121473072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69.857452644768358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0.85000000000000009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3.1166666666666671</v>
      </c>
      <c r="H198" s="67">
        <f t="shared" si="192"/>
        <v>244.19999999999996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292.81972691655898</v>
      </c>
      <c r="S198" s="59">
        <f ca="1">AVERAGE(OFFSET($R$3,0,0,'Données projet'!$E$9+1,1))-AVERAGE(OFFSET($H$3,0,0,'Données projet'!$E$9+1,1))</f>
        <v>643.492472896403</v>
      </c>
      <c r="T198" s="59">
        <f t="shared" si="204"/>
        <v>285.0259479655341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-2.2168933355715128E-13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289.89907502443873</v>
      </c>
      <c r="AO198" s="59">
        <f t="shared" si="205"/>
        <v>267.42183550360301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3.3056241845475789</v>
      </c>
      <c r="AV198" s="21">
        <f>EXP(-LN(2)/25)*AV197+(1-EXP(-LN(2)/25))/(LN(2)/25)*Calculateur!AQ198*Calculateur!AS198*VLOOKUP('Données projet'!$B$10,Paramètres!$A$1:$I$89,3,0)*0.475*44/12</f>
        <v>1.4067547655992514</v>
      </c>
      <c r="AW198" s="21">
        <f>EXP(-LN(2)/2)*AW197+(1-EXP(-LN(2)/2))/(LN(2)/2)*AQ198*AT198*VLOOKUP('Données projet'!$B$10,Paramètres!$A$1:$I$89,3,0)*0.475*44/12</f>
        <v>4.6364369512477168E-17</v>
      </c>
      <c r="AX198" s="21">
        <f t="shared" si="166"/>
        <v>4.7123789501468298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-9.9475983006414026E-14</v>
      </c>
      <c r="BE198" s="13">
        <f>BD198*VLOOKUP('Données projet'!$B$11,Paramètres!$A$1:$I$89,3,0)*VLOOKUP('Données projet'!$B$11,Paramètres!$A$1:$I$89,5,0)</f>
        <v>-9.6213170763803652E-14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177.54241137663234</v>
      </c>
      <c r="BJ198" s="59">
        <f t="shared" si="206"/>
        <v>114.71095021456071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4.4611249832584967</v>
      </c>
      <c r="BQ198" s="21">
        <f>EXP(-LN(2)/25)*BQ197+(1-EXP(-LN(2)/25))/(LN(2)/25)*Calculateur!BL198*Calculateur!BN198*VLOOKUP('Données projet'!$B$11,Paramètres!$A$1:$I$89,3,0)*0.475*44/12</f>
        <v>3.1524718096039517</v>
      </c>
      <c r="BR198" s="21">
        <f>EXP(-LN(2)/2)*BR197+(1-EXP(-LN(2)/2))/(LN(2)/2)*BL198*BO198*VLOOKUP('Données projet'!$B$11,Paramètres!$A$1:$I$89,3,0)*0.475*44/12</f>
        <v>5.8776866160715561E-11</v>
      </c>
      <c r="BS198" s="22">
        <f t="shared" si="169"/>
        <v>7.6135967929212258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-9.9475983006414026E-14</v>
      </c>
      <c r="BZ198" s="13">
        <f>BY198*VLOOKUP('Données projet'!$B$12,Paramètres!$A$1:$I$89,3,0)*VLOOKUP('Données projet'!$B$12,Paramètres!$A$1:$I$89,5,0)</f>
        <v>-1.0707594810810407E-13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192.88977161349993</v>
      </c>
      <c r="CE198" s="59">
        <f t="shared" si="207"/>
        <v>122.91376861456772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4.9648003845941382</v>
      </c>
      <c r="CL198" s="21">
        <f>EXP(-LN(2)/25)*CL197+(1-EXP(-LN(2)/25))/(LN(2)/25)*Calculateur!CG198*Calculateur!CI198*VLOOKUP('Données projet'!$B$12,Paramètres!$A$1:$I$89,3,0)*0.475*44/12</f>
        <v>3.5083960461721415</v>
      </c>
      <c r="CM198" s="21">
        <f>EXP(-LN(2)/2)*CM197+(1-EXP(-LN(2)/2))/(LN(2)/2)*CG198*CJ198*VLOOKUP('Données projet'!$B$12,Paramètres!$A$1:$I$89,3,0)*0.475*44/12</f>
        <v>6.54129639530544E-11</v>
      </c>
      <c r="CN198" s="22">
        <f t="shared" si="172"/>
        <v>8.4731964308316918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-8.5265128291212022E-14</v>
      </c>
      <c r="CU198" s="17">
        <f>CT198*VLOOKUP('Données projet'!$B$13,Paramètres!$A$1:$I$89,3,0)*VLOOKUP('Données projet'!$B$13,Paramètres!$A$1:$I$89,5,0)</f>
        <v>-6.9167072069831198E-14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163.16040389635825</v>
      </c>
      <c r="CZ198" s="59">
        <f t="shared" si="208"/>
        <v>138.57856782158811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0.88030785835398084</v>
      </c>
      <c r="DH198" s="21">
        <f>EXP(-LN(2)/2)*DH197+(1-EXP(-LN(2)/2))/(LN(2)/2)*DB198*DE198*VLOOKUP('Données projet'!$B$13,Paramètres!$A$1:$I$89,3,0)*0.475*44/12</f>
        <v>3.9323069918348738E-15</v>
      </c>
      <c r="DI198" s="22">
        <f t="shared" si="175"/>
        <v>0.88030785835398473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1.7053025658242404E-13</v>
      </c>
      <c r="DP198" s="17">
        <f>DO198*VLOOKUP('Données projet'!$B$14,Paramètres!$A$1:$I$89,3,0)*VLOOKUP('Données projet'!$B$14,Paramètres!$A$1:$I$89,5,0)</f>
        <v>7.9808160080574461E-14</v>
      </c>
      <c r="DQ198" s="13">
        <f t="shared" si="176"/>
        <v>1.2308384591775343E-12</v>
      </c>
      <c r="DR198" s="20">
        <f t="shared" si="177"/>
        <v>2.282709528541206E-12</v>
      </c>
      <c r="DS198" s="59">
        <f t="shared" si="197"/>
        <v>292.81972691654505</v>
      </c>
      <c r="DT198" s="59">
        <f ca="1">AVERAGE(OFFSET($DS$3,0,0,'Données projet'!$E$14+1,1))-AVERAGE(OFFSET($H$3,0,0,'Données projet'!$E$14+1,1))</f>
        <v>343.44193069803498</v>
      </c>
      <c r="DU198" s="59">
        <f t="shared" si="209"/>
        <v>280.67367019483481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40.950954649777351</v>
      </c>
      <c r="EB198" s="21">
        <f>EXP(-LN(2)/25)*EB197+(1-EXP(-LN(2)/25))/(LN(2)/25)*Calculateur!DW198*Calculateur!DY198*VLOOKUP('Données projet'!$B$14,Paramètres!$A$1:$I$89,3,0)*0.475*44/12</f>
        <v>7.6161628938550132</v>
      </c>
      <c r="EC198" s="21">
        <f>EXP(-LN(2)/2)*EC197+(1-EXP(-LN(2)/2))/(LN(2)/2)*DW198*DZ198*VLOOKUP('Données projet'!$B$14,Paramètres!$A$1:$I$89,3,0)*0.475*44/12</f>
        <v>7.5457276950075326E-9</v>
      </c>
      <c r="ED198" s="22">
        <f t="shared" si="178"/>
        <v>48.567117551178093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173.07692307692307</v>
      </c>
      <c r="EK198" s="17">
        <f>EJ198*VLOOKUP('Données projet'!$B$15,Paramètres!$A$1:$I$89,3,0)*VLOOKUP('Données projet'!$B$15,Paramètres!$A$1:$I$89,5,0)</f>
        <v>175.5</v>
      </c>
      <c r="EL198" s="13">
        <f t="shared" si="179"/>
        <v>44.319548641773906</v>
      </c>
      <c r="EM198" s="20">
        <f t="shared" si="180"/>
        <v>382.85238055108954</v>
      </c>
      <c r="EN198" s="59">
        <f t="shared" si="198"/>
        <v>675.67210746763226</v>
      </c>
      <c r="EO198" s="59">
        <f ca="1">AVERAGE(OFFSET($EN$3,0,0,'Données projet'!$E$15+1,1))-AVERAGE(OFFSET($H$3,0,0,'Données projet'!$E$15+1,1))</f>
        <v>270.0029254736703</v>
      </c>
      <c r="EP198" s="59">
        <f t="shared" si="210"/>
        <v>183.80022202211441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2.5548744234296774</v>
      </c>
      <c r="EW198" s="21">
        <f>EXP(-LN(2)/25)*EW197+(1-EXP(-LN(2)/25))/(LN(2)/25)*Calculateur!ER198*Calculateur!ET198*VLOOKUP('Données projet'!$B$15,Paramètres!$A$1:$I$89,3,0)*0.475*44/12</f>
        <v>1.6268459010555572</v>
      </c>
      <c r="EX198" s="21">
        <f>EXP(-LN(2)/2)*EX197+(1-EXP(-LN(2)/2))/(LN(2)/2)*ER198*EU198*VLOOKUP('Données projet'!$B$15,Paramètres!$A$1:$I$89,3,0)*0.475*44/12</f>
        <v>1.0965326092311283E-12</v>
      </c>
      <c r="EY198" s="22">
        <f t="shared" si="181"/>
        <v>4.1817203244863315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-1.4897523215040567E-13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328.93328163316073</v>
      </c>
      <c r="FK198" s="59">
        <f t="shared" si="211"/>
        <v>320.27831321887072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4.7246727127964592</v>
      </c>
      <c r="FR198" s="21">
        <f>EXP(-LN(2)/25)*FR197+(1-EXP(-LN(2)/25))/(LN(2)/25)*Calculateur!FM198*Calculateur!FO198*VLOOKUP('Données projet'!$B$16,Paramètres!$A$1:$I$89,3,0)*0.475*44/12</f>
        <v>1.9180374351531513</v>
      </c>
      <c r="FS198" s="21">
        <f>EXP(-LN(2)/2)*FS197+(1-EXP(-LN(2)/2))/(LN(2)/2)*FM198*FP198*VLOOKUP('Données projet'!$B$16,Paramètres!$A$1:$I$89,3,0)*0.475*44/12</f>
        <v>2.8004566041569871E-16</v>
      </c>
      <c r="FT198" s="22">
        <f t="shared" si="184"/>
        <v>6.6427101479496109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173.07692307692307</v>
      </c>
      <c r="GA198" s="17">
        <f>FZ198*VLOOKUP('Données projet'!$B$17,Paramètres!$A$1:$I$89,3,0)*VLOOKUP('Données projet'!$B$17,Paramètres!$A$1:$I$89,5,0)</f>
        <v>116.1</v>
      </c>
      <c r="GB198" s="13">
        <f t="shared" si="185"/>
        <v>30.763646636385982</v>
      </c>
      <c r="GC198" s="20">
        <f t="shared" si="186"/>
        <v>255.78751789170556</v>
      </c>
      <c r="GD198" s="59">
        <f t="shared" si="200"/>
        <v>548.60724480824831</v>
      </c>
      <c r="GE198" s="59">
        <f ca="1">AVERAGE(OFFSET($GD$3,0,0,'Données projet'!$E$17+1,1))-AVERAGE(OFFSET($H$3,0,0,'Données projet'!$E$17+1,1))</f>
        <v>192.88444860121191</v>
      </c>
      <c r="GF198" s="59">
        <f t="shared" si="212"/>
        <v>136.13737493732751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2.0832052991041943</v>
      </c>
      <c r="GM198" s="21">
        <f>EXP(-LN(2)/25)*GM197+(1-EXP(-LN(2)/25))/(LN(2)/25)*Calculateur!GH198*Calculateur!GJ198*VLOOKUP('Données projet'!$B$17,Paramètres!$A$1:$I$89,3,0)*0.475*44/12</f>
        <v>1.326505119322223</v>
      </c>
      <c r="GN198" s="21">
        <f>EXP(-LN(2)/2)*GN197+(1-EXP(-LN(2)/2))/(LN(2)/2)*GH198*GK198*VLOOKUP('Données projet'!$B$17,Paramètres!$A$1:$I$89,3,0)*0.475*44/12</f>
        <v>7.2539849533751596E-13</v>
      </c>
      <c r="GO198" s="21">
        <f t="shared" si="187"/>
        <v>3.4097104184271427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69.859925522693487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0.85000000000000009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3.1166666666666671</v>
      </c>
      <c r="H199" s="67">
        <f t="shared" si="192"/>
        <v>244.19999999999996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292.82863683963842</v>
      </c>
      <c r="S199" s="59">
        <f ca="1">AVERAGE(OFFSET($R$3,0,0,'Données projet'!$E$9+1,1))-AVERAGE(OFFSET($H$3,0,0,'Données projet'!$E$9+1,1))</f>
        <v>643.492472896403</v>
      </c>
      <c r="T199" s="59">
        <f t="shared" si="204"/>
        <v>285.0259479655341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-2.2168933355715128E-13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289.89907502443873</v>
      </c>
      <c r="AO199" s="59">
        <f t="shared" si="205"/>
        <v>267.42183550360301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3.2408029105202671</v>
      </c>
      <c r="AV199" s="21">
        <f>EXP(-LN(2)/25)*AV198+(1-EXP(-LN(2)/25))/(LN(2)/25)*Calculateur!AQ199*Calculateur!AS199*VLOOKUP('Données projet'!$B$10,Paramètres!$A$1:$I$89,3,0)*0.475*44/12</f>
        <v>1.3682869825559218</v>
      </c>
      <c r="AW199" s="21">
        <f>EXP(-LN(2)/2)*AW198+(1-EXP(-LN(2)/2))/(LN(2)/2)*AQ199*AT199*VLOOKUP('Données projet'!$B$10,Paramètres!$A$1:$I$89,3,0)*0.475*44/12</f>
        <v>3.2784560087711427E-17</v>
      </c>
      <c r="AX199" s="21">
        <f t="shared" si="166"/>
        <v>4.609089893076189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-9.9475983006414026E-14</v>
      </c>
      <c r="BE199" s="13">
        <f>BD199*VLOOKUP('Données projet'!$B$11,Paramètres!$A$1:$I$89,3,0)*VLOOKUP('Données projet'!$B$11,Paramètres!$A$1:$I$89,5,0)</f>
        <v>-9.6213170763803652E-14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177.54241137663234</v>
      </c>
      <c r="BJ199" s="59">
        <f t="shared" si="206"/>
        <v>114.71095021456071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4.373645043354359</v>
      </c>
      <c r="BQ199" s="21">
        <f>EXP(-LN(2)/25)*BQ198+(1-EXP(-LN(2)/25))/(LN(2)/25)*Calculateur!BL199*Calculateur!BN199*VLOOKUP('Données projet'!$B$11,Paramètres!$A$1:$I$89,3,0)*0.475*44/12</f>
        <v>3.0662673021890443</v>
      </c>
      <c r="BR199" s="21">
        <f>EXP(-LN(2)/2)*BR198+(1-EXP(-LN(2)/2))/(LN(2)/2)*BL199*BO199*VLOOKUP('Données projet'!$B$11,Paramètres!$A$1:$I$89,3,0)*0.475*44/12</f>
        <v>4.1561520639136088E-11</v>
      </c>
      <c r="BS199" s="22">
        <f t="shared" si="169"/>
        <v>7.4399123455849647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-9.9475983006414026E-14</v>
      </c>
      <c r="BZ199" s="13">
        <f>BY199*VLOOKUP('Données projet'!$B$12,Paramètres!$A$1:$I$89,3,0)*VLOOKUP('Données projet'!$B$12,Paramètres!$A$1:$I$89,5,0)</f>
        <v>-1.0707594810810407E-13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192.88977161349993</v>
      </c>
      <c r="CE199" s="59">
        <f t="shared" si="207"/>
        <v>122.91376861456772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4.8674436772814689</v>
      </c>
      <c r="CL199" s="21">
        <f>EXP(-LN(2)/25)*CL198+(1-EXP(-LN(2)/25))/(LN(2)/25)*Calculateur!CG199*Calculateur!CI199*VLOOKUP('Données projet'!$B$12,Paramètres!$A$1:$I$89,3,0)*0.475*44/12</f>
        <v>3.4124587717910346</v>
      </c>
      <c r="CM199" s="21">
        <f>EXP(-LN(2)/2)*CM198+(1-EXP(-LN(2)/2))/(LN(2)/2)*CG199*CJ199*VLOOKUP('Données projet'!$B$12,Paramètres!$A$1:$I$89,3,0)*0.475*44/12</f>
        <v>4.6253950388715959E-11</v>
      </c>
      <c r="CN199" s="22">
        <f t="shared" si="172"/>
        <v>8.2799024491187581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-8.5265128291212022E-14</v>
      </c>
      <c r="CU199" s="17">
        <f>CT199*VLOOKUP('Données projet'!$B$13,Paramètres!$A$1:$I$89,3,0)*VLOOKUP('Données projet'!$B$13,Paramètres!$A$1:$I$89,5,0)</f>
        <v>-6.9167072069831198E-14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163.16040389635825</v>
      </c>
      <c r="CZ199" s="59">
        <f t="shared" si="208"/>
        <v>138.57856782158811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0.85623579367391289</v>
      </c>
      <c r="DH199" s="21">
        <f>EXP(-LN(2)/2)*DH198+(1-EXP(-LN(2)/2))/(LN(2)/2)*DB199*DE199*VLOOKUP('Données projet'!$B$13,Paramètres!$A$1:$I$89,3,0)*0.475*44/12</f>
        <v>2.7805609396337131E-15</v>
      </c>
      <c r="DI199" s="22">
        <f t="shared" si="175"/>
        <v>0.85623579367391567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1.7053025658242404E-13</v>
      </c>
      <c r="DP199" s="17">
        <f>DO199*VLOOKUP('Données projet'!$B$14,Paramètres!$A$1:$I$89,3,0)*VLOOKUP('Données projet'!$B$14,Paramètres!$A$1:$I$89,5,0)</f>
        <v>7.9808160080574461E-14</v>
      </c>
      <c r="DQ199" s="13">
        <f t="shared" si="176"/>
        <v>1.2308384591775343E-12</v>
      </c>
      <c r="DR199" s="20">
        <f t="shared" si="177"/>
        <v>2.282709528541206E-12</v>
      </c>
      <c r="DS199" s="59">
        <f t="shared" si="197"/>
        <v>292.82863683962449</v>
      </c>
      <c r="DT199" s="59">
        <f ca="1">AVERAGE(OFFSET($DS$3,0,0,'Données projet'!$E$14+1,1))-AVERAGE(OFFSET($H$3,0,0,'Données projet'!$E$14+1,1))</f>
        <v>343.44193069803498</v>
      </c>
      <c r="DU199" s="59">
        <f t="shared" si="209"/>
        <v>280.67367019483481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40.147931406711216</v>
      </c>
      <c r="EB199" s="21">
        <f>EXP(-LN(2)/25)*EB198+(1-EXP(-LN(2)/25))/(LN(2)/25)*Calculateur!DW199*Calculateur!DY199*VLOOKUP('Données projet'!$B$14,Paramètres!$A$1:$I$89,3,0)*0.475*44/12</f>
        <v>7.4078985190059479</v>
      </c>
      <c r="EC199" s="21">
        <f>EXP(-LN(2)/2)*EC198+(1-EXP(-LN(2)/2))/(LN(2)/2)*DW199*DZ199*VLOOKUP('Données projet'!$B$14,Paramètres!$A$1:$I$89,3,0)*0.475*44/12</f>
        <v>5.3356352221269632E-9</v>
      </c>
      <c r="ED199" s="22">
        <f t="shared" si="178"/>
        <v>47.555829931052799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173.07692307692307</v>
      </c>
      <c r="EK199" s="17">
        <f>EJ199*VLOOKUP('Données projet'!$B$15,Paramètres!$A$1:$I$89,3,0)*VLOOKUP('Données projet'!$B$15,Paramètres!$A$1:$I$89,5,0)</f>
        <v>175.5</v>
      </c>
      <c r="EL199" s="13">
        <f t="shared" si="179"/>
        <v>44.319548641773906</v>
      </c>
      <c r="EM199" s="20">
        <f t="shared" si="180"/>
        <v>382.85238055108954</v>
      </c>
      <c r="EN199" s="59">
        <f t="shared" si="198"/>
        <v>675.68101739071176</v>
      </c>
      <c r="EO199" s="59">
        <f ca="1">AVERAGE(OFFSET($EN$3,0,0,'Données projet'!$E$15+1,1))-AVERAGE(OFFSET($H$3,0,0,'Données projet'!$E$15+1,1))</f>
        <v>270.0029254736703</v>
      </c>
      <c r="EP199" s="59">
        <f t="shared" si="210"/>
        <v>183.80022202211441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2.5047748943057484</v>
      </c>
      <c r="EW199" s="21">
        <f>EXP(-LN(2)/25)*EW198+(1-EXP(-LN(2)/25))/(LN(2)/25)*Calculateur!ER199*Calculateur!ET199*VLOOKUP('Données projet'!$B$15,Paramètres!$A$1:$I$89,3,0)*0.475*44/12</f>
        <v>1.5823597143390853</v>
      </c>
      <c r="EX199" s="21">
        <f>EXP(-LN(2)/2)*EX198+(1-EXP(-LN(2)/2))/(LN(2)/2)*ER199*EU199*VLOOKUP('Données projet'!$B$15,Paramètres!$A$1:$I$89,3,0)*0.475*44/12</f>
        <v>7.7536564377950947E-13</v>
      </c>
      <c r="EY199" s="22">
        <f t="shared" si="181"/>
        <v>4.0871346086456093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-1.4897523215040567E-13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328.93328163316073</v>
      </c>
      <c r="FK199" s="59">
        <f t="shared" si="211"/>
        <v>320.27831321887072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4.6320247626643249</v>
      </c>
      <c r="FR199" s="21">
        <f>EXP(-LN(2)/25)*FR198+(1-EXP(-LN(2)/25))/(LN(2)/25)*Calculateur!FM199*Calculateur!FO199*VLOOKUP('Données projet'!$B$16,Paramètres!$A$1:$I$89,3,0)*0.475*44/12</f>
        <v>1.8655886006236835</v>
      </c>
      <c r="FS199" s="21">
        <f>EXP(-LN(2)/2)*FS198+(1-EXP(-LN(2)/2))/(LN(2)/2)*FM199*FP199*VLOOKUP('Données projet'!$B$16,Paramètres!$A$1:$I$89,3,0)*0.475*44/12</f>
        <v>1.9802218552180567E-16</v>
      </c>
      <c r="FT199" s="22">
        <f t="shared" si="184"/>
        <v>6.4976133632880089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173.07692307692307</v>
      </c>
      <c r="GA199" s="17">
        <f>FZ199*VLOOKUP('Données projet'!$B$17,Paramètres!$A$1:$I$89,3,0)*VLOOKUP('Données projet'!$B$17,Paramètres!$A$1:$I$89,5,0)</f>
        <v>116.1</v>
      </c>
      <c r="GB199" s="13">
        <f t="shared" si="185"/>
        <v>30.763646636385982</v>
      </c>
      <c r="GC199" s="20">
        <f t="shared" si="186"/>
        <v>255.78751789170556</v>
      </c>
      <c r="GD199" s="59">
        <f t="shared" si="200"/>
        <v>548.61615473132781</v>
      </c>
      <c r="GE199" s="59">
        <f ca="1">AVERAGE(OFFSET($GD$3,0,0,'Données projet'!$E$17+1,1))-AVERAGE(OFFSET($H$3,0,0,'Données projet'!$E$17+1,1))</f>
        <v>192.88444860121191</v>
      </c>
      <c r="GF199" s="59">
        <f t="shared" si="212"/>
        <v>136.13737493732751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2.0423549138185293</v>
      </c>
      <c r="GM199" s="21">
        <f>EXP(-LN(2)/25)*GM198+(1-EXP(-LN(2)/25))/(LN(2)/25)*Calculateur!GH199*Calculateur!GJ199*VLOOKUP('Données projet'!$B$17,Paramètres!$A$1:$I$89,3,0)*0.475*44/12</f>
        <v>1.2902317670764845</v>
      </c>
      <c r="GN199" s="21">
        <f>EXP(-LN(2)/2)*GN198+(1-EXP(-LN(2)/2))/(LN(2)/2)*GH199*GK199*VLOOKUP('Données projet'!$B$17,Paramètres!$A$1:$I$89,3,0)*0.475*44/12</f>
        <v>5.1293419511567571E-13</v>
      </c>
      <c r="GO199" s="21">
        <f t="shared" si="187"/>
        <v>3.3325866808955267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69.862355501715143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0.85000000000000009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3.1166666666666671</v>
      </c>
      <c r="H200" s="67">
        <f t="shared" si="192"/>
        <v>244.19999999999996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292.83739219547198</v>
      </c>
      <c r="S200" s="59">
        <f ca="1">AVERAGE(OFFSET($R$3,0,0,'Données projet'!$E$9+1,1))-AVERAGE(OFFSET($H$3,0,0,'Données projet'!$E$9+1,1))</f>
        <v>643.492472896403</v>
      </c>
      <c r="T200" s="59">
        <f t="shared" si="204"/>
        <v>285.0259479655341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-2.2168933355715128E-13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289.89907502443873</v>
      </c>
      <c r="AO200" s="59">
        <f t="shared" si="205"/>
        <v>267.42183550360301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3.1772527421395576</v>
      </c>
      <c r="AV200" s="21">
        <f>EXP(-LN(2)/25)*AV199+(1-EXP(-LN(2)/25))/(LN(2)/25)*Calculateur!AQ200*Calculateur!AS200*VLOOKUP('Données projet'!$B$10,Paramètres!$A$1:$I$89,3,0)*0.475*44/12</f>
        <v>1.3308711030628451</v>
      </c>
      <c r="AW200" s="21">
        <f>EXP(-LN(2)/2)*AW199+(1-EXP(-LN(2)/2))/(LN(2)/2)*AQ200*AT200*VLOOKUP('Données projet'!$B$10,Paramètres!$A$1:$I$89,3,0)*0.475*44/12</f>
        <v>2.3182184756238584E-17</v>
      </c>
      <c r="AX200" s="21">
        <f t="shared" si="166"/>
        <v>4.5081238452024026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-9.9475983006414026E-14</v>
      </c>
      <c r="BE200" s="13">
        <f>BD200*VLOOKUP('Données projet'!$B$11,Paramètres!$A$1:$I$89,3,0)*VLOOKUP('Données projet'!$B$11,Paramètres!$A$1:$I$89,5,0)</f>
        <v>-9.6213170763803652E-14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177.54241137663234</v>
      </c>
      <c r="BJ200" s="59">
        <f t="shared" si="206"/>
        <v>114.71095021456071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4.2878805317142472</v>
      </c>
      <c r="BQ200" s="21">
        <f>EXP(-LN(2)/25)*BQ199+(1-EXP(-LN(2)/25))/(LN(2)/25)*Calculateur!BL200*Calculateur!BN200*VLOOKUP('Données projet'!$B$11,Paramètres!$A$1:$I$89,3,0)*0.475*44/12</f>
        <v>2.9824200615626957</v>
      </c>
      <c r="BR200" s="21">
        <f>EXP(-LN(2)/2)*BR199+(1-EXP(-LN(2)/2))/(LN(2)/2)*BL200*BO200*VLOOKUP('Données projet'!$B$11,Paramètres!$A$1:$I$89,3,0)*0.475*44/12</f>
        <v>2.938843308035778E-11</v>
      </c>
      <c r="BS200" s="22">
        <f t="shared" si="169"/>
        <v>7.2703005933063309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-9.9475983006414026E-14</v>
      </c>
      <c r="BZ200" s="13">
        <f>BY200*VLOOKUP('Données projet'!$B$12,Paramètres!$A$1:$I$89,3,0)*VLOOKUP('Données projet'!$B$12,Paramètres!$A$1:$I$89,5,0)</f>
        <v>-1.0707594810810407E-13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192.88977161349993</v>
      </c>
      <c r="CE200" s="59">
        <f t="shared" si="207"/>
        <v>122.91376861456772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4.7719960756174729</v>
      </c>
      <c r="CL200" s="21">
        <f>EXP(-LN(2)/25)*CL199+(1-EXP(-LN(2)/25))/(LN(2)/25)*Calculateur!CG200*Calculateur!CI200*VLOOKUP('Données projet'!$B$12,Paramètres!$A$1:$I$89,3,0)*0.475*44/12</f>
        <v>3.3191449072230013</v>
      </c>
      <c r="CM200" s="21">
        <f>EXP(-LN(2)/2)*CM199+(1-EXP(-LN(2)/2))/(LN(2)/2)*CG200*CJ200*VLOOKUP('Données projet'!$B$12,Paramètres!$A$1:$I$89,3,0)*0.475*44/12</f>
        <v>3.27064819765272E-11</v>
      </c>
      <c r="CN200" s="22">
        <f t="shared" si="172"/>
        <v>8.0911409828731813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-8.5265128291212022E-14</v>
      </c>
      <c r="CU200" s="17">
        <f>CT200*VLOOKUP('Données projet'!$B$13,Paramètres!$A$1:$I$89,3,0)*VLOOKUP('Données projet'!$B$13,Paramètres!$A$1:$I$89,5,0)</f>
        <v>-6.9167072069831198E-14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163.16040389635825</v>
      </c>
      <c r="CZ200" s="59">
        <f t="shared" si="208"/>
        <v>138.57856782158811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0.8328219808684163</v>
      </c>
      <c r="DH200" s="21">
        <f>EXP(-LN(2)/2)*DH199+(1-EXP(-LN(2)/2))/(LN(2)/2)*DB200*DE200*VLOOKUP('Données projet'!$B$13,Paramètres!$A$1:$I$89,3,0)*0.475*44/12</f>
        <v>1.9661534959174369E-15</v>
      </c>
      <c r="DI200" s="22">
        <f t="shared" si="175"/>
        <v>0.8328219808684183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1.7053025658242404E-13</v>
      </c>
      <c r="DP200" s="17">
        <f>DO200*VLOOKUP('Données projet'!$B$14,Paramètres!$A$1:$I$89,3,0)*VLOOKUP('Données projet'!$B$14,Paramètres!$A$1:$I$89,5,0)</f>
        <v>7.9808160080574461E-14</v>
      </c>
      <c r="DQ200" s="13">
        <f t="shared" si="176"/>
        <v>1.2308384591775343E-12</v>
      </c>
      <c r="DR200" s="20">
        <f t="shared" si="177"/>
        <v>2.282709528541206E-12</v>
      </c>
      <c r="DS200" s="59">
        <f t="shared" si="197"/>
        <v>292.83739219545805</v>
      </c>
      <c r="DT200" s="59">
        <f ca="1">AVERAGE(OFFSET($DS$3,0,0,'Données projet'!$E$14+1,1))-AVERAGE(OFFSET($H$3,0,0,'Données projet'!$E$14+1,1))</f>
        <v>343.44193069803498</v>
      </c>
      <c r="DU200" s="59">
        <f t="shared" si="209"/>
        <v>280.67367019483481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39.360654959645792</v>
      </c>
      <c r="EB200" s="21">
        <f>EXP(-LN(2)/25)*EB199+(1-EXP(-LN(2)/25))/(LN(2)/25)*Calculateur!DW200*Calculateur!DY200*VLOOKUP('Données projet'!$B$14,Paramètres!$A$1:$I$89,3,0)*0.475*44/12</f>
        <v>7.2053291444392782</v>
      </c>
      <c r="EC200" s="21">
        <f>EXP(-LN(2)/2)*EC199+(1-EXP(-LN(2)/2))/(LN(2)/2)*DW200*DZ200*VLOOKUP('Données projet'!$B$14,Paramètres!$A$1:$I$89,3,0)*0.475*44/12</f>
        <v>3.7728638475037663E-9</v>
      </c>
      <c r="ED200" s="22">
        <f t="shared" si="178"/>
        <v>46.565984107857929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173.07692307692307</v>
      </c>
      <c r="EK200" s="17">
        <f>EJ200*VLOOKUP('Données projet'!$B$15,Paramètres!$A$1:$I$89,3,0)*VLOOKUP('Données projet'!$B$15,Paramètres!$A$1:$I$89,5,0)</f>
        <v>175.5</v>
      </c>
      <c r="EL200" s="13">
        <f t="shared" si="179"/>
        <v>44.319548641773906</v>
      </c>
      <c r="EM200" s="20">
        <f t="shared" si="180"/>
        <v>382.85238055108954</v>
      </c>
      <c r="EN200" s="59">
        <f t="shared" si="198"/>
        <v>675.68977274654526</v>
      </c>
      <c r="EO200" s="59">
        <f ca="1">AVERAGE(OFFSET($EN$3,0,0,'Données projet'!$E$15+1,1))-AVERAGE(OFFSET($H$3,0,0,'Données projet'!$E$15+1,1))</f>
        <v>270.0029254736703</v>
      </c>
      <c r="EP200" s="59">
        <f t="shared" si="210"/>
        <v>183.80022202211441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2.4556577863902445</v>
      </c>
      <c r="EW200" s="21">
        <f>EXP(-LN(2)/25)*EW199+(1-EXP(-LN(2)/25))/(LN(2)/25)*Calculateur!ER200*Calculateur!ET200*VLOOKUP('Données projet'!$B$15,Paramètres!$A$1:$I$89,3,0)*0.475*44/12</f>
        <v>1.5390900047378022</v>
      </c>
      <c r="EX200" s="21">
        <f>EXP(-LN(2)/2)*EX199+(1-EXP(-LN(2)/2))/(LN(2)/2)*ER200*EU200*VLOOKUP('Données projet'!$B$15,Paramètres!$A$1:$I$89,3,0)*0.475*44/12</f>
        <v>5.4826630461556415E-13</v>
      </c>
      <c r="EY200" s="22">
        <f t="shared" si="181"/>
        <v>3.9947477911285953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-1.4897523215040567E-13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328.93328163316073</v>
      </c>
      <c r="FK200" s="59">
        <f t="shared" si="211"/>
        <v>320.27831321887072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4.5411935823246115</v>
      </c>
      <c r="FR200" s="21">
        <f>EXP(-LN(2)/25)*FR199+(1-EXP(-LN(2)/25))/(LN(2)/25)*Calculateur!FM200*Calculateur!FO200*VLOOKUP('Données projet'!$B$16,Paramètres!$A$1:$I$89,3,0)*0.475*44/12</f>
        <v>1.8145739822325881</v>
      </c>
      <c r="FS200" s="21">
        <f>EXP(-LN(2)/2)*FS199+(1-EXP(-LN(2)/2))/(LN(2)/2)*FM200*FP200*VLOOKUP('Données projet'!$B$16,Paramètres!$A$1:$I$89,3,0)*0.475*44/12</f>
        <v>1.4002283020784936E-16</v>
      </c>
      <c r="FT200" s="22">
        <f t="shared" si="184"/>
        <v>6.3557675645571994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173.07692307692307</v>
      </c>
      <c r="GA200" s="17">
        <f>FZ200*VLOOKUP('Données projet'!$B$17,Paramètres!$A$1:$I$89,3,0)*VLOOKUP('Données projet'!$B$17,Paramètres!$A$1:$I$89,5,0)</f>
        <v>116.1</v>
      </c>
      <c r="GB200" s="13">
        <f t="shared" si="185"/>
        <v>30.763646636385982</v>
      </c>
      <c r="GC200" s="20">
        <f t="shared" si="186"/>
        <v>255.78751789170556</v>
      </c>
      <c r="GD200" s="59">
        <f t="shared" si="200"/>
        <v>548.62491008716131</v>
      </c>
      <c r="GE200" s="59">
        <f ca="1">AVERAGE(OFFSET($GD$3,0,0,'Données projet'!$E$17+1,1))-AVERAGE(OFFSET($H$3,0,0,'Données projet'!$E$17+1,1))</f>
        <v>192.88444860121191</v>
      </c>
      <c r="GF200" s="59">
        <f t="shared" si="212"/>
        <v>136.13737493732751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2.0023055796720413</v>
      </c>
      <c r="GM200" s="21">
        <f>EXP(-LN(2)/25)*GM199+(1-EXP(-LN(2)/25))/(LN(2)/25)*Calculateur!GH200*Calculateur!GJ200*VLOOKUP('Données projet'!$B$17,Paramètres!$A$1:$I$89,3,0)*0.475*44/12</f>
        <v>1.2549503115554381</v>
      </c>
      <c r="GN200" s="21">
        <f>EXP(-LN(2)/2)*GN199+(1-EXP(-LN(2)/2))/(LN(2)/2)*GH200*GK200*VLOOKUP('Données projet'!$B$17,Paramètres!$A$1:$I$89,3,0)*0.475*44/12</f>
        <v>3.6269924766875798E-13</v>
      </c>
      <c r="GO200" s="21">
        <f t="shared" si="187"/>
        <v>3.257255891227842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69.864743326033391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0.85000000000000009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3.1166666666666671</v>
      </c>
      <c r="H201" s="67">
        <f t="shared" si="192"/>
        <v>244.19999999999996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292.84599566545586</v>
      </c>
      <c r="S201" s="59">
        <f ca="1">AVERAGE(OFFSET($R$3,0,0,'Données projet'!$E$9+1,1))-AVERAGE(OFFSET($H$3,0,0,'Données projet'!$E$9+1,1))</f>
        <v>643.492472896403</v>
      </c>
      <c r="T201" s="59">
        <f t="shared" si="204"/>
        <v>285.0259479655341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-2.2168933355715128E-13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289.89907502443873</v>
      </c>
      <c r="AO201" s="59">
        <f t="shared" si="205"/>
        <v>267.42183550360301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3.1149487537990184</v>
      </c>
      <c r="AV201" s="21">
        <f>EXP(-LN(2)/25)*AV200+(1-EXP(-LN(2)/25))/(LN(2)/25)*Calculateur!AQ201*Calculateur!AS201*VLOOKUP('Données projet'!$B$10,Paramètres!$A$1:$I$89,3,0)*0.475*44/12</f>
        <v>1.2944783627621219</v>
      </c>
      <c r="AW201" s="21">
        <f>EXP(-LN(2)/2)*AW200+(1-EXP(-LN(2)/2))/(LN(2)/2)*AQ201*AT201*VLOOKUP('Données projet'!$B$10,Paramètres!$A$1:$I$89,3,0)*0.475*44/12</f>
        <v>1.6392280043855714E-17</v>
      </c>
      <c r="AX201" s="21">
        <f t="shared" si="166"/>
        <v>4.4094271165611403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-9.9475983006414026E-14</v>
      </c>
      <c r="BE201" s="13">
        <f>BD201*VLOOKUP('Données projet'!$B$11,Paramètres!$A$1:$I$89,3,0)*VLOOKUP('Données projet'!$B$11,Paramètres!$A$1:$I$89,5,0)</f>
        <v>-9.6213170763803652E-14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177.54241137663234</v>
      </c>
      <c r="BJ201" s="59">
        <f t="shared" si="206"/>
        <v>114.71095021456071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4.2037978098362112</v>
      </c>
      <c r="BQ201" s="21">
        <f>EXP(-LN(2)/25)*BQ200+(1-EXP(-LN(2)/25))/(LN(2)/25)*Calculateur!BL201*Calculateur!BN201*VLOOKUP('Données projet'!$B$11,Paramètres!$A$1:$I$89,3,0)*0.475*44/12</f>
        <v>2.9008656281406093</v>
      </c>
      <c r="BR201" s="21">
        <f>EXP(-LN(2)/2)*BR200+(1-EXP(-LN(2)/2))/(LN(2)/2)*BL201*BO201*VLOOKUP('Données projet'!$B$11,Paramètres!$A$1:$I$89,3,0)*0.475*44/12</f>
        <v>2.0780760319568044E-11</v>
      </c>
      <c r="BS201" s="22">
        <f t="shared" si="169"/>
        <v>7.1046634379976012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-9.9475983006414026E-14</v>
      </c>
      <c r="BZ201" s="13">
        <f>BY201*VLOOKUP('Données projet'!$B$12,Paramètres!$A$1:$I$89,3,0)*VLOOKUP('Données projet'!$B$12,Paramètres!$A$1:$I$89,5,0)</f>
        <v>-1.0707594810810407E-13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192.88977161349993</v>
      </c>
      <c r="CE201" s="59">
        <f t="shared" si="207"/>
        <v>122.91376861456772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4.6784201432048196</v>
      </c>
      <c r="CL201" s="21">
        <f>EXP(-LN(2)/25)*CL200+(1-EXP(-LN(2)/25))/(LN(2)/25)*Calculateur!CG201*Calculateur!CI201*VLOOKUP('Données projet'!$B$12,Paramètres!$A$1:$I$89,3,0)*0.475*44/12</f>
        <v>3.2283827151887436</v>
      </c>
      <c r="CM201" s="21">
        <f>EXP(-LN(2)/2)*CM200+(1-EXP(-LN(2)/2))/(LN(2)/2)*CG201*CJ201*VLOOKUP('Données projet'!$B$12,Paramètres!$A$1:$I$89,3,0)*0.475*44/12</f>
        <v>2.3126975194357979E-11</v>
      </c>
      <c r="CN201" s="22">
        <f t="shared" si="172"/>
        <v>7.9068028584166905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-8.5265128291212022E-14</v>
      </c>
      <c r="CU201" s="17">
        <f>CT201*VLOOKUP('Données projet'!$B$13,Paramètres!$A$1:$I$89,3,0)*VLOOKUP('Données projet'!$B$13,Paramètres!$A$1:$I$89,5,0)</f>
        <v>-6.9167072069831198E-14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163.16040389635825</v>
      </c>
      <c r="CZ201" s="59">
        <f t="shared" si="208"/>
        <v>138.57856782158811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0.81004842000536492</v>
      </c>
      <c r="DH201" s="21">
        <f>EXP(-LN(2)/2)*DH200+(1-EXP(-LN(2)/2))/(LN(2)/2)*DB201*DE201*VLOOKUP('Données projet'!$B$13,Paramètres!$A$1:$I$89,3,0)*0.475*44/12</f>
        <v>1.3902804698168566E-15</v>
      </c>
      <c r="DI201" s="22">
        <f t="shared" si="175"/>
        <v>0.81004842000536637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1.7053025658242404E-13</v>
      </c>
      <c r="DP201" s="17">
        <f>DO201*VLOOKUP('Données projet'!$B$14,Paramètres!$A$1:$I$89,3,0)*VLOOKUP('Données projet'!$B$14,Paramètres!$A$1:$I$89,5,0)</f>
        <v>7.9808160080574461E-14</v>
      </c>
      <c r="DQ201" s="13">
        <f t="shared" si="176"/>
        <v>1.2308384591775343E-12</v>
      </c>
      <c r="DR201" s="20">
        <f t="shared" si="177"/>
        <v>2.282709528541206E-12</v>
      </c>
      <c r="DS201" s="59">
        <f t="shared" si="197"/>
        <v>292.84599566544193</v>
      </c>
      <c r="DT201" s="59">
        <f ca="1">AVERAGE(OFFSET($DS$3,0,0,'Données projet'!$E$14+1,1))-AVERAGE(OFFSET($H$3,0,0,'Données projet'!$E$14+1,1))</f>
        <v>343.44193069803498</v>
      </c>
      <c r="DU201" s="59">
        <f t="shared" si="209"/>
        <v>280.67367019483481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38.588816523516108</v>
      </c>
      <c r="EB201" s="21">
        <f>EXP(-LN(2)/25)*EB200+(1-EXP(-LN(2)/25))/(LN(2)/25)*Calculateur!DW201*Calculateur!DY201*VLOOKUP('Données projet'!$B$14,Paramètres!$A$1:$I$89,3,0)*0.475*44/12</f>
        <v>7.008299040072794</v>
      </c>
      <c r="EC201" s="21">
        <f>EXP(-LN(2)/2)*EC200+(1-EXP(-LN(2)/2))/(LN(2)/2)*DW201*DZ201*VLOOKUP('Données projet'!$B$14,Paramètres!$A$1:$I$89,3,0)*0.475*44/12</f>
        <v>2.6678176110634816E-9</v>
      </c>
      <c r="ED201" s="22">
        <f t="shared" si="178"/>
        <v>45.597115566256718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173.07692307692307</v>
      </c>
      <c r="EK201" s="17">
        <f>EJ201*VLOOKUP('Données projet'!$B$15,Paramètres!$A$1:$I$89,3,0)*VLOOKUP('Données projet'!$B$15,Paramètres!$A$1:$I$89,5,0)</f>
        <v>175.5</v>
      </c>
      <c r="EL201" s="13">
        <f t="shared" si="179"/>
        <v>44.319548641773906</v>
      </c>
      <c r="EM201" s="20">
        <f t="shared" si="180"/>
        <v>382.85238055108954</v>
      </c>
      <c r="EN201" s="59">
        <f t="shared" si="198"/>
        <v>675.69837621652914</v>
      </c>
      <c r="EO201" s="59">
        <f ca="1">AVERAGE(OFFSET($EN$3,0,0,'Données projet'!$E$15+1,1))-AVERAGE(OFFSET($H$3,0,0,'Données projet'!$E$15+1,1))</f>
        <v>270.0029254736703</v>
      </c>
      <c r="EP201" s="59">
        <f t="shared" si="210"/>
        <v>183.80022202211441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2.4075038350024855</v>
      </c>
      <c r="EW201" s="21">
        <f>EXP(-LN(2)/25)*EW200+(1-EXP(-LN(2)/25))/(LN(2)/25)*Calculateur!ER201*Calculateur!ET201*VLOOKUP('Données projet'!$B$15,Paramètres!$A$1:$I$89,3,0)*0.475*44/12</f>
        <v>1.4970035076210213</v>
      </c>
      <c r="EX201" s="21">
        <f>EXP(-LN(2)/2)*EX200+(1-EXP(-LN(2)/2))/(LN(2)/2)*ER201*EU201*VLOOKUP('Données projet'!$B$15,Paramètres!$A$1:$I$89,3,0)*0.475*44/12</f>
        <v>3.8768282188975474E-13</v>
      </c>
      <c r="EY201" s="22">
        <f t="shared" si="181"/>
        <v>3.9045073426238948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-1.4897523215040567E-13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328.93328163316073</v>
      </c>
      <c r="FK201" s="59">
        <f t="shared" si="211"/>
        <v>320.27831321887072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4.4521435460298102</v>
      </c>
      <c r="FR201" s="21">
        <f>EXP(-LN(2)/25)*FR200+(1-EXP(-LN(2)/25))/(LN(2)/25)*Calculateur!FM201*Calculateur!FO201*VLOOKUP('Données projet'!$B$16,Paramètres!$A$1:$I$89,3,0)*0.475*44/12</f>
        <v>1.7649543612641396</v>
      </c>
      <c r="FS201" s="21">
        <f>EXP(-LN(2)/2)*FS200+(1-EXP(-LN(2)/2))/(LN(2)/2)*FM201*FP201*VLOOKUP('Données projet'!$B$16,Paramètres!$A$1:$I$89,3,0)*0.475*44/12</f>
        <v>9.9011092760902833E-17</v>
      </c>
      <c r="FT201" s="22">
        <f t="shared" si="184"/>
        <v>6.2170979072939501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173.07692307692307</v>
      </c>
      <c r="GA201" s="17">
        <f>FZ201*VLOOKUP('Données projet'!$B$17,Paramètres!$A$1:$I$89,3,0)*VLOOKUP('Données projet'!$B$17,Paramètres!$A$1:$I$89,5,0)</f>
        <v>116.1</v>
      </c>
      <c r="GB201" s="13">
        <f t="shared" si="185"/>
        <v>30.763646636385982</v>
      </c>
      <c r="GC201" s="20">
        <f t="shared" si="186"/>
        <v>255.78751789170556</v>
      </c>
      <c r="GD201" s="59">
        <f t="shared" si="200"/>
        <v>548.63351355714519</v>
      </c>
      <c r="GE201" s="59">
        <f ca="1">AVERAGE(OFFSET($GD$3,0,0,'Données projet'!$E$17+1,1))-AVERAGE(OFFSET($H$3,0,0,'Données projet'!$E$17+1,1))</f>
        <v>192.88444860121191</v>
      </c>
      <c r="GF201" s="59">
        <f t="shared" si="212"/>
        <v>136.13737493732751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1.9630415885404842</v>
      </c>
      <c r="GM201" s="21">
        <f>EXP(-LN(2)/25)*GM200+(1-EXP(-LN(2)/25))/(LN(2)/25)*Calculateur!GH201*Calculateur!GJ201*VLOOKUP('Données projet'!$B$17,Paramètres!$A$1:$I$89,3,0)*0.475*44/12</f>
        <v>1.2206336292909861</v>
      </c>
      <c r="GN201" s="21">
        <f>EXP(-LN(2)/2)*GN200+(1-EXP(-LN(2)/2))/(LN(2)/2)*GH201*GK201*VLOOKUP('Données projet'!$B$17,Paramètres!$A$1:$I$89,3,0)*0.475*44/12</f>
        <v>2.5646709755783786E-13</v>
      </c>
      <c r="GO201" s="21">
        <f t="shared" si="187"/>
        <v>3.1836752178317269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69.86708972693809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0.85000000000000009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3.1166666666666671</v>
      </c>
      <c r="H202" s="67">
        <f t="shared" si="192"/>
        <v>244.19999999999996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292.85444988447</v>
      </c>
      <c r="S202" s="59">
        <f ca="1">AVERAGE(OFFSET($R$3,0,0,'Données projet'!$E$9+1,1))-AVERAGE(OFFSET($H$3,0,0,'Données projet'!$E$9+1,1))</f>
        <v>643.492472896403</v>
      </c>
      <c r="T202" s="59">
        <f t="shared" si="204"/>
        <v>285.0259479655341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-2.2168933355715128E-13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289.89907502443873</v>
      </c>
      <c r="AO202" s="59">
        <f t="shared" si="205"/>
        <v>267.42183550360301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3.0538665086681567</v>
      </c>
      <c r="AV202" s="21">
        <f>EXP(-LN(2)/25)*AV201+(1-EXP(-LN(2)/25))/(LN(2)/25)*Calculateur!AQ202*Calculateur!AS202*VLOOKUP('Données projet'!$B$10,Paramètres!$A$1:$I$89,3,0)*0.475*44/12</f>
        <v>1.2590807838587332</v>
      </c>
      <c r="AW202" s="21">
        <f>EXP(-LN(2)/2)*AW201+(1-EXP(-LN(2)/2))/(LN(2)/2)*AQ202*AT202*VLOOKUP('Données projet'!$B$10,Paramètres!$A$1:$I$89,3,0)*0.475*44/12</f>
        <v>1.1591092378119292E-17</v>
      </c>
      <c r="AX202" s="21">
        <f t="shared" si="166"/>
        <v>4.3129472925268901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-9.9475983006414026E-14</v>
      </c>
      <c r="BE202" s="13">
        <f>BD202*VLOOKUP('Données projet'!$B$11,Paramètres!$A$1:$I$89,3,0)*VLOOKUP('Données projet'!$B$11,Paramètres!$A$1:$I$89,5,0)</f>
        <v>-9.6213170763803652E-14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177.54241137663234</v>
      </c>
      <c r="BJ202" s="59">
        <f t="shared" si="206"/>
        <v>114.71095021456071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4.1213638988488066</v>
      </c>
      <c r="BQ202" s="21">
        <f>EXP(-LN(2)/25)*BQ201+(1-EXP(-LN(2)/25))/(LN(2)/25)*Calculateur!BL202*Calculateur!BN202*VLOOKUP('Données projet'!$B$11,Paramètres!$A$1:$I$89,3,0)*0.475*44/12</f>
        <v>2.8215413049892111</v>
      </c>
      <c r="BR202" s="21">
        <f>EXP(-LN(2)/2)*BR201+(1-EXP(-LN(2)/2))/(LN(2)/2)*BL202*BO202*VLOOKUP('Données projet'!$B$11,Paramètres!$A$1:$I$89,3,0)*0.475*44/12</f>
        <v>1.469421654017889E-11</v>
      </c>
      <c r="BS202" s="22">
        <f t="shared" si="169"/>
        <v>6.9429052038527121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-9.9475983006414026E-14</v>
      </c>
      <c r="BZ202" s="13">
        <f>BY202*VLOOKUP('Données projet'!$B$12,Paramètres!$A$1:$I$89,3,0)*VLOOKUP('Données projet'!$B$12,Paramètres!$A$1:$I$89,5,0)</f>
        <v>-1.0707594810810407E-13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192.88977161349993</v>
      </c>
      <c r="CE202" s="59">
        <f t="shared" si="207"/>
        <v>122.91376861456772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4.5866791777510949</v>
      </c>
      <c r="CL202" s="21">
        <f>EXP(-LN(2)/25)*CL201+(1-EXP(-LN(2)/25))/(LN(2)/25)*Calculateur!CG202*Calculateur!CI202*VLOOKUP('Données projet'!$B$12,Paramètres!$A$1:$I$89,3,0)*0.475*44/12</f>
        <v>3.1401024200686392</v>
      </c>
      <c r="CM202" s="21">
        <f>EXP(-LN(2)/2)*CM201+(1-EXP(-LN(2)/2))/(LN(2)/2)*CG202*CJ202*VLOOKUP('Données projet'!$B$12,Paramètres!$A$1:$I$89,3,0)*0.475*44/12</f>
        <v>1.63532409882636E-11</v>
      </c>
      <c r="CN202" s="22">
        <f t="shared" si="172"/>
        <v>7.7267815978360872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-8.5265128291212022E-14</v>
      </c>
      <c r="CU202" s="17">
        <f>CT202*VLOOKUP('Données projet'!$B$13,Paramètres!$A$1:$I$89,3,0)*VLOOKUP('Données projet'!$B$13,Paramètres!$A$1:$I$89,5,0)</f>
        <v>-6.9167072069831198E-14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163.16040389635825</v>
      </c>
      <c r="CZ202" s="59">
        <f t="shared" si="208"/>
        <v>138.57856782158811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0.78789760336172321</v>
      </c>
      <c r="DH202" s="21">
        <f>EXP(-LN(2)/2)*DH201+(1-EXP(-LN(2)/2))/(LN(2)/2)*DB202*DE202*VLOOKUP('Données projet'!$B$13,Paramètres!$A$1:$I$89,3,0)*0.475*44/12</f>
        <v>9.8307674795871846E-16</v>
      </c>
      <c r="DI202" s="22">
        <f t="shared" si="175"/>
        <v>0.78789760336172421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1.7053025658242404E-13</v>
      </c>
      <c r="DP202" s="17">
        <f>DO202*VLOOKUP('Données projet'!$B$14,Paramètres!$A$1:$I$89,3,0)*VLOOKUP('Données projet'!$B$14,Paramètres!$A$1:$I$89,5,0)</f>
        <v>7.9808160080574461E-14</v>
      </c>
      <c r="DQ202" s="13">
        <f t="shared" si="176"/>
        <v>1.2308384591775343E-12</v>
      </c>
      <c r="DR202" s="20">
        <f t="shared" si="177"/>
        <v>2.282709528541206E-12</v>
      </c>
      <c r="DS202" s="59">
        <f t="shared" si="197"/>
        <v>292.85444988445607</v>
      </c>
      <c r="DT202" s="59">
        <f ca="1">AVERAGE(OFFSET($DS$3,0,0,'Données projet'!$E$14+1,1))-AVERAGE(OFFSET($H$3,0,0,'Données projet'!$E$14+1,1))</f>
        <v>343.44193069803498</v>
      </c>
      <c r="DU202" s="59">
        <f t="shared" si="209"/>
        <v>280.67367019483481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37.832113368343968</v>
      </c>
      <c r="EB202" s="21">
        <f>EXP(-LN(2)/25)*EB201+(1-EXP(-LN(2)/25))/(LN(2)/25)*Calculateur!DW202*Calculateur!DY202*VLOOKUP('Données projet'!$B$14,Paramètres!$A$1:$I$89,3,0)*0.475*44/12</f>
        <v>6.8166567342715743</v>
      </c>
      <c r="EC202" s="21">
        <f>EXP(-LN(2)/2)*EC201+(1-EXP(-LN(2)/2))/(LN(2)/2)*DW202*DZ202*VLOOKUP('Données projet'!$B$14,Paramètres!$A$1:$I$89,3,0)*0.475*44/12</f>
        <v>1.8864319237518832E-9</v>
      </c>
      <c r="ED202" s="22">
        <f t="shared" si="178"/>
        <v>44.648770104501978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173.07692307692307</v>
      </c>
      <c r="EK202" s="17">
        <f>EJ202*VLOOKUP('Données projet'!$B$15,Paramètres!$A$1:$I$89,3,0)*VLOOKUP('Données projet'!$B$15,Paramètres!$A$1:$I$89,5,0)</f>
        <v>175.5</v>
      </c>
      <c r="EL202" s="13">
        <f t="shared" si="179"/>
        <v>44.319548641773906</v>
      </c>
      <c r="EM202" s="20">
        <f t="shared" si="180"/>
        <v>382.85238055108954</v>
      </c>
      <c r="EN202" s="59">
        <f t="shared" si="198"/>
        <v>675.70683043554334</v>
      </c>
      <c r="EO202" s="59">
        <f ca="1">AVERAGE(OFFSET($EN$3,0,0,'Données projet'!$E$15+1,1))-AVERAGE(OFFSET($H$3,0,0,'Données projet'!$E$15+1,1))</f>
        <v>270.0029254736703</v>
      </c>
      <c r="EP202" s="59">
        <f t="shared" si="210"/>
        <v>183.80022202211441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2.3602941532304307</v>
      </c>
      <c r="EW202" s="21">
        <f>EXP(-LN(2)/25)*EW201+(1-EXP(-LN(2)/25))/(LN(2)/25)*Calculateur!ER202*Calculateur!ET202*VLOOKUP('Données projet'!$B$15,Paramètres!$A$1:$I$89,3,0)*0.475*44/12</f>
        <v>1.4560678679811314</v>
      </c>
      <c r="EX202" s="21">
        <f>EXP(-LN(2)/2)*EX201+(1-EXP(-LN(2)/2))/(LN(2)/2)*ER202*EU202*VLOOKUP('Données projet'!$B$15,Paramètres!$A$1:$I$89,3,0)*0.475*44/12</f>
        <v>2.7413315230778207E-13</v>
      </c>
      <c r="EY202" s="22">
        <f t="shared" si="181"/>
        <v>3.8163620212118361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-1.4897523215040567E-13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328.93328163316073</v>
      </c>
      <c r="FK202" s="59">
        <f t="shared" si="211"/>
        <v>320.27831321887072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4.3648397266315913</v>
      </c>
      <c r="FR202" s="21">
        <f>EXP(-LN(2)/25)*FR201+(1-EXP(-LN(2)/25))/(LN(2)/25)*Calculateur!FM202*Calculateur!FO202*VLOOKUP('Données projet'!$B$16,Paramètres!$A$1:$I$89,3,0)*0.475*44/12</f>
        <v>1.7166915914404557</v>
      </c>
      <c r="FS202" s="21">
        <f>EXP(-LN(2)/2)*FS201+(1-EXP(-LN(2)/2))/(LN(2)/2)*FM202*FP202*VLOOKUP('Données projet'!$B$16,Paramètres!$A$1:$I$89,3,0)*0.475*44/12</f>
        <v>7.0011415103924678E-17</v>
      </c>
      <c r="FT202" s="22">
        <f t="shared" si="184"/>
        <v>6.0815313180720469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173.07692307692307</v>
      </c>
      <c r="GA202" s="17">
        <f>FZ202*VLOOKUP('Données projet'!$B$17,Paramètres!$A$1:$I$89,3,0)*VLOOKUP('Données projet'!$B$17,Paramètres!$A$1:$I$89,5,0)</f>
        <v>116.1</v>
      </c>
      <c r="GB202" s="13">
        <f t="shared" si="185"/>
        <v>30.763646636385982</v>
      </c>
      <c r="GC202" s="20">
        <f t="shared" si="186"/>
        <v>255.78751789170556</v>
      </c>
      <c r="GD202" s="59">
        <f t="shared" si="200"/>
        <v>548.64196777615939</v>
      </c>
      <c r="GE202" s="59">
        <f ca="1">AVERAGE(OFFSET($GD$3,0,0,'Données projet'!$E$17+1,1))-AVERAGE(OFFSET($H$3,0,0,'Données projet'!$E$17+1,1))</f>
        <v>192.88444860121191</v>
      </c>
      <c r="GF202" s="59">
        <f t="shared" si="212"/>
        <v>136.13737493732751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1.924547540326347</v>
      </c>
      <c r="GM202" s="21">
        <f>EXP(-LN(2)/25)*GM201+(1-EXP(-LN(2)/25))/(LN(2)/25)*Calculateur!GH202*Calculateur!GJ202*VLOOKUP('Données projet'!$B$17,Paramètres!$A$1:$I$89,3,0)*0.475*44/12</f>
        <v>1.1872553385076914</v>
      </c>
      <c r="GN202" s="21">
        <f>EXP(-LN(2)/2)*GN201+(1-EXP(-LN(2)/2))/(LN(2)/2)*GH202*GK202*VLOOKUP('Données projet'!$B$17,Paramètres!$A$1:$I$89,3,0)*0.475*44/12</f>
        <v>1.8134962383437899E-13</v>
      </c>
      <c r="GO202" s="21">
        <f t="shared" si="187"/>
        <v>3.1118028788342196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69.869395423032856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0.85000000000000009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65.75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3.1166666666666671</v>
      </c>
      <c r="H203" s="67">
        <f t="shared" si="192"/>
        <v>244.19999999999996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292.86275744168506</v>
      </c>
      <c r="S203" s="59">
        <f ca="1">AVERAGE(OFFSET($R$3,0,0,'Données projet'!$E$9+1,1))-AVERAGE(OFFSET($H$3,0,0,'Données projet'!$E$9+1,1))</f>
        <v>643.492472896403</v>
      </c>
      <c r="T203" s="59">
        <f t="shared" si="204"/>
        <v>285.0259479655341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-2.2168933355715128E-13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289.89907502443873</v>
      </c>
      <c r="AO203" s="59">
        <f t="shared" si="205"/>
        <v>267.42183550360301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2.9939820491078204</v>
      </c>
      <c r="AV203" s="21">
        <f>EXP(-LN(2)/25)*AV202+(1-EXP(-LN(2)/25))/(LN(2)/25)*Calculateur!AQ203*Calculateur!AS203*VLOOKUP('Données projet'!$B$10,Paramètres!$A$1:$I$89,3,0)*0.475*44/12</f>
        <v>1.2246511536119353</v>
      </c>
      <c r="AW203" s="21">
        <f>EXP(-LN(2)/2)*AW202+(1-EXP(-LN(2)/2))/(LN(2)/2)*AQ203*AT203*VLOOKUP('Données projet'!$B$10,Paramètres!$A$1:$I$89,3,0)*0.475*44/12</f>
        <v>8.1961400219278568E-18</v>
      </c>
      <c r="AX203" s="21">
        <f t="shared" si="166"/>
        <v>4.2186332027197562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-9.9475983006414026E-14</v>
      </c>
      <c r="BE203" s="13">
        <f>BD203*VLOOKUP('Données projet'!$B$11,Paramètres!$A$1:$I$89,3,0)*VLOOKUP('Données projet'!$B$11,Paramètres!$A$1:$I$89,5,0)</f>
        <v>-9.6213170763803652E-14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177.54241137663234</v>
      </c>
      <c r="BJ203" s="59">
        <f t="shared" si="206"/>
        <v>114.71095021456071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4.0405464665761439</v>
      </c>
      <c r="BQ203" s="21">
        <f>EXP(-LN(2)/25)*BQ202+(1-EXP(-LN(2)/25))/(LN(2)/25)*Calculateur!BL203*Calculateur!BN203*VLOOKUP('Données projet'!$B$11,Paramètres!$A$1:$I$89,3,0)*0.475*44/12</f>
        <v>2.7443861096258724</v>
      </c>
      <c r="BR203" s="21">
        <f>EXP(-LN(2)/2)*BR202+(1-EXP(-LN(2)/2))/(LN(2)/2)*BL203*BO203*VLOOKUP('Données projet'!$B$11,Paramètres!$A$1:$I$89,3,0)*0.475*44/12</f>
        <v>1.0390380159784022E-11</v>
      </c>
      <c r="BS203" s="22">
        <f t="shared" si="169"/>
        <v>6.7849325762124071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-9.9475983006414026E-14</v>
      </c>
      <c r="BZ203" s="13">
        <f>BY203*VLOOKUP('Données projet'!$B$12,Paramètres!$A$1:$I$89,3,0)*VLOOKUP('Données projet'!$B$12,Paramètres!$A$1:$I$89,5,0)</f>
        <v>-1.0707594810810407E-13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192.88977161349993</v>
      </c>
      <c r="CE203" s="59">
        <f t="shared" si="207"/>
        <v>122.91376861456772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4.4967371966734548</v>
      </c>
      <c r="CL203" s="21">
        <f>EXP(-LN(2)/25)*CL202+(1-EXP(-LN(2)/25))/(LN(2)/25)*Calculateur!CG203*Calculateur!CI203*VLOOKUP('Données projet'!$B$12,Paramètres!$A$1:$I$89,3,0)*0.475*44/12</f>
        <v>3.0542361542610528</v>
      </c>
      <c r="CM203" s="21">
        <f>EXP(-LN(2)/2)*CM202+(1-EXP(-LN(2)/2))/(LN(2)/2)*CG203*CJ203*VLOOKUP('Données projet'!$B$12,Paramètres!$A$1:$I$89,3,0)*0.475*44/12</f>
        <v>1.156348759717899E-11</v>
      </c>
      <c r="CN203" s="22">
        <f t="shared" si="172"/>
        <v>7.5509733509460704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-8.5265128291212022E-14</v>
      </c>
      <c r="CU203" s="17">
        <f>CT203*VLOOKUP('Données projet'!$B$13,Paramètres!$A$1:$I$89,3,0)*VLOOKUP('Données projet'!$B$13,Paramètres!$A$1:$I$89,5,0)</f>
        <v>-6.9167072069831198E-14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163.16040389635825</v>
      </c>
      <c r="CZ203" s="59">
        <f t="shared" si="208"/>
        <v>138.57856782158811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0.76635250196406268</v>
      </c>
      <c r="DH203" s="21">
        <f>EXP(-LN(2)/2)*DH202+(1-EXP(-LN(2)/2))/(LN(2)/2)*DB203*DE203*VLOOKUP('Données projet'!$B$13,Paramètres!$A$1:$I$89,3,0)*0.475*44/12</f>
        <v>6.9514023490842828E-16</v>
      </c>
      <c r="DI203" s="22">
        <f t="shared" si="175"/>
        <v>0.76635250196406335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1.7053025658242404E-13</v>
      </c>
      <c r="DP203" s="17">
        <f>DO203*VLOOKUP('Données projet'!$B$14,Paramètres!$A$1:$I$89,3,0)*VLOOKUP('Données projet'!$B$14,Paramètres!$A$1:$I$89,5,0)</f>
        <v>7.9808160080574461E-14</v>
      </c>
      <c r="DQ203" s="13">
        <f t="shared" si="176"/>
        <v>1.2308384591775343E-12</v>
      </c>
      <c r="DR203" s="20">
        <f t="shared" si="177"/>
        <v>2.282709528541206E-12</v>
      </c>
      <c r="DS203" s="59">
        <f t="shared" si="197"/>
        <v>292.86275744167114</v>
      </c>
      <c r="DT203" s="59">
        <f ca="1">AVERAGE(OFFSET($DS$3,0,0,'Données projet'!$E$14+1,1))-AVERAGE(OFFSET($H$3,0,0,'Données projet'!$E$14+1,1))</f>
        <v>343.44193069803498</v>
      </c>
      <c r="DU203" s="59">
        <f t="shared" si="209"/>
        <v>280.67367019483481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37.090248700501398</v>
      </c>
      <c r="EB203" s="21">
        <f>EXP(-LN(2)/25)*EB202+(1-EXP(-LN(2)/25))/(LN(2)/25)*Calculateur!DW203*Calculateur!DY203*VLOOKUP('Données projet'!$B$14,Paramètres!$A$1:$I$89,3,0)*0.475*44/12</f>
        <v>6.63025489740052</v>
      </c>
      <c r="EC203" s="21">
        <f>EXP(-LN(2)/2)*EC202+(1-EXP(-LN(2)/2))/(LN(2)/2)*DW203*DZ203*VLOOKUP('Données projet'!$B$14,Paramètres!$A$1:$I$89,3,0)*0.475*44/12</f>
        <v>1.3339088055317408E-9</v>
      </c>
      <c r="ED203" s="22">
        <f t="shared" si="178"/>
        <v>43.720503599235826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173.07692307692307</v>
      </c>
      <c r="EK203" s="17">
        <f>EJ203*VLOOKUP('Données projet'!$B$15,Paramètres!$A$1:$I$89,3,0)*VLOOKUP('Données projet'!$B$15,Paramètres!$A$1:$I$89,5,0)</f>
        <v>175.5</v>
      </c>
      <c r="EL203" s="13">
        <f t="shared" si="179"/>
        <v>44.319548641773906</v>
      </c>
      <c r="EM203" s="20">
        <f t="shared" si="180"/>
        <v>382.85238055108954</v>
      </c>
      <c r="EN203" s="59">
        <f t="shared" si="198"/>
        <v>675.7151379927584</v>
      </c>
      <c r="EO203" s="59">
        <f ca="1">AVERAGE(OFFSET($EN$3,0,0,'Données projet'!$E$15+1,1))-AVERAGE(OFFSET($H$3,0,0,'Données projet'!$E$15+1,1))</f>
        <v>270.0029254736703</v>
      </c>
      <c r="EP203" s="59">
        <f t="shared" si="210"/>
        <v>183.80022202211441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2.3140102245228631</v>
      </c>
      <c r="EW203" s="21">
        <f>EXP(-LN(2)/25)*EW202+(1-EXP(-LN(2)/25))/(LN(2)/25)*Calculateur!ER203*Calculateur!ET203*VLOOKUP('Données projet'!$B$15,Paramètres!$A$1:$I$89,3,0)*0.475*44/12</f>
        <v>1.4162516155599061</v>
      </c>
      <c r="EX203" s="21">
        <f>EXP(-LN(2)/2)*EX202+(1-EXP(-LN(2)/2))/(LN(2)/2)*ER203*EU203*VLOOKUP('Données projet'!$B$15,Paramètres!$A$1:$I$89,3,0)*0.475*44/12</f>
        <v>1.9384141094487737E-13</v>
      </c>
      <c r="EY203" s="22">
        <f t="shared" si="181"/>
        <v>3.7302618400829628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-1.4897523215040567E-13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328.93328163316073</v>
      </c>
      <c r="FK203" s="59">
        <f t="shared" si="211"/>
        <v>320.27831321887072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4.2792478818816999</v>
      </c>
      <c r="FR203" s="21">
        <f>EXP(-LN(2)/25)*FR202+(1-EXP(-LN(2)/25))/(LN(2)/25)*Calculateur!FM203*Calculateur!FO203*VLOOKUP('Données projet'!$B$16,Paramètres!$A$1:$I$89,3,0)*0.475*44/12</f>
        <v>1.6697485695956291</v>
      </c>
      <c r="FS203" s="21">
        <f>EXP(-LN(2)/2)*FS202+(1-EXP(-LN(2)/2))/(LN(2)/2)*FM203*FP203*VLOOKUP('Données projet'!$B$16,Paramètres!$A$1:$I$89,3,0)*0.475*44/12</f>
        <v>4.9505546380451416E-17</v>
      </c>
      <c r="FT203" s="22">
        <f t="shared" si="184"/>
        <v>5.9489964514773295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173.07692307692307</v>
      </c>
      <c r="GA203" s="17">
        <f>FZ203*VLOOKUP('Données projet'!$B$17,Paramètres!$A$1:$I$89,3,0)*VLOOKUP('Données projet'!$B$17,Paramètres!$A$1:$I$89,5,0)</f>
        <v>116.1</v>
      </c>
      <c r="GB203" s="13">
        <f t="shared" si="185"/>
        <v>30.763646636385982</v>
      </c>
      <c r="GC203" s="20">
        <f t="shared" si="186"/>
        <v>255.78751789170556</v>
      </c>
      <c r="GD203" s="59">
        <f t="shared" si="200"/>
        <v>548.65027533337445</v>
      </c>
      <c r="GE203" s="59">
        <f ca="1">AVERAGE(OFFSET($GD$3,0,0,'Données projet'!$E$17+1,1))-AVERAGE(OFFSET($H$3,0,0,'Données projet'!$E$17+1,1))</f>
        <v>192.88444860121191</v>
      </c>
      <c r="GF203" s="59">
        <f t="shared" si="212"/>
        <v>136.13737493732751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1.8868083369186381</v>
      </c>
      <c r="GM203" s="21">
        <f>EXP(-LN(2)/25)*GM202+(1-EXP(-LN(2)/25))/(LN(2)/25)*Calculateur!GH203*Calculateur!GJ203*VLOOKUP('Données projet'!$B$17,Paramètres!$A$1:$I$89,3,0)*0.475*44/12</f>
        <v>1.1547897788411539</v>
      </c>
      <c r="GN203" s="21">
        <f>EXP(-LN(2)/2)*GN202+(1-EXP(-LN(2)/2))/(LN(2)/2)*GH203*GK203*VLOOKUP('Données projet'!$B$17,Paramètres!$A$1:$I$89,3,0)*0.475*44/12</f>
        <v>1.2823354877891893E-13</v>
      </c>
      <c r="GO203" s="21">
        <f t="shared" si="187"/>
        <v>3.0415981157599203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69.871661120455144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1.1966732973638288</v>
      </c>
      <c r="BA205" s="82">
        <f>EXP(LN('Données projet'!B88)/'Données projet'!A88)</f>
        <v>1.1439407123438055</v>
      </c>
      <c r="BV205" s="82">
        <f>EXP(LN('Données projet'!B114)/'Données projet'!A114)</f>
        <v>1.1439407123438055</v>
      </c>
      <c r="CQ205" s="82">
        <f>EXP(LN('Données projet'!B140)/'Données projet'!A140)</f>
        <v>1.1938876454624809</v>
      </c>
      <c r="DL205" s="82">
        <f>EXP(LN('Données projet'!B166)/'Données projet'!A166)</f>
        <v>1.1244566645013536</v>
      </c>
      <c r="EG205" s="82">
        <f>EXP(LN('Données projet'!B192)/'Données projet'!A192)</f>
        <v>1.197119521332874</v>
      </c>
      <c r="FB205" s="82">
        <f>EXP(LN('Données projet'!B218)/'Données projet'!A218)</f>
        <v>1.2721747796233518</v>
      </c>
      <c r="FW205" s="82">
        <f>EXP(LN('Données projet'!B244)/'Données projet'!A244)</f>
        <v>1.197119521332874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A12" sqref="A12:XFD12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2.4486251808972503</v>
      </c>
      <c r="C6" s="147">
        <f ca="1">IF(OR('Données projet'!B9="",'Données projet'!C9="",'Données projet'!C9=0%),0,Calculateur!S3)</f>
        <v>643.492472896403</v>
      </c>
      <c r="D6" s="147">
        <f>IF(OR('Données projet'!B9="",'Données projet'!C9="",'Données projet'!C9=0%),0,Calculateur!T3)</f>
        <v>285.0259479655341</v>
      </c>
      <c r="E6" s="147">
        <f ca="1">MIN(C6,D6)</f>
        <v>285.0259479655341</v>
      </c>
      <c r="F6" s="147">
        <f ca="1">E6*B6</f>
        <v>697.92171339751621</v>
      </c>
      <c r="G6" s="147">
        <f ca="1">F6*(100%-'Données projet'!$C$24)*(100%-'Données projet'!$C$25)*(100%-'Données projet'!$C$26)*(100%-'Données projet'!$C$27)</f>
        <v>628.12954205776464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628.12954205776464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Merisier</v>
      </c>
      <c r="B7" s="154">
        <f>'Données projet'!D10</f>
        <v>8.1620839363241673E-2</v>
      </c>
      <c r="C7" s="147">
        <f ca="1">IF(OR('Données projet'!B10="",'Données projet'!C10="",'Données projet'!C10=0%),0,Calculateur!AN3)</f>
        <v>289.89907502443873</v>
      </c>
      <c r="D7" s="147">
        <f>IF(OR('Données projet'!B10="",'Données projet'!C10="",'Données projet'!C10=0%),0,Calculateur!AO3)</f>
        <v>267.42183550360301</v>
      </c>
      <c r="E7" s="147">
        <f t="shared" ref="E7:E15" ca="1" si="0">MIN(C7,D7)</f>
        <v>267.42183550360301</v>
      </c>
      <c r="F7" s="147">
        <f t="shared" ref="F7:F15" ca="1" si="1">E7*B7</f>
        <v>21.827194677862821</v>
      </c>
      <c r="G7" s="147">
        <f ca="1">F7*(100%-'Données projet'!$C$24)*(100%-'Données projet'!$C$25)*(100%-'Données projet'!$C$26)*(100%-'Données projet'!$C$27)</f>
        <v>19.644475210076539</v>
      </c>
      <c r="H7" s="155">
        <f>IF(OR('Données projet'!B10="",'Données projet'!C10="",'Données projet'!C10=0%),0,AVERAGE(Calculateur!$AX$3:$AX$33)*B7)</f>
        <v>0.10340497896989448</v>
      </c>
      <c r="I7" s="149">
        <f>H7*(100%-'Données projet'!$C$24)*(100%-'Données projet'!$C$25)*(100%-'Données projet'!$C$26)*(100%-'Données projet'!$C$27)</f>
        <v>9.3064481072905034E-2</v>
      </c>
      <c r="J7" s="150">
        <f>IF(OR('Données projet'!B10="",'Données projet'!C10="",'Données projet'!C10=0%),0,SUM(Calculateur!$AQ$3:$AQ$33)*VLOOKUP('Données projet'!$B$10,Paramètres!$A$1:$I$89,9,0)*B7)</f>
        <v>1.265123010130246</v>
      </c>
      <c r="K7" s="151">
        <f>J7*(100%-'Données projet'!$C$24)*(100%-'Données projet'!$C$25)*(100%-'Données projet'!$C$26)*(100%-'Données projet'!$C$27)</f>
        <v>1.1386107091172215</v>
      </c>
      <c r="L7" s="152">
        <f t="shared" ref="L7:L15" ca="1" si="2">G7+I7+K7</f>
        <v>20.876150400266663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Alisier torminal</v>
      </c>
      <c r="B8" s="154">
        <f>'Données projet'!D11</f>
        <v>8.1620839363241673E-2</v>
      </c>
      <c r="C8" s="147">
        <f ca="1">IF(OR('Données projet'!B11="",'Données projet'!C11="",'Données projet'!C11=0%),0,Calculateur!BI3)</f>
        <v>177.54241137663234</v>
      </c>
      <c r="D8" s="147">
        <f>IF(OR('Données projet'!B11="",'Données projet'!C11="",'Données projet'!C11=0%),0,Calculateur!BJ3)</f>
        <v>114.71095021456071</v>
      </c>
      <c r="E8" s="147">
        <f t="shared" ca="1" si="0"/>
        <v>114.71095021456071</v>
      </c>
      <c r="F8" s="147">
        <f t="shared" ca="1" si="1"/>
        <v>9.3628040406674735</v>
      </c>
      <c r="G8" s="147">
        <f ca="1">F8*(100%-'Données projet'!$C$24)*(100%-'Données projet'!$C$25)*(100%-'Données projet'!$C$26)*(100%-'Données projet'!$C$27)</f>
        <v>8.4265236366007272</v>
      </c>
      <c r="H8" s="155">
        <f>IF(OR('Données projet'!B11="",'Données projet'!C11="",'Données projet'!C11=0%),0,AVERAGE(Calculateur!$BS$3:$BS$33)*B8)</f>
        <v>4.6882397881766999E-2</v>
      </c>
      <c r="I8" s="149">
        <f>H8*(100%-'Données projet'!$C$24)*(100%-'Données projet'!$C$25)*(100%-'Données projet'!$C$26)*(100%-'Données projet'!$C$27)</f>
        <v>4.2194158093590298E-2</v>
      </c>
      <c r="J8" s="150">
        <f>IF(OR('Données projet'!B11="",'Données projet'!C11="",'Données projet'!C11=0%),0,SUM(Calculateur!$BL$3:$BL$33)*VLOOKUP('Données projet'!$B$11,Paramètres!$A$1:$I$89,9,0)*B8)</f>
        <v>0.22236446621395969</v>
      </c>
      <c r="K8" s="151">
        <f>J8*(100%-'Données projet'!$C$24)*(100%-'Données projet'!$C$25)*(100%-'Données projet'!$C$26)*(100%-'Données projet'!$C$27)</f>
        <v>0.20012801959256374</v>
      </c>
      <c r="L8" s="152">
        <f t="shared" ca="1" si="2"/>
        <v>8.6688458142868807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Cormier</v>
      </c>
      <c r="B9" s="154">
        <f>'Données projet'!D12</f>
        <v>0.2040520984081042</v>
      </c>
      <c r="C9" s="147">
        <f ca="1">IF(OR('Données projet'!B12="",'Données projet'!C12="",'Données projet'!C12=0%),0,Calculateur!CD3)</f>
        <v>192.88977161349993</v>
      </c>
      <c r="D9" s="147">
        <f>IF(OR('Données projet'!B12="",'Données projet'!C12="",'Données projet'!C12=0%),0,Calculateur!CE3)</f>
        <v>122.91376861456772</v>
      </c>
      <c r="E9" s="147">
        <f t="shared" ca="1" si="0"/>
        <v>122.91376861456772</v>
      </c>
      <c r="F9" s="147">
        <f t="shared" ca="1" si="1"/>
        <v>25.080812409050722</v>
      </c>
      <c r="G9" s="147">
        <f ca="1">F9*(100%-'Données projet'!$C$24)*(100%-'Données projet'!$C$25)*(100%-'Données projet'!$C$26)*(100%-'Données projet'!$C$27)</f>
        <v>22.572731168145651</v>
      </c>
      <c r="H9" s="155">
        <f>IF(OR('Données projet'!B12="",'Données projet'!C12="",'Données projet'!C12=0%),0,AVERAGE(Calculateur!$CN$3:$CN$33)*B9)</f>
        <v>0.13043892959040015</v>
      </c>
      <c r="I9" s="149">
        <f>H9*(100%-'Données projet'!$C$24)*(100%-'Données projet'!$C$25)*(100%-'Données projet'!$C$26)*(100%-'Données projet'!$C$27)</f>
        <v>0.11739503663136014</v>
      </c>
      <c r="J9" s="150">
        <f>IF(OR('Données projet'!B12="",'Données projet'!C12="",'Données projet'!C12=0%),0,SUM(Calculateur!$CG$3:$CG$33)*VLOOKUP('Données projet'!$B$12,Paramètres!$A$1:$I$89,9,0)*B9)</f>
        <v>0.55591116553489928</v>
      </c>
      <c r="K9" s="151">
        <f>J9*(100%-'Données projet'!$C$24)*(100%-'Données projet'!$C$25)*(100%-'Données projet'!$C$26)*(100%-'Données projet'!$C$27)</f>
        <v>0.50032004898140936</v>
      </c>
      <c r="L9" s="152">
        <f t="shared" ca="1" si="2"/>
        <v>23.19044625375842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Bouleau verruqueux</v>
      </c>
      <c r="B10" s="154">
        <f>'Données projet'!D13</f>
        <v>0.2040520984081042</v>
      </c>
      <c r="C10" s="147">
        <f ca="1">IF(OR('Données projet'!B13="",'Données projet'!C13="",'Données projet'!C13=0%),0,Calculateur!CY3)</f>
        <v>163.16040389635825</v>
      </c>
      <c r="D10" s="147">
        <f>IF(OR('Données projet'!B13="",'Données projet'!C13="",'Données projet'!C13=0%),0,Calculateur!CZ3)</f>
        <v>138.57856782158811</v>
      </c>
      <c r="E10" s="147">
        <f t="shared" ca="1" si="0"/>
        <v>138.57856782158811</v>
      </c>
      <c r="F10" s="147">
        <f t="shared" ca="1" si="1"/>
        <v>28.27724755838484</v>
      </c>
      <c r="G10" s="147">
        <f ca="1">F10*(100%-'Données projet'!$C$24)*(100%-'Données projet'!$C$25)*(100%-'Données projet'!$C$26)*(100%-'Données projet'!$C$27)</f>
        <v>25.449522802546355</v>
      </c>
      <c r="H10" s="155">
        <f>IF(OR('Données projet'!B13="",'Données projet'!C13="",'Données projet'!C13=0%),0,AVERAGE(Calculateur!$DI$3:$DI$33)*B10)</f>
        <v>0.10768796450558407</v>
      </c>
      <c r="I10" s="149">
        <f>H10*(100%-'Données projet'!$C$24)*(100%-'Données projet'!$C$25)*(100%-'Données projet'!$C$26)*(100%-'Données projet'!$C$27)</f>
        <v>9.6919168055025665E-2</v>
      </c>
      <c r="J10" s="150">
        <f>IF(OR('Données projet'!B13="",'Données projet'!C13="",'Données projet'!C13=0%),0,SUM(Calculateur!$DB$3:$DB$33)*VLOOKUP('Données projet'!$B$13,Paramètres!$A$1:$I$89,9,0)*B10)</f>
        <v>0.85021707670043423</v>
      </c>
      <c r="K10" s="151">
        <f>J10*(100%-'Données projet'!$C$24)*(100%-'Données projet'!$C$25)*(100%-'Données projet'!$C$26)*(100%-'Données projet'!$C$27)</f>
        <v>0.76519536903039087</v>
      </c>
      <c r="L10" s="152">
        <f t="shared" ca="1" si="2"/>
        <v>26.311637339631773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Cèdre de l'Atlas</v>
      </c>
      <c r="B11" s="154">
        <f>'Données projet'!D14</f>
        <v>0.31287988422575974</v>
      </c>
      <c r="C11" s="147">
        <f ca="1">IF(OR('Données projet'!B14="",'Données projet'!C14="",'Données projet'!C14=0%),0,Calculateur!DT3)</f>
        <v>343.44193069803498</v>
      </c>
      <c r="D11" s="147">
        <f>IF(OR('Données projet'!B14="",'Données projet'!C14="",'Données projet'!C14=0%),0,Calculateur!DU3)</f>
        <v>280.67367019483481</v>
      </c>
      <c r="E11" s="147">
        <f t="shared" ca="1" si="0"/>
        <v>280.67367019483481</v>
      </c>
      <c r="F11" s="147">
        <f t="shared" ca="1" si="1"/>
        <v>87.817145435778983</v>
      </c>
      <c r="G11" s="147">
        <f ca="1">F11*(100%-'Données projet'!$C$24)*(100%-'Données projet'!$C$25)*(100%-'Données projet'!$C$26)*(100%-'Données projet'!$C$27)</f>
        <v>79.035430892201092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79.035430892201092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Chêne pubescent</v>
      </c>
      <c r="B12" s="154">
        <f>'Données projet'!D15</f>
        <v>1.1630969609261939</v>
      </c>
      <c r="C12" s="147">
        <f ca="1">IF(OR('Données projet'!B15="",'Données projet'!C15="",'Données projet'!C15=0%),0,Calculateur!EO3)</f>
        <v>270.0029254736703</v>
      </c>
      <c r="D12" s="147">
        <f>IF(OR('Données projet'!B15="",'Données projet'!C15="",'Données projet'!C15=0%),0,Calculateur!EP3)</f>
        <v>183.80022202211441</v>
      </c>
      <c r="E12" s="147">
        <f t="shared" ca="1" si="0"/>
        <v>183.80022202211441</v>
      </c>
      <c r="F12" s="147">
        <f t="shared" ca="1" si="1"/>
        <v>213.77747965148097</v>
      </c>
      <c r="G12" s="147">
        <f ca="1">F12*(100%-'Données projet'!$C$24)*(100%-'Données projet'!$C$25)*(100%-'Données projet'!$C$26)*(100%-'Données projet'!$C$27)</f>
        <v>192.39973168633287</v>
      </c>
      <c r="H12" s="155">
        <f>IF(OR('Données projet'!B15="",'Données projet'!C15="",'Données projet'!C15=0%),0,AVERAGE(Calculateur!$EY$3:$EY$33)*B12)</f>
        <v>2.3638998681531227</v>
      </c>
      <c r="I12" s="149">
        <f>H12*(100%-'Données projet'!$C$24)*(100%-'Données projet'!$C$25)*(100%-'Données projet'!$C$26)*(100%-'Données projet'!$C$27)</f>
        <v>2.1275098813378106</v>
      </c>
      <c r="J12" s="150">
        <f>IF(OR('Données projet'!B15="",'Données projet'!C15="",'Données projet'!C15=0%),0,SUM(Calculateur!$ER$3:$ER$33)*VLOOKUP('Données projet'!$B$15,Paramètres!$A$1:$I$89,9,0)*B12)</f>
        <v>8.0149309807413989</v>
      </c>
      <c r="K12" s="151">
        <f>J12*(100%-'Données projet'!$C$24)*(100%-'Données projet'!$C$25)*(100%-'Données projet'!$C$26)*(100%-'Données projet'!$C$27)</f>
        <v>7.2134378826672592</v>
      </c>
      <c r="L12" s="152">
        <f t="shared" ca="1" si="2"/>
        <v>201.74067945033792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>Erable champêtre</v>
      </c>
      <c r="B13" s="154">
        <f>'Données projet'!D16</f>
        <v>8.1620839363241673E-2</v>
      </c>
      <c r="C13" s="147">
        <f ca="1">IF(OR('Données projet'!B16="",'Données projet'!C16="",'Données projet'!C16=0%),0,Calculateur!FJ3)</f>
        <v>328.93328163316073</v>
      </c>
      <c r="D13" s="147">
        <f>IF(OR('Données projet'!B16="",'Données projet'!C16="",'Données projet'!C16=0%),0,Calculateur!FK3)</f>
        <v>320.27831321887072</v>
      </c>
      <c r="E13" s="147">
        <f t="shared" ca="1" si="0"/>
        <v>320.27831321887072</v>
      </c>
      <c r="F13" s="147">
        <f t="shared" ca="1" si="1"/>
        <v>26.141384754767451</v>
      </c>
      <c r="G13" s="147">
        <f ca="1">F13*(100%-'Données projet'!$C$24)*(100%-'Données projet'!$C$25)*(100%-'Données projet'!$C$26)*(100%-'Données projet'!$C$27)</f>
        <v>23.527246279290708</v>
      </c>
      <c r="H13" s="155">
        <f>IF(OR('Données projet'!B16="",'Données projet'!C16="",'Données projet'!C16=0%),0,AVERAGE(Calculateur!$FT$3:$FT$33)*B13)</f>
        <v>0.35731357251417978</v>
      </c>
      <c r="I13" s="149">
        <f>H13*(100%-'Données projet'!$C$24)*(100%-'Données projet'!$C$25)*(100%-'Données projet'!$C$26)*(100%-'Données projet'!$C$27)</f>
        <v>0.32158221526276182</v>
      </c>
      <c r="J13" s="150">
        <f>IF(OR('Données projet'!C16="",'Données projet'!C16=0%),0,SUM(Calculateur!$FM$3:$FM$33)*VLOOKUP('Données projet'!$B$16,Paramètres!$A$1:$I$89,9,0)*B13)</f>
        <v>2.0201157742402316</v>
      </c>
      <c r="K13" s="151">
        <f>J13*(100%-'Données projet'!$C$24)*(100%-'Données projet'!$C$25)*(100%-'Données projet'!$C$26)*(100%-'Données projet'!$C$27)</f>
        <v>1.8181041968162084</v>
      </c>
      <c r="L13" s="152">
        <f t="shared" ca="1" si="2"/>
        <v>25.666932691369677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>Tilleul</v>
      </c>
      <c r="B14" s="154">
        <f>'Données projet'!D17</f>
        <v>0.1224312590448625</v>
      </c>
      <c r="C14" s="147">
        <f ca="1">IF(OR('Données projet'!B17="",'Données projet'!C17="",'Données projet'!C17=0%),0,Calculateur!GE3)</f>
        <v>192.88444860121191</v>
      </c>
      <c r="D14" s="147">
        <f>IF(OR('Données projet'!B17="",'Données projet'!C17="",'Données projet'!C17=0%),0,Calculateur!GF3)</f>
        <v>136.13737493732751</v>
      </c>
      <c r="E14" s="147">
        <f t="shared" ca="1" si="0"/>
        <v>136.13737493732751</v>
      </c>
      <c r="F14" s="147">
        <f t="shared" ca="1" si="1"/>
        <v>16.667470216639515</v>
      </c>
      <c r="G14" s="147">
        <f ca="1">F14*(100%-'Données projet'!$C$24)*(100%-'Données projet'!$C$25)*(100%-'Données projet'!$C$26)*(100%-'Données projet'!$C$27)</f>
        <v>15.000723194975564</v>
      </c>
      <c r="H14" s="155">
        <f>IF(OR('Données projet'!B17="",'Données projet'!C17="",'Données projet'!C17=0%),0,AVERAGE(Calculateur!$GO$3:$GO$33)*B14)</f>
        <v>0.19554966574595539</v>
      </c>
      <c r="I14" s="149">
        <f>H14*(100%-'Données projet'!$C$24)*(100%-'Données projet'!$C$25)*(100%-'Données projet'!$C$26)*(100%-'Données projet'!$C$27)</f>
        <v>0.17599469917135985</v>
      </c>
      <c r="J14" s="150">
        <f>IF(OR('Données projet'!B17="",'Données projet'!C17="",'Données projet'!C17=0%),0,SUM(Calculateur!$GH$3:$GH$33)*VLOOKUP('Données projet'!$B$17,Paramètres!$A$1:$I$89,9,0)*B14)</f>
        <v>0.84367694534119986</v>
      </c>
      <c r="K14" s="151">
        <f>J14*(100%-'Données projet'!$C$24)*(100%-'Données projet'!$C$25)*(100%-'Données projet'!$C$26)*(100%-'Données projet'!$C$27)</f>
        <v>0.75930925080707989</v>
      </c>
      <c r="L14" s="152">
        <f t="shared" ca="1" si="2"/>
        <v>15.936027144954004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1126.8732521421489</v>
      </c>
      <c r="G16" s="166">
        <f t="shared" ca="1" si="3"/>
        <v>1014.185926927934</v>
      </c>
      <c r="H16" s="167">
        <f t="shared" si="3"/>
        <v>3.3051773773609034</v>
      </c>
      <c r="I16" s="167">
        <f t="shared" si="3"/>
        <v>2.9746596396248131</v>
      </c>
      <c r="J16" s="168">
        <f t="shared" si="3"/>
        <v>13.772339418902369</v>
      </c>
      <c r="K16" s="168">
        <f t="shared" si="3"/>
        <v>12.395105477012132</v>
      </c>
      <c r="L16" s="169">
        <f t="shared" ca="1" si="3"/>
        <v>1029.5556920445711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Merisier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>Erable champêtre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>Tilleul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4" zoomScale="80" zoomScaleNormal="80" workbookViewId="0">
      <selection activeCell="T25" sqref="T25:V25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2.4486251808972503</v>
      </c>
      <c r="V10" s="177">
        <f>U10*T10</f>
        <v>2109.990001002453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Merisier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769.64078249211457</v>
      </c>
      <c r="U11" s="178">
        <f>'Données projet'!D10</f>
        <v>8.1620839363241673E-2</v>
      </c>
      <c r="V11" s="177">
        <f t="shared" ref="V11" si="0">U11*T11</f>
        <v>62.818726675188508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48.007574825612522</v>
      </c>
      <c r="U12" s="178">
        <f>'Données projet'!D11</f>
        <v>8.1620839363241673E-2</v>
      </c>
      <c r="V12" s="177">
        <f t="shared" ref="V12:V19" si="1">U12*T12</f>
        <v>3.9184185530601248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48.007574825612522</v>
      </c>
      <c r="U13" s="178">
        <f>'Données projet'!D12</f>
        <v>0.2040520984081042</v>
      </c>
      <c r="V13" s="177">
        <f t="shared" si="1"/>
        <v>9.7960463826503119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Bouleau verruqueux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79.549203238852954</v>
      </c>
      <c r="U14" s="178">
        <f>'Données projet'!D13</f>
        <v>0.2040520984081042</v>
      </c>
      <c r="V14" s="177">
        <f t="shared" si="1"/>
        <v>16.232181847580705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Cèdre de l'Atlas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856.52850877369065</v>
      </c>
      <c r="U15" s="178">
        <f>'Données projet'!D14</f>
        <v>0.31287988422575974</v>
      </c>
      <c r="V15" s="177">
        <f t="shared" si="1"/>
        <v>267.99054066117498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313.07801540449702</v>
      </c>
      <c r="U16" s="178">
        <f>'Données projet'!D15</f>
        <v>1.1630969609261939</v>
      </c>
      <c r="V16" s="177">
        <f t="shared" si="1"/>
        <v>364.14008824977458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Erable champêtre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857.01402251101717</v>
      </c>
      <c r="U17" s="178">
        <f>'Données projet'!D16</f>
        <v>8.1620839363241673E-2</v>
      </c>
      <c r="V17" s="177">
        <f t="shared" si="1"/>
        <v>69.950203863417315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>Tilleul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313.07801540449702</v>
      </c>
      <c r="U18" s="178">
        <f>'Données projet'!D17</f>
        <v>0.1224312590448625</v>
      </c>
      <c r="V18" s="177">
        <f t="shared" si="1"/>
        <v>38.330535605239426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18103.9/'Données projet'!C5</f>
        <v>3851.8936170212769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27248.6/3/'Données projet'!C$5</f>
        <v>1932.5248226950355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27248.6/3/'Données projet'!C$5</f>
        <v>1932.5248226950355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5</v>
      </c>
      <c r="I23" s="191">
        <f>27248.6/3/'Données projet'!C$5</f>
        <v>1932.5248226950355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-37946.433603993835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8423.7662345101398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299">
        <f ca="1">T23-T24</f>
        <v>-46370.199838503977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1792.2906881936467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Merisier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25</v>
      </c>
      <c r="B54" s="181">
        <f>'Données projet'!D62</f>
        <v>28</v>
      </c>
      <c r="C54" s="191">
        <v>13.5625</v>
      </c>
      <c r="D54" s="179">
        <f>B54*C54</f>
        <v>379.75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30</v>
      </c>
      <c r="B55" s="181">
        <f>'Données projet'!D63</f>
        <v>34</v>
      </c>
      <c r="C55" s="191">
        <v>13.5625</v>
      </c>
      <c r="D55" s="179">
        <f t="shared" ref="D55:D73" si="4">B55*C55</f>
        <v>461.125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35</v>
      </c>
      <c r="B56" s="181">
        <f>'Données projet'!D64</f>
        <v>27</v>
      </c>
      <c r="C56" s="191">
        <v>13.5625</v>
      </c>
      <c r="D56" s="179">
        <f t="shared" si="4"/>
        <v>366.1875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40</v>
      </c>
      <c r="B57" s="181">
        <f>'Données projet'!D65</f>
        <v>32</v>
      </c>
      <c r="C57" s="191">
        <v>13.5625</v>
      </c>
      <c r="D57" s="179">
        <f t="shared" si="4"/>
        <v>434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45</v>
      </c>
      <c r="B58" s="181">
        <f>'Données projet'!D66</f>
        <v>31</v>
      </c>
      <c r="C58" s="191">
        <v>13.5625</v>
      </c>
      <c r="D58" s="179">
        <f t="shared" si="4"/>
        <v>420.4375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50</v>
      </c>
      <c r="B59" s="181">
        <f>'Données projet'!D67</f>
        <v>30</v>
      </c>
      <c r="C59" s="191">
        <v>24.375</v>
      </c>
      <c r="D59" s="179">
        <f t="shared" si="4"/>
        <v>731.25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55</v>
      </c>
      <c r="B60" s="181">
        <f>'Données projet'!D68</f>
        <v>30</v>
      </c>
      <c r="C60" s="191">
        <v>24.375</v>
      </c>
      <c r="D60" s="179">
        <f t="shared" si="4"/>
        <v>731.25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60</v>
      </c>
      <c r="B61" s="181">
        <f>'Données projet'!D69</f>
        <v>27</v>
      </c>
      <c r="C61" s="191">
        <v>24.375</v>
      </c>
      <c r="D61" s="179">
        <f t="shared" si="4"/>
        <v>658.125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65</v>
      </c>
      <c r="B62" s="181">
        <f>'Données projet'!D70</f>
        <v>26</v>
      </c>
      <c r="C62" s="191">
        <v>24.375</v>
      </c>
      <c r="D62" s="179">
        <f t="shared" si="4"/>
        <v>633.75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70</v>
      </c>
      <c r="B63" s="181">
        <f>'Données projet'!D71</f>
        <v>20</v>
      </c>
      <c r="C63" s="191">
        <v>24.375</v>
      </c>
      <c r="D63" s="179">
        <f t="shared" si="4"/>
        <v>487.5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75</v>
      </c>
      <c r="B64" s="181">
        <f>'Données projet'!D72</f>
        <v>286</v>
      </c>
      <c r="C64" s="191">
        <v>24.375</v>
      </c>
      <c r="D64" s="179">
        <f t="shared" si="4"/>
        <v>6971.25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25</v>
      </c>
      <c r="B85" s="181">
        <f>'Données projet'!D88</f>
        <v>5.7692307692307692</v>
      </c>
      <c r="C85" s="191">
        <v>13.75</v>
      </c>
      <c r="D85" s="179">
        <f>B85*C85</f>
        <v>79.32692307692308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30</v>
      </c>
      <c r="B86" s="181">
        <f>'Données projet'!D89</f>
        <v>5.1282051282051277</v>
      </c>
      <c r="C86" s="191">
        <v>13.75</v>
      </c>
      <c r="D86" s="179">
        <f t="shared" ref="D86:D104" si="6">B86*C86</f>
        <v>70.512820512820511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35</v>
      </c>
      <c r="B87" s="181">
        <f>'Données projet'!D90</f>
        <v>5.7692307692307692</v>
      </c>
      <c r="C87" s="191">
        <v>13.75</v>
      </c>
      <c r="D87" s="179">
        <f t="shared" si="6"/>
        <v>79.32692307692308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40</v>
      </c>
      <c r="B88" s="181">
        <f>'Données projet'!D91</f>
        <v>5.7692307692307692</v>
      </c>
      <c r="C88" s="191">
        <v>13.75</v>
      </c>
      <c r="D88" s="179">
        <f t="shared" si="6"/>
        <v>79.32692307692308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45</v>
      </c>
      <c r="B89" s="181">
        <f>'Données projet'!D92</f>
        <v>5.7692307692307692</v>
      </c>
      <c r="C89" s="191">
        <v>13.75</v>
      </c>
      <c r="D89" s="179">
        <f t="shared" si="6"/>
        <v>79.32692307692308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50</v>
      </c>
      <c r="B90" s="181">
        <f>'Données projet'!D93</f>
        <v>6.4102564102564097</v>
      </c>
      <c r="C90" s="191">
        <v>13.75</v>
      </c>
      <c r="D90" s="179">
        <f t="shared" si="6"/>
        <v>88.141025641025635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55</v>
      </c>
      <c r="B91" s="181">
        <f>'Données projet'!D94</f>
        <v>6.4102564102564097</v>
      </c>
      <c r="C91" s="191">
        <v>13.75</v>
      </c>
      <c r="D91" s="179">
        <f t="shared" si="6"/>
        <v>88.141025641025635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60</v>
      </c>
      <c r="B92" s="181">
        <f>'Données projet'!D95</f>
        <v>6.4102564102564097</v>
      </c>
      <c r="C92" s="191">
        <v>13.75</v>
      </c>
      <c r="D92" s="179">
        <f t="shared" si="6"/>
        <v>88.141025641025635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65</v>
      </c>
      <c r="B93" s="181">
        <f>'Données projet'!D96</f>
        <v>6.4102564102564097</v>
      </c>
      <c r="C93" s="191">
        <v>13.75</v>
      </c>
      <c r="D93" s="179">
        <f t="shared" si="6"/>
        <v>88.141025641025635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70</v>
      </c>
      <c r="B94" s="181">
        <f>'Données projet'!D97</f>
        <v>6.4102564102564097</v>
      </c>
      <c r="C94" s="191">
        <v>13.75</v>
      </c>
      <c r="D94" s="179">
        <f t="shared" si="6"/>
        <v>88.141025641025635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5.457531734410705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75</v>
      </c>
      <c r="B95" s="181">
        <f>'Données projet'!D98</f>
        <v>6.4102564102564097</v>
      </c>
      <c r="C95" s="191">
        <v>13.75</v>
      </c>
      <c r="D95" s="179">
        <f t="shared" si="6"/>
        <v>88.141025641025635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5.2225184061346486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80</v>
      </c>
      <c r="B96" s="181">
        <f>'Données projet'!D99</f>
        <v>5.7692307692307692</v>
      </c>
      <c r="C96" s="191">
        <v>13.75</v>
      </c>
      <c r="D96" s="179">
        <f t="shared" si="6"/>
        <v>79.32692307692308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4.9976252690283705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85</v>
      </c>
      <c r="B97" s="181">
        <f>'Données projet'!D100</f>
        <v>5.7692307692307692</v>
      </c>
      <c r="C97" s="191">
        <v>13.75</v>
      </c>
      <c r="D97" s="179">
        <f t="shared" si="6"/>
        <v>79.32692307692308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4.7824165253860036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90</v>
      </c>
      <c r="B98" s="181">
        <f>'Données projet'!D101</f>
        <v>5.7692307692307692</v>
      </c>
      <c r="C98" s="191">
        <v>13.75</v>
      </c>
      <c r="D98" s="179">
        <f t="shared" si="6"/>
        <v>79.32692307692308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4.5764751439100513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95</v>
      </c>
      <c r="B99" s="181">
        <f>'Données projet'!D102</f>
        <v>5.7692307692307692</v>
      </c>
      <c r="C99" s="191">
        <v>13.75</v>
      </c>
      <c r="D99" s="179">
        <f t="shared" si="6"/>
        <v>79.32692307692308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4.379402051588567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100</v>
      </c>
      <c r="B100" s="181">
        <f>'Données projet'!D103</f>
        <v>5.7692307692307692</v>
      </c>
      <c r="C100" s="191">
        <v>13.75</v>
      </c>
      <c r="D100" s="179">
        <f t="shared" si="6"/>
        <v>79.32692307692308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4.1908153603718343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105</v>
      </c>
      <c r="B101" s="181">
        <f>'Données projet'!D104</f>
        <v>6.4102564102564097</v>
      </c>
      <c r="C101" s="191">
        <v>13.75</v>
      </c>
      <c r="D101" s="179">
        <f t="shared" si="6"/>
        <v>88.141025641025635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4.0103496271500809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110</v>
      </c>
      <c r="B102" s="181">
        <f>'Données projet'!D105</f>
        <v>6.4102564102564097</v>
      </c>
      <c r="C102" s="191">
        <v>13.75</v>
      </c>
      <c r="D102" s="179">
        <f t="shared" si="6"/>
        <v>88.141025641025635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3.837655145598164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115</v>
      </c>
      <c r="B103" s="181">
        <f>'Données projet'!D106</f>
        <v>6.4102564102564097</v>
      </c>
      <c r="C103" s="191">
        <v>13.75</v>
      </c>
      <c r="D103" s="179">
        <f t="shared" si="6"/>
        <v>88.141025641025635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3.6723972685149904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120</v>
      </c>
      <c r="B104" s="181">
        <f>'Données projet'!D107</f>
        <v>122.43589743589743</v>
      </c>
      <c r="C104" s="191">
        <v>23.75</v>
      </c>
      <c r="D104" s="179">
        <f t="shared" si="6"/>
        <v>2907.852564102564</v>
      </c>
      <c r="E104" s="193">
        <v>60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3.5142557593444885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3.362924171621521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3.2181092551402117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3.0795303876939828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2.9469190312861078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str">
        <f>IF(O108+1&lt;=MIN('Données projet'!$E$9:$E$18),O108+1,"STOP")</f>
        <v>STOP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25</v>
      </c>
      <c r="B116" s="181">
        <f>'Données projet'!D114</f>
        <v>5.7692307692307692</v>
      </c>
      <c r="C116" s="191">
        <v>13.75</v>
      </c>
      <c r="D116" s="179">
        <f>B116*C116</f>
        <v>79.32692307692308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30</v>
      </c>
      <c r="B117" s="181">
        <f>'Données projet'!D115</f>
        <v>5.1282051282051277</v>
      </c>
      <c r="C117" s="191">
        <v>13.75</v>
      </c>
      <c r="D117" s="179">
        <f t="shared" ref="D117:D135" si="8">B117*C117</f>
        <v>70.512820512820511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35</v>
      </c>
      <c r="B118" s="181">
        <f>'Données projet'!D116</f>
        <v>5.7692307692307692</v>
      </c>
      <c r="C118" s="191">
        <v>13.75</v>
      </c>
      <c r="D118" s="179">
        <f t="shared" si="8"/>
        <v>79.32692307692308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40</v>
      </c>
      <c r="B119" s="181">
        <f>'Données projet'!D117</f>
        <v>5.7692307692307692</v>
      </c>
      <c r="C119" s="191">
        <v>13.75</v>
      </c>
      <c r="D119" s="179">
        <f t="shared" si="8"/>
        <v>79.32692307692308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45</v>
      </c>
      <c r="B120" s="181">
        <f>'Données projet'!D118</f>
        <v>5.7692307692307692</v>
      </c>
      <c r="C120" s="191">
        <v>13.75</v>
      </c>
      <c r="D120" s="179">
        <f t="shared" si="8"/>
        <v>79.32692307692308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50</v>
      </c>
      <c r="B121" s="181">
        <f>'Données projet'!D119</f>
        <v>6.4102564102564097</v>
      </c>
      <c r="C121" s="191">
        <v>13.75</v>
      </c>
      <c r="D121" s="179">
        <f t="shared" si="8"/>
        <v>88.141025641025635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55</v>
      </c>
      <c r="B122" s="181">
        <f>'Données projet'!D120</f>
        <v>6.4102564102564097</v>
      </c>
      <c r="C122" s="191">
        <v>13.75</v>
      </c>
      <c r="D122" s="179">
        <f t="shared" si="8"/>
        <v>88.141025641025635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60</v>
      </c>
      <c r="B123" s="181">
        <f>'Données projet'!D121</f>
        <v>6.4102564102564097</v>
      </c>
      <c r="C123" s="191">
        <v>13.75</v>
      </c>
      <c r="D123" s="179">
        <f t="shared" si="8"/>
        <v>88.141025641025635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65</v>
      </c>
      <c r="B124" s="181">
        <f>'Données projet'!D122</f>
        <v>6.4102564102564097</v>
      </c>
      <c r="C124" s="191">
        <v>13.75</v>
      </c>
      <c r="D124" s="179">
        <f t="shared" si="8"/>
        <v>88.141025641025635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70</v>
      </c>
      <c r="B125" s="181">
        <f>'Données projet'!D123</f>
        <v>6.4102564102564097</v>
      </c>
      <c r="C125" s="191">
        <v>13.75</v>
      </c>
      <c r="D125" s="179">
        <f t="shared" si="8"/>
        <v>88.141025641025635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75</v>
      </c>
      <c r="B126" s="181">
        <f>'Données projet'!D124</f>
        <v>6.4102564102564097</v>
      </c>
      <c r="C126" s="191">
        <v>13.75</v>
      </c>
      <c r="D126" s="179">
        <f t="shared" si="8"/>
        <v>88.141025641025635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80</v>
      </c>
      <c r="B127" s="181">
        <f>'Données projet'!D125</f>
        <v>5.7692307692307692</v>
      </c>
      <c r="C127" s="191">
        <v>13.75</v>
      </c>
      <c r="D127" s="179">
        <f t="shared" si="8"/>
        <v>79.32692307692308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85</v>
      </c>
      <c r="B128" s="181">
        <f>'Données projet'!D126</f>
        <v>5.7692307692307692</v>
      </c>
      <c r="C128" s="191">
        <v>13.75</v>
      </c>
      <c r="D128" s="179">
        <f t="shared" si="8"/>
        <v>79.32692307692308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90</v>
      </c>
      <c r="B129" s="181">
        <f>'Données projet'!D127</f>
        <v>5.7692307692307692</v>
      </c>
      <c r="C129" s="191">
        <v>13.75</v>
      </c>
      <c r="D129" s="179">
        <f t="shared" si="8"/>
        <v>79.32692307692308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95</v>
      </c>
      <c r="B130" s="181">
        <f>'Données projet'!D128</f>
        <v>5.7692307692307692</v>
      </c>
      <c r="C130" s="191">
        <v>13.75</v>
      </c>
      <c r="D130" s="179">
        <f t="shared" si="8"/>
        <v>79.32692307692308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100</v>
      </c>
      <c r="B131" s="181">
        <f>'Données projet'!D129</f>
        <v>5.7692307692307692</v>
      </c>
      <c r="C131" s="191">
        <v>13.75</v>
      </c>
      <c r="D131" s="179">
        <f t="shared" si="8"/>
        <v>79.32692307692308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105</v>
      </c>
      <c r="B132" s="181">
        <f>'Données projet'!D130</f>
        <v>6.4102564102564097</v>
      </c>
      <c r="C132" s="191">
        <v>13.75</v>
      </c>
      <c r="D132" s="179">
        <f t="shared" si="8"/>
        <v>88.141025641025635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110</v>
      </c>
      <c r="B133" s="181">
        <f>'Données projet'!D131</f>
        <v>6.4102564102564097</v>
      </c>
      <c r="C133" s="191">
        <v>13.75</v>
      </c>
      <c r="D133" s="179">
        <f t="shared" si="8"/>
        <v>88.141025641025635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115</v>
      </c>
      <c r="B134" s="181">
        <f>'Données projet'!D132</f>
        <v>6.4102564102564097</v>
      </c>
      <c r="C134" s="191">
        <v>13.75</v>
      </c>
      <c r="D134" s="179">
        <f t="shared" si="8"/>
        <v>88.141025641025635</v>
      </c>
      <c r="E134" s="193">
        <v>60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120</v>
      </c>
      <c r="B135" s="181">
        <f>'Données projet'!D133</f>
        <v>122.43589743589743</v>
      </c>
      <c r="C135" s="191">
        <v>23.75</v>
      </c>
      <c r="D135" s="179">
        <f t="shared" si="8"/>
        <v>2907.852564102564</v>
      </c>
      <c r="E135" s="193">
        <v>60</v>
      </c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Bouleau verruqueux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20</v>
      </c>
      <c r="B147" s="175">
        <f>'Données projet'!D140</f>
        <v>5.7692307692307692</v>
      </c>
      <c r="C147" s="191">
        <v>13.5625</v>
      </c>
      <c r="D147" s="182">
        <f>B147*C147</f>
        <v>78.245192307692307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25</v>
      </c>
      <c r="B148" s="175">
        <f>'Données projet'!D141</f>
        <v>5.1282051282051277</v>
      </c>
      <c r="C148" s="191">
        <v>13.5625</v>
      </c>
      <c r="D148" s="182">
        <f t="shared" ref="D148:D166" si="10">B148*C148</f>
        <v>69.551282051282044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30</v>
      </c>
      <c r="B149" s="175">
        <f>'Données projet'!D142</f>
        <v>5.7692307692307692</v>
      </c>
      <c r="C149" s="191">
        <v>13.5625</v>
      </c>
      <c r="D149" s="182">
        <f t="shared" si="10"/>
        <v>78.245192307692307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35</v>
      </c>
      <c r="B150" s="175">
        <f>'Données projet'!D143</f>
        <v>6.4102564102564097</v>
      </c>
      <c r="C150" s="191">
        <v>13.5625</v>
      </c>
      <c r="D150" s="182">
        <f t="shared" si="10"/>
        <v>86.939102564102555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40</v>
      </c>
      <c r="B151" s="175">
        <f>'Données projet'!D144</f>
        <v>6.4102564102564097</v>
      </c>
      <c r="C151" s="191">
        <v>13.5625</v>
      </c>
      <c r="D151" s="182">
        <f t="shared" si="10"/>
        <v>86.939102564102555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45</v>
      </c>
      <c r="B152" s="175">
        <f>'Données projet'!D145</f>
        <v>7.0512820512820511</v>
      </c>
      <c r="C152" s="191">
        <v>13.5625</v>
      </c>
      <c r="D152" s="182">
        <f t="shared" si="10"/>
        <v>95.633012820512818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50</v>
      </c>
      <c r="B153" s="175">
        <f>'Données projet'!D146</f>
        <v>7.0512820512820511</v>
      </c>
      <c r="C153" s="191">
        <v>13.5625</v>
      </c>
      <c r="D153" s="182">
        <f t="shared" si="10"/>
        <v>95.633012820512818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55</v>
      </c>
      <c r="B154" s="175">
        <f>'Données projet'!D147</f>
        <v>7.0512820512820511</v>
      </c>
      <c r="C154" s="191">
        <v>13.5625</v>
      </c>
      <c r="D154" s="182">
        <f t="shared" si="10"/>
        <v>95.633012820512818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60</v>
      </c>
      <c r="B155" s="175">
        <f>'Données projet'!D148</f>
        <v>7.0512820512820511</v>
      </c>
      <c r="C155" s="191">
        <v>13.5625</v>
      </c>
      <c r="D155" s="182">
        <f t="shared" si="10"/>
        <v>95.633012820512818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65</v>
      </c>
      <c r="B156" s="175">
        <f>'Données projet'!D149</f>
        <v>7.0512820512820511</v>
      </c>
      <c r="C156" s="191">
        <v>13.5625</v>
      </c>
      <c r="D156" s="182">
        <f t="shared" si="10"/>
        <v>95.633012820512818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70</v>
      </c>
      <c r="B157" s="175">
        <f>'Données projet'!D150</f>
        <v>7.0512820512820511</v>
      </c>
      <c r="C157" s="191">
        <v>13.5625</v>
      </c>
      <c r="D157" s="182">
        <f t="shared" si="10"/>
        <v>95.633012820512818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75</v>
      </c>
      <c r="B158" s="175">
        <f>'Données projet'!D151</f>
        <v>7.0512820512820511</v>
      </c>
      <c r="C158" s="191">
        <v>13.5625</v>
      </c>
      <c r="D158" s="182">
        <f t="shared" si="10"/>
        <v>95.633012820512818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80</v>
      </c>
      <c r="B159" s="175">
        <f>'Données projet'!D152</f>
        <v>7.0512820512820511</v>
      </c>
      <c r="C159" s="191">
        <v>13.5625</v>
      </c>
      <c r="D159" s="182">
        <f t="shared" si="10"/>
        <v>95.633012820512818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85</v>
      </c>
      <c r="B160" s="175">
        <f>'Données projet'!D153</f>
        <v>6.4102564102564097</v>
      </c>
      <c r="C160" s="191">
        <v>13.5625</v>
      </c>
      <c r="D160" s="182">
        <f t="shared" si="10"/>
        <v>86.939102564102555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90</v>
      </c>
      <c r="B161" s="175">
        <f>'Données projet'!D154</f>
        <v>129.48717948717947</v>
      </c>
      <c r="C161" s="191">
        <v>13.5625</v>
      </c>
      <c r="D161" s="182">
        <f t="shared" si="10"/>
        <v>1756.1698717948716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Cèdre de l'Atlas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51</v>
      </c>
      <c r="B178" s="181">
        <f>'Données projet'!D166</f>
        <v>173.97000000000003</v>
      </c>
      <c r="C178" s="193">
        <v>17.774999999999999</v>
      </c>
      <c r="D178" s="179">
        <f>B178*C178</f>
        <v>3092.3167500000004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61</v>
      </c>
      <c r="B179" s="181">
        <f>'Données projet'!D167</f>
        <v>101.36000000000001</v>
      </c>
      <c r="C179" s="193">
        <v>30.374999999999996</v>
      </c>
      <c r="D179" s="179">
        <f t="shared" ref="D179:D197" si="11">B179*C179</f>
        <v>3078.81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73</v>
      </c>
      <c r="B180" s="181">
        <f>'Données projet'!D168</f>
        <v>103.23000000000002</v>
      </c>
      <c r="C180" s="193">
        <v>30.374999999999996</v>
      </c>
      <c r="D180" s="179">
        <f t="shared" si="11"/>
        <v>3135.6112500000004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85</v>
      </c>
      <c r="B181" s="181">
        <f>'Données projet'!D169</f>
        <v>95.720000000000027</v>
      </c>
      <c r="C181" s="193">
        <v>30.374999999999996</v>
      </c>
      <c r="D181" s="179">
        <f t="shared" si="11"/>
        <v>2907.4950000000003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97</v>
      </c>
      <c r="B182" s="181">
        <f>'Données projet'!D170</f>
        <v>90.589999999999975</v>
      </c>
      <c r="C182" s="193">
        <v>30.374999999999996</v>
      </c>
      <c r="D182" s="179">
        <f t="shared" si="11"/>
        <v>2751.671249999999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109</v>
      </c>
      <c r="B183" s="181">
        <f>'Données projet'!D171</f>
        <v>92.199999999999989</v>
      </c>
      <c r="C183" s="193">
        <v>30.374999999999996</v>
      </c>
      <c r="D183" s="179">
        <f t="shared" si="11"/>
        <v>2800.5749999999994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121</v>
      </c>
      <c r="B184" s="181">
        <f>'Données projet'!D172</f>
        <v>236.89000000000001</v>
      </c>
      <c r="C184" s="193">
        <v>37.53</v>
      </c>
      <c r="D184" s="179">
        <f t="shared" si="11"/>
        <v>8890.4817000000003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131</v>
      </c>
      <c r="B185" s="181">
        <f>'Données projet'!D173</f>
        <v>298.36</v>
      </c>
      <c r="C185" s="193">
        <v>37.53</v>
      </c>
      <c r="D185" s="179">
        <f t="shared" si="11"/>
        <v>11197.450800000001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20</v>
      </c>
      <c r="B209" s="181">
        <f>'Données projet'!D192</f>
        <v>7.0512820512820511</v>
      </c>
      <c r="C209" s="193">
        <v>15</v>
      </c>
      <c r="D209" s="179">
        <f>B209*C209</f>
        <v>105.76923076923077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25</v>
      </c>
      <c r="B210" s="181">
        <f>'Données projet'!D193</f>
        <v>9.615384615384615</v>
      </c>
      <c r="C210" s="193">
        <v>15</v>
      </c>
      <c r="D210" s="179">
        <f t="shared" ref="D210:D228" si="12">B210*C210</f>
        <v>144.23076923076923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30</v>
      </c>
      <c r="B211" s="181">
        <f>'Données projet'!D194</f>
        <v>10.897435897435898</v>
      </c>
      <c r="C211" s="193">
        <v>15</v>
      </c>
      <c r="D211" s="179">
        <f t="shared" si="12"/>
        <v>163.46153846153845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35</v>
      </c>
      <c r="B212" s="181">
        <f>'Données projet'!D195</f>
        <v>12.179487179487179</v>
      </c>
      <c r="C212" s="193">
        <v>15</v>
      </c>
      <c r="D212" s="179">
        <f t="shared" si="12"/>
        <v>182.69230769230768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40</v>
      </c>
      <c r="B213" s="181">
        <f>'Données projet'!D196</f>
        <v>12.820512820512819</v>
      </c>
      <c r="C213" s="193">
        <v>15</v>
      </c>
      <c r="D213" s="179">
        <f t="shared" si="12"/>
        <v>192.30769230769229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45</v>
      </c>
      <c r="B214" s="181">
        <f>'Données projet'!D197</f>
        <v>13.461538461538462</v>
      </c>
      <c r="C214" s="193">
        <v>15</v>
      </c>
      <c r="D214" s="179">
        <f t="shared" si="12"/>
        <v>201.92307692307693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50</v>
      </c>
      <c r="B215" s="181">
        <f>'Données projet'!D198</f>
        <v>14.102564102564102</v>
      </c>
      <c r="C215" s="193">
        <v>15</v>
      </c>
      <c r="D215" s="179">
        <f t="shared" si="12"/>
        <v>211.53846153846155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55</v>
      </c>
      <c r="B216" s="181">
        <f>'Données projet'!D199</f>
        <v>14.102564102564102</v>
      </c>
      <c r="C216" s="193">
        <v>15</v>
      </c>
      <c r="D216" s="179">
        <f t="shared" si="12"/>
        <v>211.53846153846155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60</v>
      </c>
      <c r="B217" s="181">
        <f>'Données projet'!D200</f>
        <v>14.102564102564102</v>
      </c>
      <c r="C217" s="193">
        <v>15</v>
      </c>
      <c r="D217" s="179">
        <f t="shared" si="12"/>
        <v>211.53846153846155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65</v>
      </c>
      <c r="B218" s="181">
        <f>'Données projet'!D201</f>
        <v>14.102564102564102</v>
      </c>
      <c r="C218" s="193">
        <v>15</v>
      </c>
      <c r="D218" s="179">
        <f t="shared" si="12"/>
        <v>211.53846153846155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70</v>
      </c>
      <c r="B219" s="181">
        <f>'Données projet'!D202</f>
        <v>14.102564102564102</v>
      </c>
      <c r="C219" s="193">
        <v>15</v>
      </c>
      <c r="D219" s="179">
        <f t="shared" si="12"/>
        <v>211.53846153846155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75</v>
      </c>
      <c r="B220" s="181">
        <f>'Données projet'!D203</f>
        <v>14.102564102564102</v>
      </c>
      <c r="C220" s="193">
        <v>59.875</v>
      </c>
      <c r="D220" s="179">
        <f t="shared" si="12"/>
        <v>844.39102564102564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80</v>
      </c>
      <c r="B221" s="181">
        <f>'Données projet'!D204</f>
        <v>13.461538461538462</v>
      </c>
      <c r="C221" s="193">
        <v>59.875</v>
      </c>
      <c r="D221" s="179">
        <f t="shared" si="12"/>
        <v>806.00961538461536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85</v>
      </c>
      <c r="B222" s="181">
        <f>'Données projet'!D205</f>
        <v>12.820512820512819</v>
      </c>
      <c r="C222" s="193">
        <v>59.875</v>
      </c>
      <c r="D222" s="179">
        <f t="shared" si="12"/>
        <v>767.62820512820508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90</v>
      </c>
      <c r="B223" s="181">
        <f>'Données projet'!D206</f>
        <v>12.820512820512819</v>
      </c>
      <c r="C223" s="193">
        <v>59.875</v>
      </c>
      <c r="D223" s="179">
        <f t="shared" si="12"/>
        <v>767.62820512820508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95</v>
      </c>
      <c r="B224" s="181">
        <f>'Données projet'!D207</f>
        <v>12.179487179487179</v>
      </c>
      <c r="C224" s="193">
        <v>59.875</v>
      </c>
      <c r="D224" s="179">
        <f t="shared" si="12"/>
        <v>729.2467948717948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100</v>
      </c>
      <c r="B225" s="181">
        <f>'Données projet'!D208</f>
        <v>11.538461538461538</v>
      </c>
      <c r="C225" s="193">
        <v>59.875</v>
      </c>
      <c r="D225" s="179">
        <f t="shared" si="12"/>
        <v>690.86538461538464</v>
      </c>
      <c r="E225" s="193">
        <v>60</v>
      </c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105</v>
      </c>
      <c r="B226" s="181">
        <f>'Données projet'!D209</f>
        <v>10.897435897435898</v>
      </c>
      <c r="C226" s="193">
        <v>59.875</v>
      </c>
      <c r="D226" s="179">
        <f t="shared" si="12"/>
        <v>652.48397435897436</v>
      </c>
      <c r="E226" s="193">
        <v>60</v>
      </c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110</v>
      </c>
      <c r="B227" s="181">
        <f>'Données projet'!D210</f>
        <v>10.897435897435898</v>
      </c>
      <c r="C227" s="193">
        <v>59.875</v>
      </c>
      <c r="D227" s="179">
        <f t="shared" si="12"/>
        <v>652.48397435897436</v>
      </c>
      <c r="E227" s="193">
        <v>60</v>
      </c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115</v>
      </c>
      <c r="B228" s="181">
        <f>'Données projet'!D211</f>
        <v>10.256410256410255</v>
      </c>
      <c r="C228" s="193">
        <v>59.875</v>
      </c>
      <c r="D228" s="179">
        <f t="shared" si="12"/>
        <v>614.10256410256409</v>
      </c>
      <c r="E228" s="193">
        <v>60</v>
      </c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>Erable champêtre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15</v>
      </c>
      <c r="B240" s="181">
        <f>'Données projet'!D218</f>
        <v>15</v>
      </c>
      <c r="C240" s="193">
        <v>13.75</v>
      </c>
      <c r="D240" s="179">
        <f>B240*C240</f>
        <v>206.25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20</v>
      </c>
      <c r="B241" s="181">
        <f>'Données projet'!D219</f>
        <v>28</v>
      </c>
      <c r="C241" s="193">
        <v>13.75</v>
      </c>
      <c r="D241" s="179">
        <f t="shared" ref="D241:D259" si="13">B241*C241</f>
        <v>385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25</v>
      </c>
      <c r="B242" s="181">
        <f>'Données projet'!D220</f>
        <v>28</v>
      </c>
      <c r="C242" s="193">
        <v>13.75</v>
      </c>
      <c r="D242" s="179">
        <f t="shared" si="13"/>
        <v>385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30</v>
      </c>
      <c r="B243" s="181">
        <f>'Données projet'!D221</f>
        <v>28</v>
      </c>
      <c r="C243" s="193">
        <v>13.75</v>
      </c>
      <c r="D243" s="179">
        <f t="shared" si="13"/>
        <v>385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35</v>
      </c>
      <c r="B244" s="181">
        <f>'Données projet'!D222</f>
        <v>28</v>
      </c>
      <c r="C244" s="193">
        <v>13.75</v>
      </c>
      <c r="D244" s="179">
        <f t="shared" si="13"/>
        <v>385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40</v>
      </c>
      <c r="B245" s="181">
        <f>'Données projet'!D223</f>
        <v>28</v>
      </c>
      <c r="C245" s="193">
        <v>13.75</v>
      </c>
      <c r="D245" s="179">
        <f t="shared" si="13"/>
        <v>385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45</v>
      </c>
      <c r="B246" s="181">
        <f>'Données projet'!D224</f>
        <v>22</v>
      </c>
      <c r="C246" s="193">
        <v>13.75</v>
      </c>
      <c r="D246" s="179">
        <f t="shared" si="13"/>
        <v>302.5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50</v>
      </c>
      <c r="B247" s="181">
        <f>'Données projet'!D225</f>
        <v>17</v>
      </c>
      <c r="C247" s="193">
        <v>23.75</v>
      </c>
      <c r="D247" s="179">
        <f t="shared" si="13"/>
        <v>403.75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55</v>
      </c>
      <c r="B248" s="181">
        <f>'Données projet'!D226</f>
        <v>13</v>
      </c>
      <c r="C248" s="193">
        <v>23.75</v>
      </c>
      <c r="D248" s="179">
        <f t="shared" si="13"/>
        <v>308.75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60</v>
      </c>
      <c r="B249" s="181">
        <f>'Données projet'!D227</f>
        <v>12</v>
      </c>
      <c r="C249" s="193">
        <v>23.75</v>
      </c>
      <c r="D249" s="179">
        <f t="shared" si="13"/>
        <v>285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65</v>
      </c>
      <c r="B250" s="181">
        <f>'Données projet'!D228</f>
        <v>11</v>
      </c>
      <c r="C250" s="193">
        <v>23.75</v>
      </c>
      <c r="D250" s="179">
        <f t="shared" si="13"/>
        <v>261.25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70</v>
      </c>
      <c r="B251" s="181">
        <f>'Données projet'!D229</f>
        <v>10</v>
      </c>
      <c r="C251" s="193">
        <v>23.75</v>
      </c>
      <c r="D251" s="179">
        <f t="shared" si="13"/>
        <v>237.5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75</v>
      </c>
      <c r="B252" s="181">
        <f>'Données projet'!D230</f>
        <v>9</v>
      </c>
      <c r="C252" s="193">
        <v>23.75</v>
      </c>
      <c r="D252" s="179">
        <f t="shared" si="13"/>
        <v>213.75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80</v>
      </c>
      <c r="B253" s="181">
        <f>'Données projet'!D231</f>
        <v>275</v>
      </c>
      <c r="C253" s="193">
        <v>23.75</v>
      </c>
      <c r="D253" s="179">
        <f t="shared" si="13"/>
        <v>6531.25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>Tilleul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20</v>
      </c>
      <c r="B271" s="181">
        <f>'Données projet'!D244</f>
        <v>7.0512820512820511</v>
      </c>
      <c r="C271" s="193">
        <v>15</v>
      </c>
      <c r="D271" s="179">
        <f>B271*C271</f>
        <v>105.76923076923077</v>
      </c>
      <c r="E271" s="193">
        <v>60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25</v>
      </c>
      <c r="B272" s="181">
        <f>'Données projet'!D245</f>
        <v>9.615384615384615</v>
      </c>
      <c r="C272" s="193">
        <v>15</v>
      </c>
      <c r="D272" s="179">
        <f t="shared" ref="D272:D290" si="14">B272*C272</f>
        <v>144.23076923076923</v>
      </c>
      <c r="E272" s="193">
        <v>60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30</v>
      </c>
      <c r="B273" s="181">
        <f>'Données projet'!D246</f>
        <v>10.897435897435898</v>
      </c>
      <c r="C273" s="193">
        <v>15</v>
      </c>
      <c r="D273" s="179">
        <f t="shared" si="14"/>
        <v>163.46153846153845</v>
      </c>
      <c r="E273" s="193">
        <v>60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35</v>
      </c>
      <c r="B274" s="181">
        <f>'Données projet'!D247</f>
        <v>12.179487179487179</v>
      </c>
      <c r="C274" s="193">
        <v>15</v>
      </c>
      <c r="D274" s="179">
        <f t="shared" si="14"/>
        <v>182.69230769230768</v>
      </c>
      <c r="E274" s="193">
        <v>60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40</v>
      </c>
      <c r="B275" s="181">
        <f>'Données projet'!D248</f>
        <v>12.820512820512819</v>
      </c>
      <c r="C275" s="193">
        <v>15</v>
      </c>
      <c r="D275" s="179">
        <f t="shared" si="14"/>
        <v>192.30769230769229</v>
      </c>
      <c r="E275" s="193">
        <v>60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45</v>
      </c>
      <c r="B276" s="181">
        <f>'Données projet'!D249</f>
        <v>13.461538461538462</v>
      </c>
      <c r="C276" s="193">
        <v>15</v>
      </c>
      <c r="D276" s="179">
        <f t="shared" si="14"/>
        <v>201.92307692307693</v>
      </c>
      <c r="E276" s="193">
        <v>60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50</v>
      </c>
      <c r="B277" s="181">
        <f>'Données projet'!D250</f>
        <v>14.102564102564102</v>
      </c>
      <c r="C277" s="193">
        <v>15</v>
      </c>
      <c r="D277" s="179">
        <f t="shared" si="14"/>
        <v>211.53846153846155</v>
      </c>
      <c r="E277" s="193">
        <v>60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55</v>
      </c>
      <c r="B278" s="181">
        <f>'Données projet'!D251</f>
        <v>14.102564102564102</v>
      </c>
      <c r="C278" s="193">
        <v>15</v>
      </c>
      <c r="D278" s="179">
        <f t="shared" si="14"/>
        <v>211.53846153846155</v>
      </c>
      <c r="E278" s="193">
        <v>60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60</v>
      </c>
      <c r="B279" s="181">
        <f>'Données projet'!D252</f>
        <v>14.102564102564102</v>
      </c>
      <c r="C279" s="193">
        <v>15</v>
      </c>
      <c r="D279" s="179">
        <f t="shared" si="14"/>
        <v>211.53846153846155</v>
      </c>
      <c r="E279" s="193">
        <v>60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65</v>
      </c>
      <c r="B280" s="181">
        <f>'Données projet'!D253</f>
        <v>14.102564102564102</v>
      </c>
      <c r="C280" s="193">
        <v>15</v>
      </c>
      <c r="D280" s="179">
        <f t="shared" si="14"/>
        <v>211.53846153846155</v>
      </c>
      <c r="E280" s="193">
        <v>60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70</v>
      </c>
      <c r="B281" s="181">
        <f>'Données projet'!D254</f>
        <v>14.102564102564102</v>
      </c>
      <c r="C281" s="193">
        <v>15</v>
      </c>
      <c r="D281" s="179">
        <f t="shared" si="14"/>
        <v>211.53846153846155</v>
      </c>
      <c r="E281" s="193">
        <v>60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75</v>
      </c>
      <c r="B282" s="181">
        <f>'Données projet'!D255</f>
        <v>14.102564102564102</v>
      </c>
      <c r="C282" s="193">
        <v>59.875</v>
      </c>
      <c r="D282" s="179">
        <f t="shared" si="14"/>
        <v>844.39102564102564</v>
      </c>
      <c r="E282" s="193">
        <v>60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80</v>
      </c>
      <c r="B283" s="181">
        <f>'Données projet'!D256</f>
        <v>13.461538461538462</v>
      </c>
      <c r="C283" s="193">
        <v>59.875</v>
      </c>
      <c r="D283" s="179">
        <f t="shared" si="14"/>
        <v>806.00961538461536</v>
      </c>
      <c r="E283" s="193">
        <v>60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85</v>
      </c>
      <c r="B284" s="181">
        <f>'Données projet'!D257</f>
        <v>12.820512820512819</v>
      </c>
      <c r="C284" s="193">
        <v>59.875</v>
      </c>
      <c r="D284" s="179">
        <f t="shared" si="14"/>
        <v>767.62820512820508</v>
      </c>
      <c r="E284" s="193">
        <v>60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90</v>
      </c>
      <c r="B285" s="181">
        <f>'Données projet'!D258</f>
        <v>12.820512820512819</v>
      </c>
      <c r="C285" s="193">
        <v>59.875</v>
      </c>
      <c r="D285" s="179">
        <f t="shared" si="14"/>
        <v>767.62820512820508</v>
      </c>
      <c r="E285" s="193">
        <v>60</v>
      </c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95</v>
      </c>
      <c r="B286" s="181">
        <f>'Données projet'!D259</f>
        <v>12.179487179487179</v>
      </c>
      <c r="C286" s="193">
        <v>59.875</v>
      </c>
      <c r="D286" s="179">
        <f t="shared" si="14"/>
        <v>729.2467948717948</v>
      </c>
      <c r="E286" s="193">
        <v>60</v>
      </c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100</v>
      </c>
      <c r="B287" s="181">
        <f>'Données projet'!D260</f>
        <v>11.538461538461538</v>
      </c>
      <c r="C287" s="193">
        <v>59.875</v>
      </c>
      <c r="D287" s="179">
        <f t="shared" si="14"/>
        <v>690.86538461538464</v>
      </c>
      <c r="E287" s="193">
        <v>60</v>
      </c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105</v>
      </c>
      <c r="B288" s="181">
        <f>'Données projet'!D261</f>
        <v>10.897435897435898</v>
      </c>
      <c r="C288" s="193">
        <v>59.875</v>
      </c>
      <c r="D288" s="179">
        <f t="shared" si="14"/>
        <v>652.48397435897436</v>
      </c>
      <c r="E288" s="193">
        <v>60</v>
      </c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110</v>
      </c>
      <c r="B289" s="181">
        <f>'Données projet'!D262</f>
        <v>10.897435897435898</v>
      </c>
      <c r="C289" s="193">
        <v>59.875</v>
      </c>
      <c r="D289" s="179">
        <f t="shared" si="14"/>
        <v>652.48397435897436</v>
      </c>
      <c r="E289" s="193">
        <v>60</v>
      </c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115</v>
      </c>
      <c r="B290" s="181">
        <f>'Données projet'!D263</f>
        <v>10.256410256410255</v>
      </c>
      <c r="C290" s="193">
        <v>59.875</v>
      </c>
      <c r="D290" s="179">
        <f t="shared" si="14"/>
        <v>614.10256410256409</v>
      </c>
      <c r="E290" s="193">
        <v>60</v>
      </c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eate a new document." ma:contentTypeScope="" ma:versionID="0f10b2df0a8ad8ab3d7ccc192cceedec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1966df0606072e9ad774843119c6d221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4723B6-9FDE-4283-AC3C-E88053220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2025-05-09T13:40:28Z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